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nez\OneDrive\Desktop\Learning\Projects\Excel Projects\P1 - CRM Sales Analysis\"/>
    </mc:Choice>
  </mc:AlternateContent>
  <xr:revisionPtr revIDLastSave="0" documentId="13_ncr:1_{2DD71A0E-DD2C-492B-9EA6-6715B3CE270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shboard" sheetId="4" r:id="rId1"/>
    <sheet name="Dashboard Metrics" sheetId="6" r:id="rId2"/>
    <sheet name="Index" sheetId="5" r:id="rId3"/>
    <sheet name="Rank Rollup" sheetId="3" r:id="rId4"/>
    <sheet name="Data Rollup" sheetId="2" r:id="rId5"/>
    <sheet name="Sales Data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5" l="1"/>
  <c r="E8" i="5"/>
  <c r="V15" i="1"/>
  <c r="V1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G5" i="5" a="1"/>
  <c r="G5" i="5" s="1"/>
  <c r="E4" i="5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E5" i="5" s="1" a="1"/>
  <c r="E5" i="5" s="1"/>
  <c r="M352" i="1" s="1"/>
  <c r="B28" i="4" a="1"/>
  <c r="B28" i="4" s="1"/>
  <c r="Q20" i="1" s="1" a="1"/>
  <c r="Q20" i="1" s="1"/>
  <c r="B20" i="4" a="1"/>
  <c r="B20" i="4" s="1"/>
  <c r="P54" i="1" s="1" a="1"/>
  <c r="P54" i="1" s="1"/>
  <c r="B13" i="4" a="1"/>
  <c r="B13" i="4" s="1"/>
  <c r="O203" i="1" s="1" a="1"/>
  <c r="O203" i="1" s="1"/>
  <c r="B9" i="4" a="1"/>
  <c r="B9" i="4" s="1"/>
  <c r="N482" i="1" s="1" a="1"/>
  <c r="N482" i="1" s="1"/>
  <c r="B28" i="3" a="1"/>
  <c r="B28" i="3" s="1"/>
  <c r="B17" i="3" a="1"/>
  <c r="B17" i="3" s="1"/>
  <c r="B5" i="3" a="1"/>
  <c r="B5" i="3" s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P556" i="1" l="1" a="1"/>
  <c r="P556" i="1" s="1"/>
  <c r="P270" i="1" a="1"/>
  <c r="P270" i="1" s="1"/>
  <c r="B11" i="2" a="1"/>
  <c r="B11" i="2" s="1"/>
  <c r="M729" i="1"/>
  <c r="M705" i="1"/>
  <c r="M681" i="1"/>
  <c r="M657" i="1"/>
  <c r="M633" i="1"/>
  <c r="M597" i="1"/>
  <c r="M561" i="1"/>
  <c r="M537" i="1"/>
  <c r="M501" i="1"/>
  <c r="M465" i="1"/>
  <c r="M429" i="1"/>
  <c r="M369" i="1"/>
  <c r="M333" i="1"/>
  <c r="M309" i="1"/>
  <c r="M285" i="1"/>
  <c r="M273" i="1"/>
  <c r="M261" i="1"/>
  <c r="M237" i="1"/>
  <c r="M225" i="1"/>
  <c r="M213" i="1"/>
  <c r="M201" i="1"/>
  <c r="M189" i="1"/>
  <c r="M177" i="1"/>
  <c r="M165" i="1"/>
  <c r="M153" i="1"/>
  <c r="M141" i="1"/>
  <c r="M129" i="1"/>
  <c r="M117" i="1"/>
  <c r="M105" i="1"/>
  <c r="M93" i="1"/>
  <c r="M81" i="1"/>
  <c r="M69" i="1"/>
  <c r="M57" i="1"/>
  <c r="M45" i="1"/>
  <c r="M33" i="1"/>
  <c r="M21" i="1"/>
  <c r="M728" i="1"/>
  <c r="M692" i="1"/>
  <c r="M644" i="1"/>
  <c r="M608" i="1"/>
  <c r="M572" i="1"/>
  <c r="M536" i="1"/>
  <c r="M500" i="1"/>
  <c r="M464" i="1"/>
  <c r="M428" i="1"/>
  <c r="M392" i="1"/>
  <c r="M356" i="1"/>
  <c r="M320" i="1"/>
  <c r="M296" i="1"/>
  <c r="M284" i="1"/>
  <c r="M260" i="1"/>
  <c r="M236" i="1"/>
  <c r="M224" i="1"/>
  <c r="M212" i="1"/>
  <c r="M200" i="1"/>
  <c r="M188" i="1"/>
  <c r="M176" i="1"/>
  <c r="M164" i="1"/>
  <c r="M152" i="1"/>
  <c r="M140" i="1"/>
  <c r="M128" i="1"/>
  <c r="M116" i="1"/>
  <c r="M104" i="1"/>
  <c r="M92" i="1"/>
  <c r="M80" i="1"/>
  <c r="M68" i="1"/>
  <c r="M56" i="1"/>
  <c r="M44" i="1"/>
  <c r="M32" i="1"/>
  <c r="M751" i="1"/>
  <c r="M715" i="1"/>
  <c r="M679" i="1"/>
  <c r="M631" i="1"/>
  <c r="M583" i="1"/>
  <c r="M511" i="1"/>
  <c r="M475" i="1"/>
  <c r="M439" i="1"/>
  <c r="M415" i="1"/>
  <c r="M391" i="1"/>
  <c r="M379" i="1"/>
  <c r="M367" i="1"/>
  <c r="M343" i="1"/>
  <c r="M319" i="1"/>
  <c r="M307" i="1"/>
  <c r="M295" i="1"/>
  <c r="M283" i="1"/>
  <c r="M271" i="1"/>
  <c r="M259" i="1"/>
  <c r="M247" i="1"/>
  <c r="M235" i="1"/>
  <c r="M223" i="1"/>
  <c r="M211" i="1"/>
  <c r="M199" i="1"/>
  <c r="M187" i="1"/>
  <c r="M175" i="1"/>
  <c r="M163" i="1"/>
  <c r="M151" i="1"/>
  <c r="M139" i="1"/>
  <c r="M127" i="1"/>
  <c r="M115" i="1"/>
  <c r="M103" i="1"/>
  <c r="M91" i="1"/>
  <c r="M79" i="1"/>
  <c r="M67" i="1"/>
  <c r="M55" i="1"/>
  <c r="M43" i="1"/>
  <c r="M31" i="1"/>
  <c r="M726" i="1"/>
  <c r="M690" i="1"/>
  <c r="M654" i="1"/>
  <c r="M618" i="1"/>
  <c r="M570" i="1"/>
  <c r="M522" i="1"/>
  <c r="M486" i="1"/>
  <c r="M450" i="1"/>
  <c r="M414" i="1"/>
  <c r="M378" i="1"/>
  <c r="M330" i="1"/>
  <c r="M294" i="1"/>
  <c r="M258" i="1"/>
  <c r="M222" i="1"/>
  <c r="M210" i="1"/>
  <c r="M174" i="1"/>
  <c r="M162" i="1"/>
  <c r="M150" i="1"/>
  <c r="M138" i="1"/>
  <c r="M126" i="1"/>
  <c r="M114" i="1"/>
  <c r="M102" i="1"/>
  <c r="M90" i="1"/>
  <c r="M78" i="1"/>
  <c r="M66" i="1"/>
  <c r="M54" i="1"/>
  <c r="M42" i="1"/>
  <c r="M30" i="1"/>
  <c r="M713" i="1"/>
  <c r="M653" i="1"/>
  <c r="M617" i="1"/>
  <c r="M569" i="1"/>
  <c r="M533" i="1"/>
  <c r="M497" i="1"/>
  <c r="M461" i="1"/>
  <c r="M425" i="1"/>
  <c r="M389" i="1"/>
  <c r="M353" i="1"/>
  <c r="M317" i="1"/>
  <c r="M269" i="1"/>
  <c r="M221" i="1"/>
  <c r="M185" i="1"/>
  <c r="M161" i="1"/>
  <c r="M113" i="1"/>
  <c r="M41" i="1"/>
  <c r="M5" i="1"/>
  <c r="M2" i="1"/>
  <c r="M716" i="1"/>
  <c r="M680" i="1"/>
  <c r="M656" i="1"/>
  <c r="M620" i="1"/>
  <c r="M584" i="1"/>
  <c r="M560" i="1"/>
  <c r="M524" i="1"/>
  <c r="M488" i="1"/>
  <c r="M452" i="1"/>
  <c r="M416" i="1"/>
  <c r="M380" i="1"/>
  <c r="M344" i="1"/>
  <c r="M308" i="1"/>
  <c r="M248" i="1"/>
  <c r="M20" i="1"/>
  <c r="M727" i="1"/>
  <c r="M691" i="1"/>
  <c r="M667" i="1"/>
  <c r="M643" i="1"/>
  <c r="M619" i="1"/>
  <c r="M595" i="1"/>
  <c r="M559" i="1"/>
  <c r="M523" i="1"/>
  <c r="M487" i="1"/>
  <c r="M451" i="1"/>
  <c r="M403" i="1"/>
  <c r="M331" i="1"/>
  <c r="M19" i="1"/>
  <c r="M738" i="1"/>
  <c r="M702" i="1"/>
  <c r="M666" i="1"/>
  <c r="M630" i="1"/>
  <c r="M594" i="1"/>
  <c r="M558" i="1"/>
  <c r="M534" i="1"/>
  <c r="M498" i="1"/>
  <c r="M462" i="1"/>
  <c r="M426" i="1"/>
  <c r="M390" i="1"/>
  <c r="M354" i="1"/>
  <c r="M318" i="1"/>
  <c r="M282" i="1"/>
  <c r="M246" i="1"/>
  <c r="M198" i="1"/>
  <c r="M6" i="1"/>
  <c r="M749" i="1"/>
  <c r="M725" i="1"/>
  <c r="M689" i="1"/>
  <c r="M677" i="1"/>
  <c r="M641" i="1"/>
  <c r="M605" i="1"/>
  <c r="M581" i="1"/>
  <c r="M545" i="1"/>
  <c r="M509" i="1"/>
  <c r="M473" i="1"/>
  <c r="M449" i="1"/>
  <c r="M413" i="1"/>
  <c r="M377" i="1"/>
  <c r="M341" i="1"/>
  <c r="M305" i="1"/>
  <c r="M281" i="1"/>
  <c r="M257" i="1"/>
  <c r="M233" i="1"/>
  <c r="M197" i="1"/>
  <c r="M173" i="1"/>
  <c r="M137" i="1"/>
  <c r="M125" i="1"/>
  <c r="M17" i="1"/>
  <c r="M3" i="1"/>
  <c r="M741" i="1"/>
  <c r="M717" i="1"/>
  <c r="M693" i="1"/>
  <c r="M669" i="1"/>
  <c r="M645" i="1"/>
  <c r="M621" i="1"/>
  <c r="M609" i="1"/>
  <c r="M585" i="1"/>
  <c r="M573" i="1"/>
  <c r="M549" i="1"/>
  <c r="M525" i="1"/>
  <c r="M513" i="1"/>
  <c r="M489" i="1"/>
  <c r="M477" i="1"/>
  <c r="M453" i="1"/>
  <c r="M441" i="1"/>
  <c r="M417" i="1"/>
  <c r="M405" i="1"/>
  <c r="M393" i="1"/>
  <c r="M381" i="1"/>
  <c r="M357" i="1"/>
  <c r="M345" i="1"/>
  <c r="M321" i="1"/>
  <c r="M297" i="1"/>
  <c r="M249" i="1"/>
  <c r="M9" i="1"/>
  <c r="M740" i="1"/>
  <c r="M704" i="1"/>
  <c r="M668" i="1"/>
  <c r="M632" i="1"/>
  <c r="M596" i="1"/>
  <c r="M548" i="1"/>
  <c r="M512" i="1"/>
  <c r="M476" i="1"/>
  <c r="M440" i="1"/>
  <c r="M404" i="1"/>
  <c r="M368" i="1"/>
  <c r="M332" i="1"/>
  <c r="M272" i="1"/>
  <c r="M8" i="1"/>
  <c r="M739" i="1"/>
  <c r="M703" i="1"/>
  <c r="M655" i="1"/>
  <c r="M607" i="1"/>
  <c r="M571" i="1"/>
  <c r="M547" i="1"/>
  <c r="M535" i="1"/>
  <c r="M499" i="1"/>
  <c r="M463" i="1"/>
  <c r="M427" i="1"/>
  <c r="M355" i="1"/>
  <c r="M7" i="1"/>
  <c r="M750" i="1"/>
  <c r="M714" i="1"/>
  <c r="M678" i="1"/>
  <c r="M642" i="1"/>
  <c r="M606" i="1"/>
  <c r="M582" i="1"/>
  <c r="M546" i="1"/>
  <c r="M510" i="1"/>
  <c r="M474" i="1"/>
  <c r="M438" i="1"/>
  <c r="M402" i="1"/>
  <c r="M366" i="1"/>
  <c r="M342" i="1"/>
  <c r="M306" i="1"/>
  <c r="M270" i="1"/>
  <c r="M234" i="1"/>
  <c r="M186" i="1"/>
  <c r="M18" i="1"/>
  <c r="M737" i="1"/>
  <c r="M701" i="1"/>
  <c r="M665" i="1"/>
  <c r="M629" i="1"/>
  <c r="M593" i="1"/>
  <c r="M557" i="1"/>
  <c r="M521" i="1"/>
  <c r="M485" i="1"/>
  <c r="M437" i="1"/>
  <c r="M401" i="1"/>
  <c r="M365" i="1"/>
  <c r="M329" i="1"/>
  <c r="M293" i="1"/>
  <c r="M245" i="1"/>
  <c r="M209" i="1"/>
  <c r="M149" i="1"/>
  <c r="M4" i="1"/>
  <c r="M101" i="1"/>
  <c r="M89" i="1"/>
  <c r="M77" i="1"/>
  <c r="M65" i="1"/>
  <c r="M53" i="1"/>
  <c r="M29" i="1"/>
  <c r="M712" i="1"/>
  <c r="M664" i="1"/>
  <c r="M628" i="1"/>
  <c r="M592" i="1"/>
  <c r="M544" i="1"/>
  <c r="M508" i="1"/>
  <c r="M448" i="1"/>
  <c r="M412" i="1"/>
  <c r="M376" i="1"/>
  <c r="M340" i="1"/>
  <c r="M316" i="1"/>
  <c r="M292" i="1"/>
  <c r="M256" i="1"/>
  <c r="M232" i="1"/>
  <c r="M208" i="1"/>
  <c r="M184" i="1"/>
  <c r="M160" i="1"/>
  <c r="M136" i="1"/>
  <c r="M124" i="1"/>
  <c r="M100" i="1"/>
  <c r="M88" i="1"/>
  <c r="M76" i="1"/>
  <c r="M64" i="1"/>
  <c r="M52" i="1"/>
  <c r="M16" i="1"/>
  <c r="M747" i="1"/>
  <c r="M711" i="1"/>
  <c r="M675" i="1"/>
  <c r="M639" i="1"/>
  <c r="M615" i="1"/>
  <c r="M579" i="1"/>
  <c r="M543" i="1"/>
  <c r="M507" i="1"/>
  <c r="M471" i="1"/>
  <c r="M435" i="1"/>
  <c r="M399" i="1"/>
  <c r="M363" i="1"/>
  <c r="M327" i="1"/>
  <c r="M291" i="1"/>
  <c r="M255" i="1"/>
  <c r="M219" i="1"/>
  <c r="M195" i="1"/>
  <c r="M159" i="1"/>
  <c r="M147" i="1"/>
  <c r="M135" i="1"/>
  <c r="M123" i="1"/>
  <c r="M111" i="1"/>
  <c r="M99" i="1"/>
  <c r="M87" i="1"/>
  <c r="M75" i="1"/>
  <c r="M63" i="1"/>
  <c r="M51" i="1"/>
  <c r="M39" i="1"/>
  <c r="M710" i="1"/>
  <c r="M674" i="1"/>
  <c r="M626" i="1"/>
  <c r="M578" i="1"/>
  <c r="M530" i="1"/>
  <c r="M494" i="1"/>
  <c r="M458" i="1"/>
  <c r="M410" i="1"/>
  <c r="M374" i="1"/>
  <c r="M338" i="1"/>
  <c r="M302" i="1"/>
  <c r="M266" i="1"/>
  <c r="M230" i="1"/>
  <c r="M194" i="1"/>
  <c r="M158" i="1"/>
  <c r="M134" i="1"/>
  <c r="M110" i="1"/>
  <c r="M98" i="1"/>
  <c r="M86" i="1"/>
  <c r="M62" i="1"/>
  <c r="M14" i="1"/>
  <c r="M721" i="1"/>
  <c r="M673" i="1"/>
  <c r="M625" i="1"/>
  <c r="M517" i="1"/>
  <c r="M301" i="1"/>
  <c r="M748" i="1"/>
  <c r="M724" i="1"/>
  <c r="M688" i="1"/>
  <c r="M652" i="1"/>
  <c r="M616" i="1"/>
  <c r="M580" i="1"/>
  <c r="M556" i="1"/>
  <c r="R556" i="1" s="1"/>
  <c r="M520" i="1"/>
  <c r="M484" i="1"/>
  <c r="M460" i="1"/>
  <c r="M424" i="1"/>
  <c r="M388" i="1"/>
  <c r="M304" i="1"/>
  <c r="M268" i="1"/>
  <c r="M244" i="1"/>
  <c r="M196" i="1"/>
  <c r="M172" i="1"/>
  <c r="M148" i="1"/>
  <c r="M112" i="1"/>
  <c r="M28" i="1"/>
  <c r="M735" i="1"/>
  <c r="M699" i="1"/>
  <c r="M651" i="1"/>
  <c r="M603" i="1"/>
  <c r="M567" i="1"/>
  <c r="M531" i="1"/>
  <c r="M495" i="1"/>
  <c r="M459" i="1"/>
  <c r="M423" i="1"/>
  <c r="M387" i="1"/>
  <c r="M351" i="1"/>
  <c r="M315" i="1"/>
  <c r="M267" i="1"/>
  <c r="M231" i="1"/>
  <c r="M183" i="1"/>
  <c r="M15" i="1"/>
  <c r="M746" i="1"/>
  <c r="M698" i="1"/>
  <c r="M650" i="1"/>
  <c r="M602" i="1"/>
  <c r="M566" i="1"/>
  <c r="M542" i="1"/>
  <c r="M518" i="1"/>
  <c r="M482" i="1"/>
  <c r="M446" i="1"/>
  <c r="M422" i="1"/>
  <c r="M386" i="1"/>
  <c r="M350" i="1"/>
  <c r="M314" i="1"/>
  <c r="M278" i="1"/>
  <c r="M242" i="1"/>
  <c r="M206" i="1"/>
  <c r="M182" i="1"/>
  <c r="M146" i="1"/>
  <c r="M122" i="1"/>
  <c r="M74" i="1"/>
  <c r="M50" i="1"/>
  <c r="M26" i="1"/>
  <c r="M733" i="1"/>
  <c r="M709" i="1"/>
  <c r="M685" i="1"/>
  <c r="M661" i="1"/>
  <c r="M637" i="1"/>
  <c r="M601" i="1"/>
  <c r="M589" i="1"/>
  <c r="M565" i="1"/>
  <c r="M541" i="1"/>
  <c r="M505" i="1"/>
  <c r="M493" i="1"/>
  <c r="M469" i="1"/>
  <c r="M457" i="1"/>
  <c r="M433" i="1"/>
  <c r="M421" i="1"/>
  <c r="M409" i="1"/>
  <c r="M385" i="1"/>
  <c r="M373" i="1"/>
  <c r="M361" i="1"/>
  <c r="M349" i="1"/>
  <c r="M337" i="1"/>
  <c r="M325" i="1"/>
  <c r="M289" i="1"/>
  <c r="M736" i="1"/>
  <c r="M700" i="1"/>
  <c r="M676" i="1"/>
  <c r="M640" i="1"/>
  <c r="M604" i="1"/>
  <c r="M568" i="1"/>
  <c r="M532" i="1"/>
  <c r="M496" i="1"/>
  <c r="M472" i="1"/>
  <c r="M436" i="1"/>
  <c r="M400" i="1"/>
  <c r="M364" i="1"/>
  <c r="M328" i="1"/>
  <c r="M280" i="1"/>
  <c r="M220" i="1"/>
  <c r="M40" i="1"/>
  <c r="M723" i="1"/>
  <c r="M687" i="1"/>
  <c r="M663" i="1"/>
  <c r="M627" i="1"/>
  <c r="M591" i="1"/>
  <c r="M555" i="1"/>
  <c r="M519" i="1"/>
  <c r="M483" i="1"/>
  <c r="M447" i="1"/>
  <c r="M411" i="1"/>
  <c r="M375" i="1"/>
  <c r="M339" i="1"/>
  <c r="M303" i="1"/>
  <c r="M279" i="1"/>
  <c r="M243" i="1"/>
  <c r="M207" i="1"/>
  <c r="M171" i="1"/>
  <c r="M27" i="1"/>
  <c r="M734" i="1"/>
  <c r="M722" i="1"/>
  <c r="M686" i="1"/>
  <c r="M662" i="1"/>
  <c r="M638" i="1"/>
  <c r="M614" i="1"/>
  <c r="M590" i="1"/>
  <c r="M554" i="1"/>
  <c r="M506" i="1"/>
  <c r="M470" i="1"/>
  <c r="M434" i="1"/>
  <c r="M398" i="1"/>
  <c r="M362" i="1"/>
  <c r="M326" i="1"/>
  <c r="M290" i="1"/>
  <c r="M254" i="1"/>
  <c r="M218" i="1"/>
  <c r="M170" i="1"/>
  <c r="M38" i="1"/>
  <c r="M745" i="1"/>
  <c r="M697" i="1"/>
  <c r="M649" i="1"/>
  <c r="M613" i="1"/>
  <c r="M577" i="1"/>
  <c r="M553" i="1"/>
  <c r="M529" i="1"/>
  <c r="M481" i="1"/>
  <c r="M445" i="1"/>
  <c r="M397" i="1"/>
  <c r="M313" i="1"/>
  <c r="M277" i="1"/>
  <c r="M265" i="1"/>
  <c r="M253" i="1"/>
  <c r="M241" i="1"/>
  <c r="M229" i="1"/>
  <c r="M217" i="1"/>
  <c r="M205" i="1"/>
  <c r="M193" i="1"/>
  <c r="M181" i="1"/>
  <c r="M169" i="1"/>
  <c r="M157" i="1"/>
  <c r="M145" i="1"/>
  <c r="M133" i="1"/>
  <c r="M121" i="1"/>
  <c r="M109" i="1"/>
  <c r="M97" i="1"/>
  <c r="M85" i="1"/>
  <c r="M73" i="1"/>
  <c r="M61" i="1"/>
  <c r="M49" i="1"/>
  <c r="M37" i="1"/>
  <c r="M25" i="1"/>
  <c r="M13" i="1"/>
  <c r="M744" i="1"/>
  <c r="M732" i="1"/>
  <c r="M720" i="1"/>
  <c r="M708" i="1"/>
  <c r="M696" i="1"/>
  <c r="M684" i="1"/>
  <c r="M660" i="1"/>
  <c r="M648" i="1"/>
  <c r="M636" i="1"/>
  <c r="M624" i="1"/>
  <c r="M612" i="1"/>
  <c r="M600" i="1"/>
  <c r="M588" i="1"/>
  <c r="M576" i="1"/>
  <c r="M564" i="1"/>
  <c r="M552" i="1"/>
  <c r="M540" i="1"/>
  <c r="M528" i="1"/>
  <c r="M516" i="1"/>
  <c r="M504" i="1"/>
  <c r="M492" i="1"/>
  <c r="M480" i="1"/>
  <c r="M468" i="1"/>
  <c r="M456" i="1"/>
  <c r="M444" i="1"/>
  <c r="M432" i="1"/>
  <c r="M420" i="1"/>
  <c r="M408" i="1"/>
  <c r="M396" i="1"/>
  <c r="M384" i="1"/>
  <c r="M372" i="1"/>
  <c r="M360" i="1"/>
  <c r="M348" i="1"/>
  <c r="M336" i="1"/>
  <c r="M324" i="1"/>
  <c r="M312" i="1"/>
  <c r="M300" i="1"/>
  <c r="M288" i="1"/>
  <c r="M276" i="1"/>
  <c r="M264" i="1"/>
  <c r="M252" i="1"/>
  <c r="M240" i="1"/>
  <c r="M228" i="1"/>
  <c r="M216" i="1"/>
  <c r="M204" i="1"/>
  <c r="M192" i="1"/>
  <c r="M180" i="1"/>
  <c r="M168" i="1"/>
  <c r="M156" i="1"/>
  <c r="M144" i="1"/>
  <c r="M132" i="1"/>
  <c r="M120" i="1"/>
  <c r="M108" i="1"/>
  <c r="M96" i="1"/>
  <c r="M84" i="1"/>
  <c r="M72" i="1"/>
  <c r="M60" i="1"/>
  <c r="M48" i="1"/>
  <c r="M36" i="1"/>
  <c r="M24" i="1"/>
  <c r="M12" i="1"/>
  <c r="M672" i="1"/>
  <c r="M743" i="1"/>
  <c r="M719" i="1"/>
  <c r="M599" i="1"/>
  <c r="M515" i="1"/>
  <c r="M455" i="1"/>
  <c r="M431" i="1"/>
  <c r="M419" i="1"/>
  <c r="M407" i="1"/>
  <c r="M395" i="1"/>
  <c r="M383" i="1"/>
  <c r="M371" i="1"/>
  <c r="M359" i="1"/>
  <c r="M347" i="1"/>
  <c r="M335" i="1"/>
  <c r="M323" i="1"/>
  <c r="M299" i="1"/>
  <c r="M287" i="1"/>
  <c r="M275" i="1"/>
  <c r="M263" i="1"/>
  <c r="M251" i="1"/>
  <c r="M239" i="1"/>
  <c r="M227" i="1"/>
  <c r="M215" i="1"/>
  <c r="M203" i="1"/>
  <c r="M191" i="1"/>
  <c r="M179" i="1"/>
  <c r="M167" i="1"/>
  <c r="M155" i="1"/>
  <c r="M143" i="1"/>
  <c r="M131" i="1"/>
  <c r="M119" i="1"/>
  <c r="M107" i="1"/>
  <c r="M95" i="1"/>
  <c r="M83" i="1"/>
  <c r="M71" i="1"/>
  <c r="M59" i="1"/>
  <c r="M47" i="1"/>
  <c r="M35" i="1"/>
  <c r="M23" i="1"/>
  <c r="M11" i="1"/>
  <c r="M731" i="1"/>
  <c r="M707" i="1"/>
  <c r="M695" i="1"/>
  <c r="M683" i="1"/>
  <c r="M671" i="1"/>
  <c r="M659" i="1"/>
  <c r="M647" i="1"/>
  <c r="M635" i="1"/>
  <c r="M623" i="1"/>
  <c r="M611" i="1"/>
  <c r="M587" i="1"/>
  <c r="M575" i="1"/>
  <c r="M563" i="1"/>
  <c r="M551" i="1"/>
  <c r="M539" i="1"/>
  <c r="M527" i="1"/>
  <c r="M503" i="1"/>
  <c r="M491" i="1"/>
  <c r="M479" i="1"/>
  <c r="M467" i="1"/>
  <c r="M443" i="1"/>
  <c r="M311" i="1"/>
  <c r="M742" i="1"/>
  <c r="M730" i="1"/>
  <c r="M718" i="1"/>
  <c r="M706" i="1"/>
  <c r="M694" i="1"/>
  <c r="M682" i="1"/>
  <c r="M670" i="1"/>
  <c r="M658" i="1"/>
  <c r="M646" i="1"/>
  <c r="M634" i="1"/>
  <c r="M622" i="1"/>
  <c r="M610" i="1"/>
  <c r="M598" i="1"/>
  <c r="M586" i="1"/>
  <c r="M574" i="1"/>
  <c r="M562" i="1"/>
  <c r="M550" i="1"/>
  <c r="M538" i="1"/>
  <c r="M526" i="1"/>
  <c r="M514" i="1"/>
  <c r="M502" i="1"/>
  <c r="M490" i="1"/>
  <c r="M478" i="1"/>
  <c r="M466" i="1"/>
  <c r="M454" i="1"/>
  <c r="M442" i="1"/>
  <c r="M430" i="1"/>
  <c r="M418" i="1"/>
  <c r="M406" i="1"/>
  <c r="M394" i="1"/>
  <c r="M382" i="1"/>
  <c r="M370" i="1"/>
  <c r="M358" i="1"/>
  <c r="M346" i="1"/>
  <c r="M334" i="1"/>
  <c r="M322" i="1"/>
  <c r="M310" i="1"/>
  <c r="M298" i="1"/>
  <c r="M286" i="1"/>
  <c r="M274" i="1"/>
  <c r="M262" i="1"/>
  <c r="M250" i="1"/>
  <c r="M238" i="1"/>
  <c r="M226" i="1"/>
  <c r="M214" i="1"/>
  <c r="M202" i="1"/>
  <c r="M190" i="1"/>
  <c r="M178" i="1"/>
  <c r="M166" i="1"/>
  <c r="M154" i="1"/>
  <c r="M142" i="1"/>
  <c r="M130" i="1"/>
  <c r="M118" i="1"/>
  <c r="M106" i="1"/>
  <c r="M94" i="1"/>
  <c r="M82" i="1"/>
  <c r="M70" i="1"/>
  <c r="M58" i="1"/>
  <c r="M46" i="1"/>
  <c r="M34" i="1"/>
  <c r="M22" i="1"/>
  <c r="M10" i="1"/>
  <c r="O736" i="1" a="1"/>
  <c r="O736" i="1" s="1"/>
  <c r="P544" i="1" a="1"/>
  <c r="P544" i="1" s="1"/>
  <c r="O703" i="1" a="1"/>
  <c r="O703" i="1" s="1"/>
  <c r="P516" i="1" a="1"/>
  <c r="P516" i="1" s="1"/>
  <c r="P502" i="1" a="1"/>
  <c r="P502" i="1" s="1"/>
  <c r="P728" i="1" a="1"/>
  <c r="P728" i="1" s="1"/>
  <c r="P207" i="1" a="1"/>
  <c r="P207" i="1" s="1"/>
  <c r="P269" i="1" a="1"/>
  <c r="P269" i="1" s="1"/>
  <c r="P268" i="1" a="1"/>
  <c r="P268" i="1" s="1"/>
  <c r="O603" i="1" a="1"/>
  <c r="O603" i="1" s="1"/>
  <c r="P714" i="1" a="1"/>
  <c r="P714" i="1" s="1"/>
  <c r="P493" i="1" a="1"/>
  <c r="P493" i="1" s="1"/>
  <c r="P144" i="1" a="1"/>
  <c r="P144" i="1" s="1"/>
  <c r="O543" i="1" a="1"/>
  <c r="O543" i="1" s="1"/>
  <c r="P674" i="1" a="1"/>
  <c r="P674" i="1" s="1"/>
  <c r="P414" i="1" a="1"/>
  <c r="P414" i="1" s="1"/>
  <c r="P143" i="1" a="1"/>
  <c r="P143" i="1" s="1"/>
  <c r="O535" i="1" a="1"/>
  <c r="O535" i="1" s="1"/>
  <c r="P668" i="1" a="1"/>
  <c r="P668" i="1" s="1"/>
  <c r="P407" i="1" a="1"/>
  <c r="P407" i="1" s="1"/>
  <c r="P140" i="1" a="1"/>
  <c r="P140" i="1" s="1"/>
  <c r="O477" i="1" a="1"/>
  <c r="O477" i="1" s="1"/>
  <c r="P654" i="1" a="1"/>
  <c r="P654" i="1" s="1"/>
  <c r="P360" i="1" a="1"/>
  <c r="P360" i="1" s="1"/>
  <c r="P136" i="1" a="1"/>
  <c r="P136" i="1" s="1"/>
  <c r="O323" i="1" a="1"/>
  <c r="O323" i="1" s="1"/>
  <c r="P648" i="1" a="1"/>
  <c r="P648" i="1" s="1"/>
  <c r="P359" i="1" a="1"/>
  <c r="P359" i="1" s="1"/>
  <c r="P124" i="1" a="1"/>
  <c r="P124" i="1" s="1"/>
  <c r="P533" i="1" a="1"/>
  <c r="P533" i="1" s="1"/>
  <c r="P226" i="1" a="1"/>
  <c r="P226" i="1" s="1"/>
  <c r="P717" i="1" a="1"/>
  <c r="P717" i="1" s="1"/>
  <c r="O250" i="1" a="1"/>
  <c r="O250" i="1" s="1"/>
  <c r="P625" i="1" a="1"/>
  <c r="P625" i="1" s="1"/>
  <c r="P334" i="1" a="1"/>
  <c r="P334" i="1" s="1"/>
  <c r="P123" i="1" a="1"/>
  <c r="P123" i="1" s="1"/>
  <c r="O193" i="1" a="1"/>
  <c r="O193" i="1" s="1"/>
  <c r="P749" i="1" a="1"/>
  <c r="P749" i="1" s="1"/>
  <c r="O702" i="1" a="1"/>
  <c r="O702" i="1" s="1"/>
  <c r="O620" i="1" a="1"/>
  <c r="O620" i="1" s="1"/>
  <c r="P615" i="1" a="1"/>
  <c r="P615" i="1" s="1"/>
  <c r="P324" i="1" a="1"/>
  <c r="P324" i="1" s="1"/>
  <c r="O56" i="1" a="1"/>
  <c r="O56" i="1" s="1"/>
  <c r="O122" i="1" a="1"/>
  <c r="O122" i="1" s="1"/>
  <c r="O260" i="1" a="1"/>
  <c r="O260" i="1" s="1"/>
  <c r="O401" i="1" a="1"/>
  <c r="O401" i="1" s="1"/>
  <c r="O544" i="1" a="1"/>
  <c r="O544" i="1" s="1"/>
  <c r="O662" i="1" a="1"/>
  <c r="O662" i="1" s="1"/>
  <c r="O124" i="1" a="1"/>
  <c r="O124" i="1" s="1"/>
  <c r="O275" i="1" a="1"/>
  <c r="O275" i="1" s="1"/>
  <c r="O425" i="1" a="1"/>
  <c r="O425" i="1" s="1"/>
  <c r="O545" i="1" a="1"/>
  <c r="O545" i="1" s="1"/>
  <c r="O681" i="1" a="1"/>
  <c r="O681" i="1" s="1"/>
  <c r="O126" i="1" a="1"/>
  <c r="O126" i="1" s="1"/>
  <c r="O284" i="1" a="1"/>
  <c r="O284" i="1" s="1"/>
  <c r="O472" i="1" a="1"/>
  <c r="O472" i="1" s="1"/>
  <c r="O564" i="1" a="1"/>
  <c r="O564" i="1" s="1"/>
  <c r="O687" i="1" a="1"/>
  <c r="O687" i="1" s="1"/>
  <c r="O140" i="1" a="1"/>
  <c r="O140" i="1" s="1"/>
  <c r="O285" i="1" a="1"/>
  <c r="O285" i="1" s="1"/>
  <c r="O473" i="1" a="1"/>
  <c r="O473" i="1" s="1"/>
  <c r="O566" i="1" a="1"/>
  <c r="O566" i="1" s="1"/>
  <c r="O697" i="1" a="1"/>
  <c r="O697" i="1" s="1"/>
  <c r="O171" i="1" a="1"/>
  <c r="O171" i="1" s="1"/>
  <c r="O286" i="1" a="1"/>
  <c r="O286" i="1" s="1"/>
  <c r="O474" i="1" a="1"/>
  <c r="O474" i="1" s="1"/>
  <c r="O575" i="1" a="1"/>
  <c r="O575" i="1" s="1"/>
  <c r="O701" i="1" a="1"/>
  <c r="O701" i="1" s="1"/>
  <c r="O199" i="1" a="1"/>
  <c r="O199" i="1" s="1"/>
  <c r="O478" i="1" a="1"/>
  <c r="O478" i="1" s="1"/>
  <c r="O646" i="1" a="1"/>
  <c r="O646" i="1" s="1"/>
  <c r="O82" i="1" a="1"/>
  <c r="O82" i="1" s="1"/>
  <c r="O367" i="1" a="1"/>
  <c r="O367" i="1" s="1"/>
  <c r="O622" i="1" a="1"/>
  <c r="O622" i="1" s="1"/>
  <c r="O102" i="1" a="1"/>
  <c r="O102" i="1" s="1"/>
  <c r="O398" i="1" a="1"/>
  <c r="O398" i="1" s="1"/>
  <c r="O637" i="1" a="1"/>
  <c r="O637" i="1" s="1"/>
  <c r="O174" i="1" a="1"/>
  <c r="O174" i="1" s="1"/>
  <c r="O399" i="1" a="1"/>
  <c r="O399" i="1" s="1"/>
  <c r="O48" i="1" a="1"/>
  <c r="O48" i="1" s="1"/>
  <c r="O349" i="1" a="1"/>
  <c r="O349" i="1" s="1"/>
  <c r="O594" i="1" a="1"/>
  <c r="O594" i="1" s="1"/>
  <c r="O751" i="1" a="1"/>
  <c r="O751" i="1" s="1"/>
  <c r="O732" i="1" a="1"/>
  <c r="O732" i="1" s="1"/>
  <c r="O366" i="1" a="1"/>
  <c r="O366" i="1" s="1"/>
  <c r="P18" i="1" a="1"/>
  <c r="P18" i="1" s="1"/>
  <c r="P8" i="1" a="1"/>
  <c r="P8" i="1" s="1"/>
  <c r="P91" i="1" a="1"/>
  <c r="P91" i="1" s="1"/>
  <c r="P170" i="1" a="1"/>
  <c r="P170" i="1" s="1"/>
  <c r="P230" i="1" a="1"/>
  <c r="P230" i="1" s="1"/>
  <c r="P306" i="1" a="1"/>
  <c r="P306" i="1" s="1"/>
  <c r="P361" i="1" a="1"/>
  <c r="P361" i="1" s="1"/>
  <c r="P444" i="1" a="1"/>
  <c r="P444" i="1" s="1"/>
  <c r="P523" i="1" a="1"/>
  <c r="P523" i="1" s="1"/>
  <c r="P569" i="1" a="1"/>
  <c r="P569" i="1" s="1"/>
  <c r="P677" i="1" a="1"/>
  <c r="P677" i="1" s="1"/>
  <c r="P19" i="1" a="1"/>
  <c r="P19" i="1" s="1"/>
  <c r="P92" i="1" a="1"/>
  <c r="P92" i="1" s="1"/>
  <c r="P174" i="1" a="1"/>
  <c r="P174" i="1" s="1"/>
  <c r="P307" i="1" a="1"/>
  <c r="P307" i="1" s="1"/>
  <c r="P381" i="1" a="1"/>
  <c r="P381" i="1" s="1"/>
  <c r="P451" i="1" a="1"/>
  <c r="P451" i="1" s="1"/>
  <c r="P524" i="1" a="1"/>
  <c r="P524" i="1" s="1"/>
  <c r="P583" i="1" a="1"/>
  <c r="P583" i="1" s="1"/>
  <c r="P628" i="1" a="1"/>
  <c r="P628" i="1" s="1"/>
  <c r="P742" i="1" a="1"/>
  <c r="P742" i="1" s="1"/>
  <c r="P35" i="1" a="1"/>
  <c r="P35" i="1" s="1"/>
  <c r="P97" i="1" a="1"/>
  <c r="P97" i="1" s="1"/>
  <c r="P241" i="1" a="1"/>
  <c r="P241" i="1" s="1"/>
  <c r="P310" i="1" a="1"/>
  <c r="P310" i="1" s="1"/>
  <c r="P382" i="1" a="1"/>
  <c r="P382" i="1" s="1"/>
  <c r="P452" i="1" a="1"/>
  <c r="P452" i="1" s="1"/>
  <c r="P585" i="1" a="1"/>
  <c r="P585" i="1" s="1"/>
  <c r="P693" i="1" a="1"/>
  <c r="P693" i="1" s="1"/>
  <c r="P743" i="1" a="1"/>
  <c r="P743" i="1" s="1"/>
  <c r="P36" i="1" a="1"/>
  <c r="P36" i="1" s="1"/>
  <c r="P98" i="1" a="1"/>
  <c r="P98" i="1" s="1"/>
  <c r="P181" i="1" a="1"/>
  <c r="P181" i="1" s="1"/>
  <c r="P259" i="1" a="1"/>
  <c r="P259" i="1" s="1"/>
  <c r="P319" i="1" a="1"/>
  <c r="P319" i="1" s="1"/>
  <c r="P383" i="1" a="1"/>
  <c r="P383" i="1" s="1"/>
  <c r="P464" i="1" a="1"/>
  <c r="P464" i="1" s="1"/>
  <c r="P525" i="1" a="1"/>
  <c r="P525" i="1" s="1"/>
  <c r="P594" i="1" a="1"/>
  <c r="P594" i="1" s="1"/>
  <c r="P644" i="1" a="1"/>
  <c r="P644" i="1" s="1"/>
  <c r="P745" i="1" a="1"/>
  <c r="P745" i="1" s="1"/>
  <c r="P37" i="1" a="1"/>
  <c r="P37" i="1" s="1"/>
  <c r="P116" i="1" a="1"/>
  <c r="P116" i="1" s="1"/>
  <c r="P260" i="1" a="1"/>
  <c r="P260" i="1" s="1"/>
  <c r="P320" i="1" a="1"/>
  <c r="P320" i="1" s="1"/>
  <c r="P401" i="1" a="1"/>
  <c r="P401" i="1" s="1"/>
  <c r="P474" i="1" a="1"/>
  <c r="P474" i="1" s="1"/>
  <c r="P526" i="1" a="1"/>
  <c r="P526" i="1" s="1"/>
  <c r="P647" i="1" a="1"/>
  <c r="P647" i="1" s="1"/>
  <c r="P696" i="1" a="1"/>
  <c r="P696" i="1" s="1"/>
  <c r="P748" i="1" a="1"/>
  <c r="P748" i="1" s="1"/>
  <c r="P57" i="1" a="1"/>
  <c r="P57" i="1" s="1"/>
  <c r="P297" i="1" a="1"/>
  <c r="P297" i="1" s="1"/>
  <c r="P434" i="1" a="1"/>
  <c r="P434" i="1" s="1"/>
  <c r="P553" i="1" a="1"/>
  <c r="P553" i="1" s="1"/>
  <c r="P722" i="1" a="1"/>
  <c r="P722" i="1" s="1"/>
  <c r="P63" i="1" a="1"/>
  <c r="P63" i="1" s="1"/>
  <c r="P214" i="1" a="1"/>
  <c r="P214" i="1" s="1"/>
  <c r="P354" i="1" a="1"/>
  <c r="P354" i="1" s="1"/>
  <c r="P477" i="1" a="1"/>
  <c r="P477" i="1" s="1"/>
  <c r="P595" i="1" a="1"/>
  <c r="P595" i="1" s="1"/>
  <c r="P676" i="1" a="1"/>
  <c r="P676" i="1" s="1"/>
  <c r="P86" i="1" a="1"/>
  <c r="P86" i="1" s="1"/>
  <c r="P215" i="1" a="1"/>
  <c r="P215" i="1" s="1"/>
  <c r="P489" i="1" a="1"/>
  <c r="P489" i="1" s="1"/>
  <c r="P598" i="1" a="1"/>
  <c r="P598" i="1" s="1"/>
  <c r="P700" i="1" a="1"/>
  <c r="P700" i="1" s="1"/>
  <c r="P87" i="1" a="1"/>
  <c r="P87" i="1" s="1"/>
  <c r="P217" i="1" a="1"/>
  <c r="P217" i="1" s="1"/>
  <c r="P355" i="1" a="1"/>
  <c r="P355" i="1" s="1"/>
  <c r="P490" i="1" a="1"/>
  <c r="P490" i="1" s="1"/>
  <c r="P606" i="1" a="1"/>
  <c r="P606" i="1" s="1"/>
  <c r="P702" i="1" a="1"/>
  <c r="P702" i="1" s="1"/>
  <c r="P41" i="1" a="1"/>
  <c r="P41" i="1" s="1"/>
  <c r="P154" i="1" a="1"/>
  <c r="P154" i="1" s="1"/>
  <c r="P290" i="1" a="1"/>
  <c r="P290" i="1" s="1"/>
  <c r="P438" i="1" a="1"/>
  <c r="P438" i="1" s="1"/>
  <c r="P554" i="1" a="1"/>
  <c r="P554" i="1" s="1"/>
  <c r="P655" i="1" a="1"/>
  <c r="P655" i="1" s="1"/>
  <c r="O704" i="1" a="1"/>
  <c r="O704" i="1" s="1"/>
  <c r="O365" i="1" a="1"/>
  <c r="O365" i="1" s="1"/>
  <c r="P720" i="1" a="1"/>
  <c r="P720" i="1" s="1"/>
  <c r="P555" i="1" a="1"/>
  <c r="P555" i="1" s="1"/>
  <c r="P406" i="1" a="1"/>
  <c r="P406" i="1" s="1"/>
  <c r="P188" i="1" a="1"/>
  <c r="P188" i="1" s="1"/>
  <c r="O529" i="1" a="1"/>
  <c r="O529" i="1" s="1"/>
  <c r="O81" i="1" a="1"/>
  <c r="O81" i="1" s="1"/>
  <c r="O505" i="1" a="1"/>
  <c r="O505" i="1" s="1"/>
  <c r="O59" i="1" a="1"/>
  <c r="O59" i="1" s="1"/>
  <c r="P617" i="1" a="1"/>
  <c r="P617" i="1" s="1"/>
  <c r="P441" i="1" a="1"/>
  <c r="P441" i="1" s="1"/>
  <c r="P267" i="1" a="1"/>
  <c r="P267" i="1" s="1"/>
  <c r="P49" i="1" a="1"/>
  <c r="P49" i="1" s="1"/>
  <c r="O749" i="1" a="1"/>
  <c r="O749" i="1" s="1"/>
  <c r="O499" i="1" a="1"/>
  <c r="O499" i="1" s="1"/>
  <c r="P616" i="1" a="1"/>
  <c r="P616" i="1" s="1"/>
  <c r="P416" i="1" a="1"/>
  <c r="P416" i="1" s="1"/>
  <c r="P266" i="1" a="1"/>
  <c r="P266" i="1" s="1"/>
  <c r="N485" i="1" a="1"/>
  <c r="N485" i="1" s="1"/>
  <c r="Q726" i="1" a="1"/>
  <c r="Q726" i="1" s="1"/>
  <c r="Q642" i="1" a="1"/>
  <c r="Q642" i="1" s="1"/>
  <c r="Q585" i="1" a="1"/>
  <c r="Q585" i="1" s="1"/>
  <c r="Q555" i="1" a="1"/>
  <c r="Q555" i="1" s="1"/>
  <c r="Q488" i="1" a="1"/>
  <c r="Q488" i="1" s="1"/>
  <c r="Q419" i="1" a="1"/>
  <c r="Q419" i="1" s="1"/>
  <c r="Q282" i="1" a="1"/>
  <c r="Q282" i="1" s="1"/>
  <c r="Q176" i="1" a="1"/>
  <c r="Q176" i="1" s="1"/>
  <c r="Q139" i="1" a="1"/>
  <c r="Q139" i="1" s="1"/>
  <c r="Q93" i="1" a="1"/>
  <c r="Q93" i="1" s="1"/>
  <c r="Q699" i="1" a="1"/>
  <c r="Q699" i="1" s="1"/>
  <c r="Q670" i="1" a="1"/>
  <c r="Q670" i="1" s="1"/>
  <c r="Q613" i="1" a="1"/>
  <c r="Q613" i="1" s="1"/>
  <c r="Q584" i="1" a="1"/>
  <c r="Q584" i="1" s="1"/>
  <c r="Q553" i="1" a="1"/>
  <c r="Q553" i="1" s="1"/>
  <c r="Q522" i="1" a="1"/>
  <c r="Q522" i="1" s="1"/>
  <c r="Q453" i="1" a="1"/>
  <c r="Q453" i="1" s="1"/>
  <c r="Q384" i="1" a="1"/>
  <c r="Q384" i="1" s="1"/>
  <c r="Q351" i="1" a="1"/>
  <c r="Q351" i="1" s="1"/>
  <c r="Q316" i="1" a="1"/>
  <c r="Q316" i="1" s="1"/>
  <c r="Q247" i="1" a="1"/>
  <c r="Q247" i="1" s="1"/>
  <c r="Q211" i="1" a="1"/>
  <c r="Q211" i="1" s="1"/>
  <c r="Q698" i="1" a="1"/>
  <c r="Q698" i="1" s="1"/>
  <c r="Q38" i="1" a="1"/>
  <c r="Q38" i="1" s="1"/>
  <c r="Q669" i="1" a="1"/>
  <c r="Q669" i="1" s="1"/>
  <c r="Q640" i="1" a="1"/>
  <c r="Q640" i="1" s="1"/>
  <c r="Q417" i="1" a="1"/>
  <c r="Q417" i="1" s="1"/>
  <c r="Q748" i="1" a="1"/>
  <c r="Q748" i="1" s="1"/>
  <c r="Q723" i="1" a="1"/>
  <c r="Q723" i="1" s="1"/>
  <c r="Q696" i="1" a="1"/>
  <c r="Q696" i="1" s="1"/>
  <c r="Q582" i="1" a="1"/>
  <c r="Q582" i="1" s="1"/>
  <c r="Q551" i="1" a="1"/>
  <c r="Q551" i="1" s="1"/>
  <c r="Q518" i="1" a="1"/>
  <c r="Q518" i="1" s="1"/>
  <c r="Q484" i="1" a="1"/>
  <c r="Q484" i="1" s="1"/>
  <c r="Q416" i="1" a="1"/>
  <c r="Q416" i="1" s="1"/>
  <c r="Q347" i="1" a="1"/>
  <c r="Q347" i="1" s="1"/>
  <c r="Q198" i="1" a="1"/>
  <c r="Q198" i="1" s="1"/>
  <c r="Q120" i="1" a="1"/>
  <c r="Q120" i="1" s="1"/>
  <c r="Q35" i="1" a="1"/>
  <c r="Q35" i="1" s="1"/>
  <c r="Q740" i="1" a="1"/>
  <c r="Q740" i="1" s="1"/>
  <c r="Q714" i="1" a="1"/>
  <c r="Q714" i="1" s="1"/>
  <c r="Q688" i="1" a="1"/>
  <c r="Q688" i="1" s="1"/>
  <c r="Q602" i="1" a="1"/>
  <c r="Q602" i="1" s="1"/>
  <c r="Q573" i="1" a="1"/>
  <c r="Q573" i="1" s="1"/>
  <c r="Q542" i="1" a="1"/>
  <c r="Q542" i="1" s="1"/>
  <c r="Q509" i="1" a="1"/>
  <c r="Q509" i="1" s="1"/>
  <c r="Q372" i="1" a="1"/>
  <c r="Q372" i="1" s="1"/>
  <c r="Q303" i="1" a="1"/>
  <c r="Q303" i="1" s="1"/>
  <c r="Q234" i="1" a="1"/>
  <c r="Q234" i="1" s="1"/>
  <c r="Q158" i="1" a="1"/>
  <c r="Q158" i="1" s="1"/>
  <c r="Q107" i="1" a="1"/>
  <c r="Q107" i="1" s="1"/>
  <c r="Q659" i="1" a="1"/>
  <c r="Q659" i="1" s="1"/>
  <c r="Q630" i="1" a="1"/>
  <c r="Q630" i="1" s="1"/>
  <c r="Q572" i="1" a="1"/>
  <c r="Q572" i="1" s="1"/>
  <c r="Q439" i="1" a="1"/>
  <c r="Q439" i="1" s="1"/>
  <c r="Q405" i="1" a="1"/>
  <c r="Q405" i="1" s="1"/>
  <c r="Q337" i="1" a="1"/>
  <c r="Q337" i="1" s="1"/>
  <c r="Q302" i="1" a="1"/>
  <c r="Q302" i="1" s="1"/>
  <c r="Q268" i="1" a="1"/>
  <c r="Q268" i="1" s="1"/>
  <c r="Q156" i="1" a="1"/>
  <c r="Q156" i="1" s="1"/>
  <c r="Q71" i="1" a="1"/>
  <c r="Q71" i="1" s="1"/>
  <c r="Q713" i="1" a="1"/>
  <c r="Q713" i="1" s="1"/>
  <c r="Q685" i="1" a="1"/>
  <c r="Q685" i="1" s="1"/>
  <c r="Q656" i="1" a="1"/>
  <c r="Q656" i="1" s="1"/>
  <c r="Q628" i="1" a="1"/>
  <c r="Q628" i="1" s="1"/>
  <c r="Q570" i="1" a="1"/>
  <c r="Q570" i="1" s="1"/>
  <c r="Q437" i="1" a="1"/>
  <c r="Q437" i="1" s="1"/>
  <c r="Q300" i="1" a="1"/>
  <c r="Q300" i="1" s="1"/>
  <c r="Q264" i="1" a="1"/>
  <c r="Q264" i="1" s="1"/>
  <c r="Q194" i="1" a="1"/>
  <c r="Q194" i="1" s="1"/>
  <c r="Q143" i="1" a="1"/>
  <c r="Q143" i="1" s="1"/>
  <c r="Q106" i="1" a="1"/>
  <c r="Q106" i="1" s="1"/>
  <c r="Q738" i="1" a="1"/>
  <c r="Q738" i="1" s="1"/>
  <c r="Q712" i="1" a="1"/>
  <c r="Q712" i="1" s="1"/>
  <c r="Q655" i="1" a="1"/>
  <c r="Q655" i="1" s="1"/>
  <c r="Q627" i="1" a="1"/>
  <c r="Q627" i="1" s="1"/>
  <c r="Q598" i="1" a="1"/>
  <c r="Q598" i="1" s="1"/>
  <c r="Q569" i="1" a="1"/>
  <c r="Q569" i="1" s="1"/>
  <c r="Q469" i="1" a="1"/>
  <c r="Q469" i="1" s="1"/>
  <c r="Q436" i="1" a="1"/>
  <c r="Q436" i="1" s="1"/>
  <c r="Q401" i="1" a="1"/>
  <c r="Q401" i="1" s="1"/>
  <c r="Q332" i="1" a="1"/>
  <c r="Q332" i="1" s="1"/>
  <c r="Q298" i="1" a="1"/>
  <c r="Q298" i="1" s="1"/>
  <c r="Q263" i="1" a="1"/>
  <c r="Q263" i="1" s="1"/>
  <c r="Q59" i="1" a="1"/>
  <c r="Q59" i="1" s="1"/>
  <c r="Q2" i="1" a="1"/>
  <c r="Q2" i="1" s="1"/>
  <c r="Q291" i="1" a="1"/>
  <c r="Q291" i="1" s="1"/>
  <c r="Q304" i="1" a="1"/>
  <c r="Q304" i="1" s="1"/>
  <c r="Q317" i="1" a="1"/>
  <c r="Q317" i="1" s="1"/>
  <c r="Q330" i="1" a="1"/>
  <c r="Q330" i="1" s="1"/>
  <c r="Q343" i="1" a="1"/>
  <c r="Q343" i="1" s="1"/>
  <c r="Q356" i="1" a="1"/>
  <c r="Q356" i="1" s="1"/>
  <c r="Q363" i="1" a="1"/>
  <c r="Q363" i="1" s="1"/>
  <c r="Q376" i="1" a="1"/>
  <c r="Q376" i="1" s="1"/>
  <c r="Q389" i="1" a="1"/>
  <c r="Q389" i="1" s="1"/>
  <c r="Q402" i="1" a="1"/>
  <c r="Q402" i="1" s="1"/>
  <c r="Q415" i="1" a="1"/>
  <c r="Q415" i="1" s="1"/>
  <c r="Q428" i="1" a="1"/>
  <c r="Q428" i="1" s="1"/>
  <c r="Q435" i="1" a="1"/>
  <c r="Q435" i="1" s="1"/>
  <c r="Q448" i="1" a="1"/>
  <c r="Q448" i="1" s="1"/>
  <c r="Q461" i="1" a="1"/>
  <c r="Q461" i="1" s="1"/>
  <c r="Q474" i="1" a="1"/>
  <c r="Q474" i="1" s="1"/>
  <c r="Q487" i="1" a="1"/>
  <c r="Q487" i="1" s="1"/>
  <c r="Q500" i="1" a="1"/>
  <c r="Q500" i="1" s="1"/>
  <c r="Q507" i="1" a="1"/>
  <c r="Q507" i="1" s="1"/>
  <c r="Q520" i="1" a="1"/>
  <c r="Q520" i="1" s="1"/>
  <c r="Q3" i="1" a="1"/>
  <c r="Q3" i="1" s="1"/>
  <c r="Q16" i="1" a="1"/>
  <c r="Q16" i="1" s="1"/>
  <c r="Q29" i="1" a="1"/>
  <c r="Q29" i="1" s="1"/>
  <c r="Q42" i="1" a="1"/>
  <c r="Q42" i="1" s="1"/>
  <c r="Q55" i="1" a="1"/>
  <c r="Q55" i="1" s="1"/>
  <c r="Q68" i="1" a="1"/>
  <c r="Q68" i="1" s="1"/>
  <c r="Q75" i="1" a="1"/>
  <c r="Q75" i="1" s="1"/>
  <c r="Q88" i="1" a="1"/>
  <c r="Q88" i="1" s="1"/>
  <c r="Q101" i="1" a="1"/>
  <c r="Q101" i="1" s="1"/>
  <c r="Q114" i="1" a="1"/>
  <c r="Q114" i="1" s="1"/>
  <c r="Q127" i="1" a="1"/>
  <c r="Q127" i="1" s="1"/>
  <c r="Q140" i="1" a="1"/>
  <c r="Q140" i="1" s="1"/>
  <c r="Q147" i="1" a="1"/>
  <c r="Q147" i="1" s="1"/>
  <c r="Q160" i="1" a="1"/>
  <c r="Q160" i="1" s="1"/>
  <c r="Q173" i="1" a="1"/>
  <c r="Q173" i="1" s="1"/>
  <c r="Q186" i="1" a="1"/>
  <c r="Q186" i="1" s="1"/>
  <c r="Q199" i="1" a="1"/>
  <c r="Q199" i="1" s="1"/>
  <c r="Q212" i="1" a="1"/>
  <c r="Q212" i="1" s="1"/>
  <c r="Q219" i="1" a="1"/>
  <c r="Q219" i="1" s="1"/>
  <c r="Q232" i="1" a="1"/>
  <c r="Q232" i="1" s="1"/>
  <c r="Q245" i="1" a="1"/>
  <c r="Q245" i="1" s="1"/>
  <c r="Q258" i="1" a="1"/>
  <c r="Q258" i="1" s="1"/>
  <c r="Q271" i="1" a="1"/>
  <c r="Q271" i="1" s="1"/>
  <c r="Q284" i="1" a="1"/>
  <c r="Q284" i="1" s="1"/>
  <c r="Q10" i="1" a="1"/>
  <c r="Q10" i="1" s="1"/>
  <c r="Q23" i="1" a="1"/>
  <c r="Q23" i="1" s="1"/>
  <c r="Q36" i="1" a="1"/>
  <c r="Q36" i="1" s="1"/>
  <c r="Q49" i="1" a="1"/>
  <c r="Q49" i="1" s="1"/>
  <c r="Q62" i="1" a="1"/>
  <c r="Q62" i="1" s="1"/>
  <c r="Q69" i="1" a="1"/>
  <c r="Q69" i="1" s="1"/>
  <c r="Q82" i="1" a="1"/>
  <c r="Q82" i="1" s="1"/>
  <c r="Q95" i="1" a="1"/>
  <c r="Q95" i="1" s="1"/>
  <c r="Q108" i="1" a="1"/>
  <c r="Q108" i="1" s="1"/>
  <c r="Q121" i="1" a="1"/>
  <c r="Q121" i="1" s="1"/>
  <c r="Q134" i="1" a="1"/>
  <c r="Q134" i="1" s="1"/>
  <c r="Q141" i="1" a="1"/>
  <c r="Q141" i="1" s="1"/>
  <c r="Q154" i="1" a="1"/>
  <c r="Q154" i="1" s="1"/>
  <c r="Q167" i="1" a="1"/>
  <c r="Q167" i="1" s="1"/>
  <c r="Q180" i="1" a="1"/>
  <c r="Q180" i="1" s="1"/>
  <c r="Q193" i="1" a="1"/>
  <c r="Q193" i="1" s="1"/>
  <c r="Q206" i="1" a="1"/>
  <c r="Q206" i="1" s="1"/>
  <c r="Q213" i="1" a="1"/>
  <c r="Q213" i="1" s="1"/>
  <c r="Q226" i="1" a="1"/>
  <c r="Q226" i="1" s="1"/>
  <c r="Q239" i="1" a="1"/>
  <c r="Q239" i="1" s="1"/>
  <c r="Q252" i="1" a="1"/>
  <c r="Q252" i="1" s="1"/>
  <c r="Q265" i="1" a="1"/>
  <c r="Q265" i="1" s="1"/>
  <c r="Q278" i="1" a="1"/>
  <c r="Q278" i="1" s="1"/>
  <c r="Q285" i="1" a="1"/>
  <c r="Q285" i="1" s="1"/>
  <c r="Q292" i="1" a="1"/>
  <c r="Q292" i="1" s="1"/>
  <c r="Q299" i="1" a="1"/>
  <c r="Q299" i="1" s="1"/>
  <c r="Q306" i="1" a="1"/>
  <c r="Q306" i="1" s="1"/>
  <c r="Q313" i="1" a="1"/>
  <c r="Q313" i="1" s="1"/>
  <c r="Q320" i="1" a="1"/>
  <c r="Q320" i="1" s="1"/>
  <c r="Q399" i="1" a="1"/>
  <c r="Q399" i="1" s="1"/>
  <c r="Q406" i="1" a="1"/>
  <c r="Q406" i="1" s="1"/>
  <c r="Q413" i="1" a="1"/>
  <c r="Q413" i="1" s="1"/>
  <c r="Q420" i="1" a="1"/>
  <c r="Q420" i="1" s="1"/>
  <c r="Q427" i="1" a="1"/>
  <c r="Q427" i="1" s="1"/>
  <c r="Q434" i="1" a="1"/>
  <c r="Q434" i="1" s="1"/>
  <c r="Q442" i="1" a="1"/>
  <c r="Q442" i="1" s="1"/>
  <c r="Q449" i="1" a="1"/>
  <c r="Q449" i="1" s="1"/>
  <c r="Q456" i="1" a="1"/>
  <c r="Q456" i="1" s="1"/>
  <c r="Q463" i="1" a="1"/>
  <c r="Q463" i="1" s="1"/>
  <c r="Q470" i="1" a="1"/>
  <c r="Q470" i="1" s="1"/>
  <c r="Q513" i="1" a="1"/>
  <c r="Q513" i="1" s="1"/>
  <c r="Q534" i="1" a="1"/>
  <c r="Q534" i="1" s="1"/>
  <c r="Q547" i="1" a="1"/>
  <c r="Q547" i="1" s="1"/>
  <c r="Q560" i="1" a="1"/>
  <c r="Q560" i="1" s="1"/>
  <c r="Q567" i="1" a="1"/>
  <c r="Q567" i="1" s="1"/>
  <c r="Q580" i="1" a="1"/>
  <c r="Q580" i="1" s="1"/>
  <c r="Q593" i="1" a="1"/>
  <c r="Q593" i="1" s="1"/>
  <c r="Q606" i="1" a="1"/>
  <c r="Q606" i="1" s="1"/>
  <c r="Q619" i="1" a="1"/>
  <c r="Q619" i="1" s="1"/>
  <c r="Q632" i="1" a="1"/>
  <c r="Q632" i="1" s="1"/>
  <c r="Q639" i="1" a="1"/>
  <c r="Q639" i="1" s="1"/>
  <c r="Q652" i="1" a="1"/>
  <c r="Q652" i="1" s="1"/>
  <c r="Q665" i="1" a="1"/>
  <c r="Q665" i="1" s="1"/>
  <c r="Q678" i="1" a="1"/>
  <c r="Q678" i="1" s="1"/>
  <c r="Q691" i="1" a="1"/>
  <c r="Q691" i="1" s="1"/>
  <c r="Q704" i="1" a="1"/>
  <c r="Q704" i="1" s="1"/>
  <c r="Q711" i="1" a="1"/>
  <c r="Q711" i="1" s="1"/>
  <c r="Q724" i="1" a="1"/>
  <c r="Q724" i="1" s="1"/>
  <c r="Q737" i="1" a="1"/>
  <c r="Q737" i="1" s="1"/>
  <c r="Q750" i="1" a="1"/>
  <c r="Q750" i="1" s="1"/>
  <c r="Q4" i="1" a="1"/>
  <c r="Q4" i="1" s="1"/>
  <c r="Q17" i="1" a="1"/>
  <c r="Q17" i="1" s="1"/>
  <c r="Q30" i="1" a="1"/>
  <c r="Q30" i="1" s="1"/>
  <c r="Q43" i="1" a="1"/>
  <c r="Q43" i="1" s="1"/>
  <c r="Q56" i="1" a="1"/>
  <c r="Q56" i="1" s="1"/>
  <c r="Q63" i="1" a="1"/>
  <c r="Q63" i="1" s="1"/>
  <c r="Q76" i="1" a="1"/>
  <c r="Q76" i="1" s="1"/>
  <c r="Q89" i="1" a="1"/>
  <c r="Q89" i="1" s="1"/>
  <c r="Q102" i="1" a="1"/>
  <c r="Q102" i="1" s="1"/>
  <c r="Q115" i="1" a="1"/>
  <c r="Q115" i="1" s="1"/>
  <c r="Q128" i="1" a="1"/>
  <c r="Q128" i="1" s="1"/>
  <c r="Q135" i="1" a="1"/>
  <c r="Q135" i="1" s="1"/>
  <c r="Q148" i="1" a="1"/>
  <c r="Q148" i="1" s="1"/>
  <c r="Q161" i="1" a="1"/>
  <c r="Q161" i="1" s="1"/>
  <c r="Q174" i="1" a="1"/>
  <c r="Q174" i="1" s="1"/>
  <c r="Q187" i="1" a="1"/>
  <c r="Q187" i="1" s="1"/>
  <c r="Q200" i="1" a="1"/>
  <c r="Q200" i="1" s="1"/>
  <c r="Q207" i="1" a="1"/>
  <c r="Q207" i="1" s="1"/>
  <c r="Q220" i="1" a="1"/>
  <c r="Q220" i="1" s="1"/>
  <c r="Q233" i="1" a="1"/>
  <c r="Q233" i="1" s="1"/>
  <c r="Q246" i="1" a="1"/>
  <c r="Q246" i="1" s="1"/>
  <c r="Q259" i="1" a="1"/>
  <c r="Q259" i="1" s="1"/>
  <c r="Q272" i="1" a="1"/>
  <c r="Q272" i="1" s="1"/>
  <c r="Q279" i="1" a="1"/>
  <c r="Q279" i="1" s="1"/>
  <c r="Q321" i="1" a="1"/>
  <c r="Q321" i="1" s="1"/>
  <c r="Q328" i="1" a="1"/>
  <c r="Q328" i="1" s="1"/>
  <c r="Q335" i="1" a="1"/>
  <c r="Q335" i="1" s="1"/>
  <c r="Q342" i="1" a="1"/>
  <c r="Q342" i="1" s="1"/>
  <c r="Q349" i="1" a="1"/>
  <c r="Q349" i="1" s="1"/>
  <c r="Q357" i="1" a="1"/>
  <c r="Q357" i="1" s="1"/>
  <c r="Q364" i="1" a="1"/>
  <c r="Q364" i="1" s="1"/>
  <c r="Q371" i="1" a="1"/>
  <c r="Q371" i="1" s="1"/>
  <c r="Q378" i="1" a="1"/>
  <c r="Q378" i="1" s="1"/>
  <c r="Q385" i="1" a="1"/>
  <c r="Q385" i="1" s="1"/>
  <c r="Q392" i="1" a="1"/>
  <c r="Q392" i="1" s="1"/>
  <c r="Q471" i="1" a="1"/>
  <c r="Q471" i="1" s="1"/>
  <c r="Q478" i="1" a="1"/>
  <c r="Q478" i="1" s="1"/>
  <c r="Q485" i="1" a="1"/>
  <c r="Q485" i="1" s="1"/>
  <c r="Q492" i="1" a="1"/>
  <c r="Q492" i="1" s="1"/>
  <c r="Q499" i="1" a="1"/>
  <c r="Q499" i="1" s="1"/>
  <c r="Q506" i="1" a="1"/>
  <c r="Q506" i="1" s="1"/>
  <c r="Q514" i="1" a="1"/>
  <c r="Q514" i="1" s="1"/>
  <c r="Q521" i="1" a="1"/>
  <c r="Q521" i="1" s="1"/>
  <c r="Q528" i="1" a="1"/>
  <c r="Q528" i="1" s="1"/>
  <c r="Q541" i="1" a="1"/>
  <c r="Q541" i="1" s="1"/>
  <c r="Q554" i="1" a="1"/>
  <c r="Q554" i="1" s="1"/>
  <c r="Q561" i="1" a="1"/>
  <c r="Q561" i="1" s="1"/>
  <c r="Q574" i="1" a="1"/>
  <c r="Q574" i="1" s="1"/>
  <c r="Q21" i="1" a="1"/>
  <c r="Q21" i="1" s="1"/>
  <c r="Q39" i="1" a="1"/>
  <c r="Q39" i="1" s="1"/>
  <c r="Q47" i="1" a="1"/>
  <c r="Q47" i="1" s="1"/>
  <c r="Q57" i="1" a="1"/>
  <c r="Q57" i="1" s="1"/>
  <c r="Q65" i="1" a="1"/>
  <c r="Q65" i="1" s="1"/>
  <c r="Q73" i="1" a="1"/>
  <c r="Q73" i="1" s="1"/>
  <c r="Q83" i="1" a="1"/>
  <c r="Q83" i="1" s="1"/>
  <c r="Q91" i="1" a="1"/>
  <c r="Q91" i="1" s="1"/>
  <c r="Q109" i="1" a="1"/>
  <c r="Q109" i="1" s="1"/>
  <c r="Q178" i="1" a="1"/>
  <c r="Q178" i="1" s="1"/>
  <c r="Q196" i="1" a="1"/>
  <c r="Q196" i="1" s="1"/>
  <c r="Q204" i="1" a="1"/>
  <c r="Q204" i="1" s="1"/>
  <c r="Q214" i="1" a="1"/>
  <c r="Q214" i="1" s="1"/>
  <c r="Q222" i="1" a="1"/>
  <c r="Q222" i="1" s="1"/>
  <c r="Q230" i="1" a="1"/>
  <c r="Q230" i="1" s="1"/>
  <c r="Q240" i="1" a="1"/>
  <c r="Q240" i="1" s="1"/>
  <c r="Q248" i="1" a="1"/>
  <c r="Q248" i="1" s="1"/>
  <c r="Q266" i="1" a="1"/>
  <c r="Q266" i="1" s="1"/>
  <c r="Q309" i="1" a="1"/>
  <c r="Q309" i="1" s="1"/>
  <c r="Q334" i="1" a="1"/>
  <c r="Q334" i="1" s="1"/>
  <c r="Q352" i="1" a="1"/>
  <c r="Q352" i="1" s="1"/>
  <c r="Q360" i="1" a="1"/>
  <c r="Q360" i="1" s="1"/>
  <c r="Q368" i="1" a="1"/>
  <c r="Q368" i="1" s="1"/>
  <c r="Q377" i="1" a="1"/>
  <c r="Q377" i="1" s="1"/>
  <c r="Q386" i="1" a="1"/>
  <c r="Q386" i="1" s="1"/>
  <c r="Q403" i="1" a="1"/>
  <c r="Q403" i="1" s="1"/>
  <c r="Q454" i="1" a="1"/>
  <c r="Q454" i="1" s="1"/>
  <c r="Q472" i="1" a="1"/>
  <c r="Q472" i="1" s="1"/>
  <c r="Q480" i="1" a="1"/>
  <c r="Q480" i="1" s="1"/>
  <c r="Q489" i="1" a="1"/>
  <c r="Q489" i="1" s="1"/>
  <c r="Q497" i="1" a="1"/>
  <c r="Q497" i="1" s="1"/>
  <c r="Q505" i="1" a="1"/>
  <c r="Q505" i="1" s="1"/>
  <c r="Q515" i="1" a="1"/>
  <c r="Q515" i="1" s="1"/>
  <c r="Q523" i="1" a="1"/>
  <c r="Q523" i="1" s="1"/>
  <c r="Q539" i="1" a="1"/>
  <c r="Q539" i="1" s="1"/>
  <c r="Q563" i="1" a="1"/>
  <c r="Q563" i="1" s="1"/>
  <c r="Q578" i="1" a="1"/>
  <c r="Q578" i="1" s="1"/>
  <c r="Q600" i="1" a="1"/>
  <c r="Q600" i="1" s="1"/>
  <c r="Q607" i="1" a="1"/>
  <c r="Q607" i="1" s="1"/>
  <c r="Q614" i="1" a="1"/>
  <c r="Q614" i="1" s="1"/>
  <c r="Q657" i="1" a="1"/>
  <c r="Q657" i="1" s="1"/>
  <c r="Q664" i="1" a="1"/>
  <c r="Q664" i="1" s="1"/>
  <c r="Q671" i="1" a="1"/>
  <c r="Q671" i="1" s="1"/>
  <c r="Q693" i="1" a="1"/>
  <c r="Q693" i="1" s="1"/>
  <c r="Q700" i="1" a="1"/>
  <c r="Q700" i="1" s="1"/>
  <c r="Q5" i="1" a="1"/>
  <c r="Q5" i="1" s="1"/>
  <c r="Q13" i="1" a="1"/>
  <c r="Q13" i="1" s="1"/>
  <c r="Q31" i="1" a="1"/>
  <c r="Q31" i="1" s="1"/>
  <c r="Q100" i="1" a="1"/>
  <c r="Q100" i="1" s="1"/>
  <c r="Q118" i="1" a="1"/>
  <c r="Q118" i="1" s="1"/>
  <c r="Q126" i="1" a="1"/>
  <c r="Q126" i="1" s="1"/>
  <c r="Q136" i="1" a="1"/>
  <c r="Q136" i="1" s="1"/>
  <c r="Q144" i="1" a="1"/>
  <c r="Q144" i="1" s="1"/>
  <c r="Q152" i="1" a="1"/>
  <c r="Q152" i="1" s="1"/>
  <c r="Q162" i="1" a="1"/>
  <c r="Q162" i="1" s="1"/>
  <c r="Q170" i="1" a="1"/>
  <c r="Q170" i="1" s="1"/>
  <c r="Q188" i="1" a="1"/>
  <c r="Q188" i="1" s="1"/>
  <c r="Q231" i="1" a="1"/>
  <c r="Q231" i="1" s="1"/>
  <c r="Q249" i="1" a="1"/>
  <c r="Q249" i="1" s="1"/>
  <c r="Q257" i="1" a="1"/>
  <c r="Q257" i="1" s="1"/>
  <c r="Q267" i="1" a="1"/>
  <c r="Q267" i="1" s="1"/>
  <c r="Q275" i="1" a="1"/>
  <c r="Q275" i="1" s="1"/>
  <c r="Q283" i="1" a="1"/>
  <c r="Q283" i="1" s="1"/>
  <c r="Q293" i="1" a="1"/>
  <c r="Q293" i="1" s="1"/>
  <c r="Q301" i="1" a="1"/>
  <c r="Q301" i="1" s="1"/>
  <c r="Q318" i="1" a="1"/>
  <c r="Q318" i="1" s="1"/>
  <c r="Q326" i="1" a="1"/>
  <c r="Q326" i="1" s="1"/>
  <c r="Q344" i="1" a="1"/>
  <c r="Q344" i="1" s="1"/>
  <c r="Q369" i="1" a="1"/>
  <c r="Q369" i="1" s="1"/>
  <c r="Q387" i="1" a="1"/>
  <c r="Q387" i="1" s="1"/>
  <c r="Q395" i="1" a="1"/>
  <c r="Q395" i="1" s="1"/>
  <c r="Q412" i="1" a="1"/>
  <c r="Q412" i="1" s="1"/>
  <c r="Q421" i="1" a="1"/>
  <c r="Q421" i="1" s="1"/>
  <c r="Q430" i="1" a="1"/>
  <c r="Q430" i="1" s="1"/>
  <c r="Q438" i="1" a="1"/>
  <c r="Q438" i="1" s="1"/>
  <c r="Q446" i="1" a="1"/>
  <c r="Q446" i="1" s="1"/>
  <c r="Q455" i="1" a="1"/>
  <c r="Q455" i="1" s="1"/>
  <c r="Q464" i="1" a="1"/>
  <c r="Q464" i="1" s="1"/>
  <c r="Q481" i="1" a="1"/>
  <c r="Q481" i="1" s="1"/>
  <c r="Q532" i="1" a="1"/>
  <c r="Q532" i="1" s="1"/>
  <c r="Q548" i="1" a="1"/>
  <c r="Q548" i="1" s="1"/>
  <c r="Q556" i="1" a="1"/>
  <c r="Q556" i="1" s="1"/>
  <c r="Q571" i="1" a="1"/>
  <c r="Q571" i="1" s="1"/>
  <c r="Q579" i="1" a="1"/>
  <c r="Q579" i="1" s="1"/>
  <c r="Q586" i="1" a="1"/>
  <c r="Q586" i="1" s="1"/>
  <c r="Q615" i="1" a="1"/>
  <c r="Q615" i="1" s="1"/>
  <c r="Q622" i="1" a="1"/>
  <c r="Q622" i="1" s="1"/>
  <c r="Q629" i="1" a="1"/>
  <c r="Q629" i="1" s="1"/>
  <c r="Q636" i="1" a="1"/>
  <c r="Q636" i="1" s="1"/>
  <c r="Q643" i="1" a="1"/>
  <c r="Q643" i="1" s="1"/>
  <c r="Q650" i="1" a="1"/>
  <c r="Q650" i="1" s="1"/>
  <c r="Q672" i="1" a="1"/>
  <c r="Q672" i="1" s="1"/>
  <c r="Q679" i="1" a="1"/>
  <c r="Q679" i="1" s="1"/>
  <c r="Q686" i="1" a="1"/>
  <c r="Q686" i="1" s="1"/>
  <c r="Q729" i="1" a="1"/>
  <c r="Q729" i="1" s="1"/>
  <c r="Q736" i="1" a="1"/>
  <c r="Q736" i="1" s="1"/>
  <c r="Q743" i="1" a="1"/>
  <c r="Q743" i="1" s="1"/>
  <c r="Q22" i="1" a="1"/>
  <c r="Q22" i="1" s="1"/>
  <c r="Q40" i="1" a="1"/>
  <c r="Q40" i="1" s="1"/>
  <c r="Q48" i="1" a="1"/>
  <c r="Q48" i="1" s="1"/>
  <c r="Q58" i="1" a="1"/>
  <c r="Q58" i="1" s="1"/>
  <c r="Q66" i="1" a="1"/>
  <c r="Q66" i="1" s="1"/>
  <c r="Q74" i="1" a="1"/>
  <c r="Q74" i="1" s="1"/>
  <c r="Q84" i="1" a="1"/>
  <c r="Q84" i="1" s="1"/>
  <c r="Q92" i="1" a="1"/>
  <c r="Q92" i="1" s="1"/>
  <c r="Q110" i="1" a="1"/>
  <c r="Q110" i="1" s="1"/>
  <c r="Q153" i="1" a="1"/>
  <c r="Q153" i="1" s="1"/>
  <c r="Q171" i="1" a="1"/>
  <c r="Q171" i="1" s="1"/>
  <c r="Q179" i="1" a="1"/>
  <c r="Q179" i="1" s="1"/>
  <c r="Q189" i="1" a="1"/>
  <c r="Q189" i="1" s="1"/>
  <c r="Q197" i="1" a="1"/>
  <c r="Q197" i="1" s="1"/>
  <c r="Q205" i="1" a="1"/>
  <c r="Q205" i="1" s="1"/>
  <c r="Q215" i="1" a="1"/>
  <c r="Q215" i="1" s="1"/>
  <c r="Q223" i="1" a="1"/>
  <c r="Q223" i="1" s="1"/>
  <c r="Q241" i="1" a="1"/>
  <c r="Q241" i="1" s="1"/>
  <c r="Q310" i="1" a="1"/>
  <c r="Q310" i="1" s="1"/>
  <c r="Q327" i="1" a="1"/>
  <c r="Q327" i="1" s="1"/>
  <c r="Q336" i="1" a="1"/>
  <c r="Q336" i="1" s="1"/>
  <c r="Q345" i="1" a="1"/>
  <c r="Q345" i="1" s="1"/>
  <c r="Q353" i="1" a="1"/>
  <c r="Q353" i="1" s="1"/>
  <c r="Q361" i="1" a="1"/>
  <c r="Q361" i="1" s="1"/>
  <c r="Q370" i="1" a="1"/>
  <c r="Q370" i="1" s="1"/>
  <c r="Q379" i="1" a="1"/>
  <c r="Q379" i="1" s="1"/>
  <c r="Q396" i="1" a="1"/>
  <c r="Q396" i="1" s="1"/>
  <c r="Q404" i="1" a="1"/>
  <c r="Q404" i="1" s="1"/>
  <c r="Q422" i="1" a="1"/>
  <c r="Q422" i="1" s="1"/>
  <c r="Q447" i="1" a="1"/>
  <c r="Q447" i="1" s="1"/>
  <c r="Q465" i="1" a="1"/>
  <c r="Q465" i="1" s="1"/>
  <c r="Q473" i="1" a="1"/>
  <c r="Q473" i="1" s="1"/>
  <c r="Q490" i="1" a="1"/>
  <c r="Q490" i="1" s="1"/>
  <c r="Q498" i="1" a="1"/>
  <c r="Q498" i="1" s="1"/>
  <c r="Q508" i="1" a="1"/>
  <c r="Q508" i="1" s="1"/>
  <c r="Q516" i="1" a="1"/>
  <c r="Q516" i="1" s="1"/>
  <c r="Q524" i="1" a="1"/>
  <c r="Q524" i="1" s="1"/>
  <c r="Q540" i="1" a="1"/>
  <c r="Q540" i="1" s="1"/>
  <c r="Q549" i="1" a="1"/>
  <c r="Q549" i="1" s="1"/>
  <c r="Q564" i="1" a="1"/>
  <c r="Q564" i="1" s="1"/>
  <c r="Q587" i="1" a="1"/>
  <c r="Q587" i="1" s="1"/>
  <c r="Q594" i="1" a="1"/>
  <c r="Q594" i="1" s="1"/>
  <c r="Q601" i="1" a="1"/>
  <c r="Q601" i="1" s="1"/>
  <c r="Q608" i="1" a="1"/>
  <c r="Q608" i="1" s="1"/>
  <c r="Q651" i="1" a="1"/>
  <c r="Q651" i="1" s="1"/>
  <c r="Q658" i="1" a="1"/>
  <c r="Q658" i="1" s="1"/>
  <c r="Q687" i="1" a="1"/>
  <c r="Q687" i="1" s="1"/>
  <c r="Q694" i="1" a="1"/>
  <c r="Q694" i="1" s="1"/>
  <c r="Q701" i="1" a="1"/>
  <c r="Q701" i="1" s="1"/>
  <c r="Q708" i="1" a="1"/>
  <c r="Q708" i="1" s="1"/>
  <c r="Q715" i="1" a="1"/>
  <c r="Q715" i="1" s="1"/>
  <c r="Q722" i="1" a="1"/>
  <c r="Q722" i="1" s="1"/>
  <c r="Q744" i="1" a="1"/>
  <c r="Q744" i="1" s="1"/>
  <c r="Q751" i="1" a="1"/>
  <c r="Q751" i="1" s="1"/>
  <c r="Q6" i="1" a="1"/>
  <c r="Q6" i="1" s="1"/>
  <c r="Q52" i="1" a="1"/>
  <c r="Q52" i="1" s="1"/>
  <c r="Q86" i="1" a="1"/>
  <c r="Q86" i="1" s="1"/>
  <c r="Q111" i="1" a="1"/>
  <c r="Q111" i="1" s="1"/>
  <c r="Q122" i="1" a="1"/>
  <c r="Q122" i="1" s="1"/>
  <c r="Q132" i="1" a="1"/>
  <c r="Q132" i="1" s="1"/>
  <c r="Q145" i="1" a="1"/>
  <c r="Q145" i="1" s="1"/>
  <c r="Q168" i="1" a="1"/>
  <c r="Q168" i="1" s="1"/>
  <c r="Q181" i="1" a="1"/>
  <c r="Q181" i="1" s="1"/>
  <c r="Q191" i="1" a="1"/>
  <c r="Q191" i="1" s="1"/>
  <c r="Q227" i="1" a="1"/>
  <c r="Q227" i="1" s="1"/>
  <c r="Q237" i="1" a="1"/>
  <c r="Q237" i="1" s="1"/>
  <c r="Q250" i="1" a="1"/>
  <c r="Q250" i="1" s="1"/>
  <c r="Q273" i="1" a="1"/>
  <c r="Q273" i="1" s="1"/>
  <c r="Q286" i="1" a="1"/>
  <c r="Q286" i="1" s="1"/>
  <c r="Q307" i="1" a="1"/>
  <c r="Q307" i="1" s="1"/>
  <c r="Q319" i="1" a="1"/>
  <c r="Q319" i="1" s="1"/>
  <c r="Q365" i="1" a="1"/>
  <c r="Q365" i="1" s="1"/>
  <c r="Q375" i="1" a="1"/>
  <c r="Q375" i="1" s="1"/>
  <c r="Q388" i="1" a="1"/>
  <c r="Q388" i="1" s="1"/>
  <c r="Q398" i="1" a="1"/>
  <c r="Q398" i="1" s="1"/>
  <c r="Q423" i="1" a="1"/>
  <c r="Q423" i="1" s="1"/>
  <c r="Q444" i="1" a="1"/>
  <c r="Q444" i="1" s="1"/>
  <c r="Q457" i="1" a="1"/>
  <c r="Q457" i="1" s="1"/>
  <c r="Q467" i="1" a="1"/>
  <c r="Q467" i="1" s="1"/>
  <c r="Q502" i="1" a="1"/>
  <c r="Q502" i="1" s="1"/>
  <c r="Q525" i="1" a="1"/>
  <c r="Q525" i="1" s="1"/>
  <c r="Q545" i="1" a="1"/>
  <c r="Q545" i="1" s="1"/>
  <c r="Q557" i="1" a="1"/>
  <c r="Q557" i="1" s="1"/>
  <c r="Q566" i="1" a="1"/>
  <c r="Q566" i="1" s="1"/>
  <c r="Q596" i="1" a="1"/>
  <c r="Q596" i="1" s="1"/>
  <c r="Q605" i="1" a="1"/>
  <c r="Q605" i="1" s="1"/>
  <c r="Q616" i="1" a="1"/>
  <c r="Q616" i="1" s="1"/>
  <c r="Q634" i="1" a="1"/>
  <c r="Q634" i="1" s="1"/>
  <c r="Q644" i="1" a="1"/>
  <c r="Q644" i="1" s="1"/>
  <c r="Q662" i="1" a="1"/>
  <c r="Q662" i="1" s="1"/>
  <c r="Q673" i="1" a="1"/>
  <c r="Q673" i="1" s="1"/>
  <c r="Q682" i="1" a="1"/>
  <c r="Q682" i="1" s="1"/>
  <c r="Q735" i="1" a="1"/>
  <c r="Q735" i="1" s="1"/>
  <c r="Q18" i="1" a="1"/>
  <c r="Q18" i="1" s="1"/>
  <c r="Q28" i="1" a="1"/>
  <c r="Q28" i="1" s="1"/>
  <c r="Q41" i="1" a="1"/>
  <c r="Q41" i="1" s="1"/>
  <c r="Q64" i="1" a="1"/>
  <c r="Q64" i="1" s="1"/>
  <c r="Q77" i="1" a="1"/>
  <c r="Q77" i="1" s="1"/>
  <c r="Q87" i="1" a="1"/>
  <c r="Q87" i="1" s="1"/>
  <c r="Q98" i="1" a="1"/>
  <c r="Q98" i="1" s="1"/>
  <c r="Q123" i="1" a="1"/>
  <c r="Q123" i="1" s="1"/>
  <c r="Q157" i="1" a="1"/>
  <c r="Q157" i="1" s="1"/>
  <c r="Q203" i="1" a="1"/>
  <c r="Q203" i="1" s="1"/>
  <c r="Q216" i="1" a="1"/>
  <c r="Q216" i="1" s="1"/>
  <c r="Q262" i="1" a="1"/>
  <c r="Q262" i="1" s="1"/>
  <c r="Q296" i="1" a="1"/>
  <c r="Q296" i="1" s="1"/>
  <c r="Q331" i="1" a="1"/>
  <c r="Q331" i="1" s="1"/>
  <c r="Q341" i="1" a="1"/>
  <c r="Q341" i="1" s="1"/>
  <c r="Q354" i="1" a="1"/>
  <c r="Q354" i="1" s="1"/>
  <c r="Q400" i="1" a="1"/>
  <c r="Q400" i="1" s="1"/>
  <c r="Q410" i="1" a="1"/>
  <c r="Q410" i="1" s="1"/>
  <c r="Q433" i="1" a="1"/>
  <c r="Q433" i="1" s="1"/>
  <c r="Q468" i="1" a="1"/>
  <c r="Q468" i="1" s="1"/>
  <c r="Q479" i="1" a="1"/>
  <c r="Q479" i="1" s="1"/>
  <c r="Q491" i="1" a="1"/>
  <c r="Q491" i="1" s="1"/>
  <c r="Q512" i="1" a="1"/>
  <c r="Q512" i="1" s="1"/>
  <c r="Q536" i="1" a="1"/>
  <c r="Q536" i="1" s="1"/>
  <c r="Q568" i="1" a="1"/>
  <c r="Q568" i="1" s="1"/>
  <c r="Q577" i="1" a="1"/>
  <c r="Q577" i="1" s="1"/>
  <c r="Q588" i="1" a="1"/>
  <c r="Q588" i="1" s="1"/>
  <c r="Q597" i="1" a="1"/>
  <c r="Q597" i="1" s="1"/>
  <c r="Q625" i="1" a="1"/>
  <c r="Q625" i="1" s="1"/>
  <c r="Q645" i="1" a="1"/>
  <c r="Q645" i="1" s="1"/>
  <c r="Q654" i="1" a="1"/>
  <c r="Q654" i="1" s="1"/>
  <c r="Q663" i="1" a="1"/>
  <c r="Q663" i="1" s="1"/>
  <c r="Q702" i="1" a="1"/>
  <c r="Q702" i="1" s="1"/>
  <c r="Q710" i="1" a="1"/>
  <c r="Q710" i="1" s="1"/>
  <c r="Q719" i="1" a="1"/>
  <c r="Q719" i="1" s="1"/>
  <c r="Q727" i="1" a="1"/>
  <c r="Q727" i="1" s="1"/>
  <c r="Q745" i="1" a="1"/>
  <c r="Q745" i="1" s="1"/>
  <c r="Q7" i="1" a="1"/>
  <c r="Q7" i="1" s="1"/>
  <c r="Q53" i="1" a="1"/>
  <c r="Q53" i="1" s="1"/>
  <c r="Q99" i="1" a="1"/>
  <c r="Q99" i="1" s="1"/>
  <c r="Q112" i="1" a="1"/>
  <c r="Q112" i="1" s="1"/>
  <c r="Q133" i="1" a="1"/>
  <c r="Q133" i="1" s="1"/>
  <c r="Q146" i="1" a="1"/>
  <c r="Q146" i="1" s="1"/>
  <c r="Q169" i="1" a="1"/>
  <c r="Q169" i="1" s="1"/>
  <c r="Q182" i="1" a="1"/>
  <c r="Q182" i="1" s="1"/>
  <c r="Q192" i="1" a="1"/>
  <c r="Q192" i="1" s="1"/>
  <c r="Q228" i="1" a="1"/>
  <c r="Q228" i="1" s="1"/>
  <c r="Q238" i="1" a="1"/>
  <c r="Q238" i="1" s="1"/>
  <c r="Q251" i="1" a="1"/>
  <c r="Q251" i="1" s="1"/>
  <c r="Q274" i="1" a="1"/>
  <c r="Q274" i="1" s="1"/>
  <c r="Q287" i="1" a="1"/>
  <c r="Q287" i="1" s="1"/>
  <c r="Q297" i="1" a="1"/>
  <c r="Q297" i="1" s="1"/>
  <c r="Q308" i="1" a="1"/>
  <c r="Q308" i="1" s="1"/>
  <c r="Q366" i="1" a="1"/>
  <c r="Q366" i="1" s="1"/>
  <c r="Q411" i="1" a="1"/>
  <c r="Q411" i="1" s="1"/>
  <c r="Q424" i="1" a="1"/>
  <c r="Q424" i="1" s="1"/>
  <c r="Q445" i="1" a="1"/>
  <c r="Q445" i="1" s="1"/>
  <c r="Q458" i="1" a="1"/>
  <c r="Q458" i="1" s="1"/>
  <c r="Q503" i="1" a="1"/>
  <c r="Q503" i="1" s="1"/>
  <c r="Q526" i="1" a="1"/>
  <c r="Q526" i="1" s="1"/>
  <c r="Q537" i="1" a="1"/>
  <c r="Q537" i="1" s="1"/>
  <c r="Q546" i="1" a="1"/>
  <c r="Q546" i="1" s="1"/>
  <c r="Q558" i="1" a="1"/>
  <c r="Q558" i="1" s="1"/>
  <c r="Q617" i="1" a="1"/>
  <c r="Q617" i="1" s="1"/>
  <c r="Q626" i="1" a="1"/>
  <c r="Q626" i="1" s="1"/>
  <c r="Q635" i="1" a="1"/>
  <c r="Q635" i="1" s="1"/>
  <c r="Q646" i="1" a="1"/>
  <c r="Q646" i="1" s="1"/>
  <c r="Q674" i="1" a="1"/>
  <c r="Q674" i="1" s="1"/>
  <c r="Q683" i="1" a="1"/>
  <c r="Q683" i="1" s="1"/>
  <c r="Q692" i="1" a="1"/>
  <c r="Q692" i="1" s="1"/>
  <c r="Q8" i="1" a="1"/>
  <c r="Q8" i="1" s="1"/>
  <c r="Q33" i="1" a="1"/>
  <c r="Q33" i="1" s="1"/>
  <c r="Q44" i="1" a="1"/>
  <c r="Q44" i="1" s="1"/>
  <c r="Q54" i="1" a="1"/>
  <c r="Q54" i="1" s="1"/>
  <c r="Q67" i="1" a="1"/>
  <c r="Q67" i="1" s="1"/>
  <c r="Q90" i="1" a="1"/>
  <c r="Q90" i="1" s="1"/>
  <c r="Q103" i="1" a="1"/>
  <c r="Q103" i="1" s="1"/>
  <c r="Q113" i="1" a="1"/>
  <c r="Q113" i="1" s="1"/>
  <c r="Q149" i="1" a="1"/>
  <c r="Q149" i="1" s="1"/>
  <c r="Q159" i="1" a="1"/>
  <c r="Q159" i="1" s="1"/>
  <c r="Q172" i="1" a="1"/>
  <c r="Q172" i="1" s="1"/>
  <c r="Q195" i="1" a="1"/>
  <c r="Q195" i="1" s="1"/>
  <c r="Q208" i="1" a="1"/>
  <c r="Q208" i="1" s="1"/>
  <c r="Q229" i="1" a="1"/>
  <c r="Q229" i="1" s="1"/>
  <c r="Q242" i="1" a="1"/>
  <c r="Q242" i="1" s="1"/>
  <c r="Q288" i="1" a="1"/>
  <c r="Q288" i="1" s="1"/>
  <c r="Q333" i="1" a="1"/>
  <c r="Q333" i="1" s="1"/>
  <c r="Q346" i="1" a="1"/>
  <c r="Q346" i="1" s="1"/>
  <c r="Q367" i="1" a="1"/>
  <c r="Q367" i="1" s="1"/>
  <c r="Q380" i="1" a="1"/>
  <c r="Q380" i="1" s="1"/>
  <c r="Q425" i="1" a="1"/>
  <c r="Q425" i="1" s="1"/>
  <c r="Q483" i="1" a="1"/>
  <c r="Q483" i="1" s="1"/>
  <c r="Q494" i="1" a="1"/>
  <c r="Q494" i="1" s="1"/>
  <c r="Q504" i="1" a="1"/>
  <c r="Q504" i="1" s="1"/>
  <c r="Q517" i="1" a="1"/>
  <c r="Q517" i="1" s="1"/>
  <c r="Q538" i="1" a="1"/>
  <c r="Q538" i="1" s="1"/>
  <c r="Q550" i="1" a="1"/>
  <c r="Q550" i="1" s="1"/>
  <c r="Q559" i="1" a="1"/>
  <c r="Q559" i="1" s="1"/>
  <c r="Q581" i="1" a="1"/>
  <c r="Q581" i="1" s="1"/>
  <c r="Q618" i="1" a="1"/>
  <c r="Q618" i="1" s="1"/>
  <c r="Q647" i="1" a="1"/>
  <c r="Q647" i="1" s="1"/>
  <c r="Q684" i="1" a="1"/>
  <c r="Q684" i="1" s="1"/>
  <c r="Q695" i="1" a="1"/>
  <c r="Q695" i="1" s="1"/>
  <c r="Q730" i="1" a="1"/>
  <c r="Q730" i="1" s="1"/>
  <c r="Q747" i="1" a="1"/>
  <c r="Q747" i="1" s="1"/>
  <c r="Q25" i="1" a="1"/>
  <c r="Q25" i="1" s="1"/>
  <c r="Q78" i="1" a="1"/>
  <c r="Q78" i="1" s="1"/>
  <c r="Q94" i="1" a="1"/>
  <c r="Q94" i="1" s="1"/>
  <c r="Q130" i="1" a="1"/>
  <c r="Q130" i="1" s="1"/>
  <c r="Q164" i="1" a="1"/>
  <c r="Q164" i="1" s="1"/>
  <c r="Q183" i="1" a="1"/>
  <c r="Q183" i="1" s="1"/>
  <c r="Q217" i="1" a="1"/>
  <c r="Q217" i="1" s="1"/>
  <c r="Q253" i="1" a="1"/>
  <c r="Q253" i="1" s="1"/>
  <c r="Q269" i="1" a="1"/>
  <c r="Q269" i="1" s="1"/>
  <c r="Q322" i="1" a="1"/>
  <c r="Q322" i="1" s="1"/>
  <c r="Q338" i="1" a="1"/>
  <c r="Q338" i="1" s="1"/>
  <c r="Q355" i="1" a="1"/>
  <c r="Q355" i="1" s="1"/>
  <c r="Q390" i="1" a="1"/>
  <c r="Q390" i="1" s="1"/>
  <c r="Q407" i="1" a="1"/>
  <c r="Q407" i="1" s="1"/>
  <c r="Q440" i="1" a="1"/>
  <c r="Q440" i="1" s="1"/>
  <c r="Q459" i="1" a="1"/>
  <c r="Q459" i="1" s="1"/>
  <c r="Q475" i="1" a="1"/>
  <c r="Q475" i="1" s="1"/>
  <c r="Q493" i="1" a="1"/>
  <c r="Q493" i="1" s="1"/>
  <c r="Q527" i="1" a="1"/>
  <c r="Q527" i="1" s="1"/>
  <c r="Q543" i="1" a="1"/>
  <c r="Q543" i="1" s="1"/>
  <c r="Q589" i="1" a="1"/>
  <c r="Q589" i="1" s="1"/>
  <c r="Q603" i="1" a="1"/>
  <c r="Q603" i="1" s="1"/>
  <c r="Q631" i="1" a="1"/>
  <c r="Q631" i="1" s="1"/>
  <c r="Q660" i="1" a="1"/>
  <c r="Q660" i="1" s="1"/>
  <c r="Q675" i="1" a="1"/>
  <c r="Q675" i="1" s="1"/>
  <c r="Q703" i="1" a="1"/>
  <c r="Q703" i="1" s="1"/>
  <c r="Q728" i="1" a="1"/>
  <c r="Q728" i="1" s="1"/>
  <c r="Q741" i="1" a="1"/>
  <c r="Q741" i="1" s="1"/>
  <c r="Q426" i="1" a="1"/>
  <c r="Q426" i="1" s="1"/>
  <c r="Q591" i="1" a="1"/>
  <c r="Q591" i="1" s="1"/>
  <c r="Q648" i="1" a="1"/>
  <c r="Q648" i="1" s="1"/>
  <c r="Q14" i="1" a="1"/>
  <c r="Q14" i="1" s="1"/>
  <c r="Q138" i="1" a="1"/>
  <c r="Q138" i="1" s="1"/>
  <c r="Q243" i="1" a="1"/>
  <c r="Q243" i="1" s="1"/>
  <c r="Q294" i="1" a="1"/>
  <c r="Q294" i="1" s="1"/>
  <c r="Q431" i="1" a="1"/>
  <c r="Q431" i="1" s="1"/>
  <c r="Q623" i="1" a="1"/>
  <c r="Q623" i="1" s="1"/>
  <c r="Q667" i="1" a="1"/>
  <c r="Q667" i="1" s="1"/>
  <c r="Q707" i="1" a="1"/>
  <c r="Q707" i="1" s="1"/>
  <c r="Q51" i="1" a="1"/>
  <c r="Q51" i="1" s="1"/>
  <c r="Q70" i="1" a="1"/>
  <c r="Q70" i="1" s="1"/>
  <c r="Q85" i="1" a="1"/>
  <c r="Q85" i="1" s="1"/>
  <c r="Q104" i="1" a="1"/>
  <c r="Q104" i="1" s="1"/>
  <c r="Q209" i="1" a="1"/>
  <c r="Q209" i="1" s="1"/>
  <c r="Q9" i="1" a="1"/>
  <c r="Q9" i="1" s="1"/>
  <c r="Q45" i="1" a="1"/>
  <c r="Q45" i="1" s="1"/>
  <c r="Q60" i="1" a="1"/>
  <c r="Q60" i="1" s="1"/>
  <c r="Q79" i="1" a="1"/>
  <c r="Q79" i="1" s="1"/>
  <c r="Q96" i="1" a="1"/>
  <c r="Q96" i="1" s="1"/>
  <c r="Q165" i="1" a="1"/>
  <c r="Q165" i="1" s="1"/>
  <c r="Q184" i="1" a="1"/>
  <c r="Q184" i="1" s="1"/>
  <c r="Q201" i="1" a="1"/>
  <c r="Q201" i="1" s="1"/>
  <c r="Q218" i="1" a="1"/>
  <c r="Q218" i="1" s="1"/>
  <c r="Q235" i="1" a="1"/>
  <c r="Q235" i="1" s="1"/>
  <c r="Q254" i="1" a="1"/>
  <c r="Q254" i="1" s="1"/>
  <c r="Q323" i="1" a="1"/>
  <c r="Q323" i="1" s="1"/>
  <c r="Q339" i="1" a="1"/>
  <c r="Q339" i="1" s="1"/>
  <c r="Q358" i="1" a="1"/>
  <c r="Q358" i="1" s="1"/>
  <c r="Q373" i="1" a="1"/>
  <c r="Q373" i="1" s="1"/>
  <c r="Q391" i="1" a="1"/>
  <c r="Q391" i="1" s="1"/>
  <c r="Q441" i="1" a="1"/>
  <c r="Q441" i="1" s="1"/>
  <c r="Q460" i="1" a="1"/>
  <c r="Q460" i="1" s="1"/>
  <c r="Q495" i="1" a="1"/>
  <c r="Q495" i="1" s="1"/>
  <c r="Q510" i="1" a="1"/>
  <c r="Q510" i="1" s="1"/>
  <c r="Q529" i="1" a="1"/>
  <c r="Q529" i="1" s="1"/>
  <c r="Q575" i="1" a="1"/>
  <c r="Q575" i="1" s="1"/>
  <c r="Q590" i="1" a="1"/>
  <c r="Q590" i="1" s="1"/>
  <c r="Q676" i="1" a="1"/>
  <c r="Q676" i="1" s="1"/>
  <c r="Q689" i="1" a="1"/>
  <c r="Q689" i="1" s="1"/>
  <c r="Q705" i="1" a="1"/>
  <c r="Q705" i="1" s="1"/>
  <c r="Q716" i="1" a="1"/>
  <c r="Q716" i="1" s="1"/>
  <c r="Q731" i="1" a="1"/>
  <c r="Q731" i="1" s="1"/>
  <c r="Q408" i="1" a="1"/>
  <c r="Q408" i="1" s="1"/>
  <c r="Q443" i="1" a="1"/>
  <c r="Q443" i="1" s="1"/>
  <c r="Q476" i="1" a="1"/>
  <c r="Q476" i="1" s="1"/>
  <c r="Q544" i="1" a="1"/>
  <c r="Q544" i="1" s="1"/>
  <c r="Q604" i="1" a="1"/>
  <c r="Q604" i="1" s="1"/>
  <c r="Q633" i="1" a="1"/>
  <c r="Q633" i="1" s="1"/>
  <c r="Q661" i="1" a="1"/>
  <c r="Q661" i="1" s="1"/>
  <c r="Q717" i="1" a="1"/>
  <c r="Q717" i="1" s="1"/>
  <c r="Q742" i="1" a="1"/>
  <c r="Q742" i="1" s="1"/>
  <c r="Q119" i="1" a="1"/>
  <c r="Q119" i="1" s="1"/>
  <c r="Q155" i="1" a="1"/>
  <c r="Q155" i="1" s="1"/>
  <c r="Q277" i="1" a="1"/>
  <c r="Q277" i="1" s="1"/>
  <c r="Q312" i="1" a="1"/>
  <c r="Q312" i="1" s="1"/>
  <c r="Q450" i="1" a="1"/>
  <c r="Q450" i="1" s="1"/>
  <c r="Q533" i="1" a="1"/>
  <c r="Q533" i="1" s="1"/>
  <c r="Q610" i="1" a="1"/>
  <c r="Q610" i="1" s="1"/>
  <c r="Q680" i="1" a="1"/>
  <c r="Q680" i="1" s="1"/>
  <c r="Q721" i="1" a="1"/>
  <c r="Q721" i="1" s="1"/>
  <c r="Q34" i="1" a="1"/>
  <c r="Q34" i="1" s="1"/>
  <c r="Q190" i="1" a="1"/>
  <c r="Q190" i="1" s="1"/>
  <c r="Q11" i="1" a="1"/>
  <c r="Q11" i="1" s="1"/>
  <c r="Q26" i="1" a="1"/>
  <c r="Q26" i="1" s="1"/>
  <c r="Q131" i="1" a="1"/>
  <c r="Q131" i="1" s="1"/>
  <c r="Q150" i="1" a="1"/>
  <c r="Q150" i="1" s="1"/>
  <c r="Q255" i="1" a="1"/>
  <c r="Q255" i="1" s="1"/>
  <c r="Q270" i="1" a="1"/>
  <c r="Q270" i="1" s="1"/>
  <c r="Q289" i="1" a="1"/>
  <c r="Q289" i="1" s="1"/>
  <c r="Q305" i="1" a="1"/>
  <c r="Q305" i="1" s="1"/>
  <c r="Q324" i="1" a="1"/>
  <c r="Q324" i="1" s="1"/>
  <c r="Q393" i="1" a="1"/>
  <c r="Q393" i="1" s="1"/>
  <c r="Q27" i="1" a="1"/>
  <c r="Q27" i="1" s="1"/>
  <c r="Q46" i="1" a="1"/>
  <c r="Q46" i="1" s="1"/>
  <c r="Q61" i="1" a="1"/>
  <c r="Q61" i="1" s="1"/>
  <c r="Q80" i="1" a="1"/>
  <c r="Q80" i="1" s="1"/>
  <c r="Q97" i="1" a="1"/>
  <c r="Q97" i="1" s="1"/>
  <c r="Q116" i="1" a="1"/>
  <c r="Q116" i="1" s="1"/>
  <c r="Q166" i="1" a="1"/>
  <c r="Q166" i="1" s="1"/>
  <c r="Q185" i="1" a="1"/>
  <c r="Q185" i="1" s="1"/>
  <c r="Q202" i="1" a="1"/>
  <c r="Q202" i="1" s="1"/>
  <c r="Q221" i="1" a="1"/>
  <c r="Q221" i="1" s="1"/>
  <c r="Q236" i="1" a="1"/>
  <c r="Q236" i="1" s="1"/>
  <c r="Q340" i="1" a="1"/>
  <c r="Q340" i="1" s="1"/>
  <c r="Q359" i="1" a="1"/>
  <c r="Q359" i="1" s="1"/>
  <c r="Q374" i="1" a="1"/>
  <c r="Q374" i="1" s="1"/>
  <c r="Q409" i="1" a="1"/>
  <c r="Q409" i="1" s="1"/>
  <c r="Q477" i="1" a="1"/>
  <c r="Q477" i="1" s="1"/>
  <c r="Q496" i="1" a="1"/>
  <c r="Q496" i="1" s="1"/>
  <c r="Q511" i="1" a="1"/>
  <c r="Q511" i="1" s="1"/>
  <c r="Q530" i="1" a="1"/>
  <c r="Q530" i="1" s="1"/>
  <c r="Q562" i="1" a="1"/>
  <c r="Q562" i="1" s="1"/>
  <c r="Q576" i="1" a="1"/>
  <c r="Q576" i="1" s="1"/>
  <c r="Q620" i="1" a="1"/>
  <c r="Q620" i="1" s="1"/>
  <c r="Q677" i="1" a="1"/>
  <c r="Q677" i="1" s="1"/>
  <c r="Q690" i="1" a="1"/>
  <c r="Q690" i="1" s="1"/>
  <c r="Q706" i="1" a="1"/>
  <c r="Q706" i="1" s="1"/>
  <c r="Q718" i="1" a="1"/>
  <c r="Q718" i="1" s="1"/>
  <c r="Q732" i="1" a="1"/>
  <c r="Q732" i="1" s="1"/>
  <c r="Q50" i="1" a="1"/>
  <c r="Q50" i="1" s="1"/>
  <c r="Q381" i="1" a="1"/>
  <c r="Q381" i="1" s="1"/>
  <c r="Q638" i="1" a="1"/>
  <c r="Q638" i="1" s="1"/>
  <c r="Q733" i="1" a="1"/>
  <c r="Q733" i="1" s="1"/>
  <c r="Q15" i="1" a="1"/>
  <c r="Q15" i="1" s="1"/>
  <c r="Q12" i="1" a="1"/>
  <c r="Q12" i="1" s="1"/>
  <c r="Q32" i="1" a="1"/>
  <c r="Q32" i="1" s="1"/>
  <c r="Q81" i="1" a="1"/>
  <c r="Q81" i="1" s="1"/>
  <c r="Q117" i="1" a="1"/>
  <c r="Q117" i="1" s="1"/>
  <c r="Q137" i="1" a="1"/>
  <c r="Q137" i="1" s="1"/>
  <c r="Q151" i="1" a="1"/>
  <c r="Q151" i="1" s="1"/>
  <c r="Q256" i="1" a="1"/>
  <c r="Q256" i="1" s="1"/>
  <c r="Q276" i="1" a="1"/>
  <c r="Q276" i="1" s="1"/>
  <c r="Q290" i="1" a="1"/>
  <c r="Q290" i="1" s="1"/>
  <c r="Q311" i="1" a="1"/>
  <c r="Q311" i="1" s="1"/>
  <c r="Q325" i="1" a="1"/>
  <c r="Q325" i="1" s="1"/>
  <c r="Q394" i="1" a="1"/>
  <c r="Q394" i="1" s="1"/>
  <c r="Q414" i="1" a="1"/>
  <c r="Q414" i="1" s="1"/>
  <c r="Q429" i="1" a="1"/>
  <c r="Q429" i="1" s="1"/>
  <c r="Q462" i="1" a="1"/>
  <c r="Q462" i="1" s="1"/>
  <c r="Q482" i="1" a="1"/>
  <c r="Q482" i="1" s="1"/>
  <c r="Q531" i="1" a="1"/>
  <c r="Q531" i="1" s="1"/>
  <c r="Q592" i="1" a="1"/>
  <c r="Q592" i="1" s="1"/>
  <c r="Q609" i="1" a="1"/>
  <c r="Q609" i="1" s="1"/>
  <c r="Q621" i="1" a="1"/>
  <c r="Q621" i="1" s="1"/>
  <c r="Q637" i="1" a="1"/>
  <c r="Q637" i="1" s="1"/>
  <c r="Q649" i="1" a="1"/>
  <c r="Q649" i="1" s="1"/>
  <c r="Q666" i="1" a="1"/>
  <c r="Q666" i="1" s="1"/>
  <c r="Q720" i="1" a="1"/>
  <c r="Q720" i="1" s="1"/>
  <c r="Q746" i="1" a="1"/>
  <c r="Q746" i="1" s="1"/>
  <c r="Q725" i="1" a="1"/>
  <c r="Q725" i="1" s="1"/>
  <c r="Q641" i="1" a="1"/>
  <c r="Q641" i="1" s="1"/>
  <c r="Q612" i="1" a="1"/>
  <c r="Q612" i="1" s="1"/>
  <c r="Q452" i="1" a="1"/>
  <c r="Q452" i="1" s="1"/>
  <c r="Q418" i="1" a="1"/>
  <c r="Q418" i="1" s="1"/>
  <c r="Q350" i="1" a="1"/>
  <c r="Q350" i="1" s="1"/>
  <c r="Q281" i="1" a="1"/>
  <c r="Q281" i="1" s="1"/>
  <c r="Q175" i="1" a="1"/>
  <c r="Q175" i="1" s="1"/>
  <c r="Q129" i="1" a="1"/>
  <c r="Q129" i="1" s="1"/>
  <c r="Q749" i="1" a="1"/>
  <c r="Q749" i="1" s="1"/>
  <c r="Q697" i="1" a="1"/>
  <c r="Q697" i="1" s="1"/>
  <c r="Q583" i="1" a="1"/>
  <c r="Q583" i="1" s="1"/>
  <c r="Q552" i="1" a="1"/>
  <c r="Q552" i="1" s="1"/>
  <c r="Q486" i="1" a="1"/>
  <c r="Q486" i="1" s="1"/>
  <c r="Q383" i="1" a="1"/>
  <c r="Q383" i="1" s="1"/>
  <c r="Q348" i="1" a="1"/>
  <c r="Q348" i="1" s="1"/>
  <c r="Q315" i="1" a="1"/>
  <c r="Q315" i="1" s="1"/>
  <c r="Q210" i="1" a="1"/>
  <c r="Q210" i="1" s="1"/>
  <c r="Q125" i="1" a="1"/>
  <c r="Q125" i="1" s="1"/>
  <c r="Q668" i="1" a="1"/>
  <c r="Q668" i="1" s="1"/>
  <c r="Q611" i="1" a="1"/>
  <c r="Q611" i="1" s="1"/>
  <c r="Q519" i="1" a="1"/>
  <c r="Q519" i="1" s="1"/>
  <c r="Q451" i="1" a="1"/>
  <c r="Q451" i="1" s="1"/>
  <c r="Q382" i="1" a="1"/>
  <c r="Q382" i="1" s="1"/>
  <c r="Q314" i="1" a="1"/>
  <c r="Q314" i="1" s="1"/>
  <c r="Q280" i="1" a="1"/>
  <c r="Q280" i="1" s="1"/>
  <c r="Q244" i="1" a="1"/>
  <c r="Q244" i="1" s="1"/>
  <c r="Q163" i="1" a="1"/>
  <c r="Q163" i="1" s="1"/>
  <c r="Q124" i="1" a="1"/>
  <c r="Q124" i="1" s="1"/>
  <c r="Q37" i="1" a="1"/>
  <c r="Q37" i="1" s="1"/>
  <c r="Q72" i="1" a="1"/>
  <c r="Q72" i="1" s="1"/>
  <c r="Q739" i="1" a="1"/>
  <c r="Q739" i="1" s="1"/>
  <c r="Q599" i="1" a="1"/>
  <c r="Q599" i="1" s="1"/>
  <c r="Q24" i="1" a="1"/>
  <c r="Q24" i="1" s="1"/>
  <c r="Q734" i="1" a="1"/>
  <c r="Q734" i="1" s="1"/>
  <c r="Q709" i="1" a="1"/>
  <c r="Q709" i="1" s="1"/>
  <c r="Q653" i="1" a="1"/>
  <c r="Q653" i="1" s="1"/>
  <c r="Q624" i="1" a="1"/>
  <c r="Q624" i="1" s="1"/>
  <c r="Q535" i="1" a="1"/>
  <c r="Q535" i="1" s="1"/>
  <c r="Q432" i="1" a="1"/>
  <c r="Q432" i="1" s="1"/>
  <c r="Q295" i="1" a="1"/>
  <c r="Q295" i="1" s="1"/>
  <c r="Q261" i="1" a="1"/>
  <c r="Q261" i="1" s="1"/>
  <c r="Q225" i="1" a="1"/>
  <c r="Q225" i="1" s="1"/>
  <c r="Q142" i="1" a="1"/>
  <c r="Q142" i="1" s="1"/>
  <c r="Q105" i="1" a="1"/>
  <c r="Q105" i="1" s="1"/>
  <c r="Q19" i="1" a="1"/>
  <c r="Q19" i="1" s="1"/>
  <c r="Q681" i="1" a="1"/>
  <c r="Q681" i="1" s="1"/>
  <c r="Q595" i="1" a="1"/>
  <c r="Q595" i="1" s="1"/>
  <c r="Q565" i="1" a="1"/>
  <c r="Q565" i="1" s="1"/>
  <c r="Q501" i="1" a="1"/>
  <c r="Q501" i="1" s="1"/>
  <c r="Q466" i="1" a="1"/>
  <c r="Q466" i="1" s="1"/>
  <c r="Q397" i="1" a="1"/>
  <c r="Q397" i="1" s="1"/>
  <c r="Q362" i="1" a="1"/>
  <c r="Q362" i="1" s="1"/>
  <c r="Q329" i="1" a="1"/>
  <c r="Q329" i="1" s="1"/>
  <c r="Q260" i="1" a="1"/>
  <c r="Q260" i="1" s="1"/>
  <c r="Q224" i="1" a="1"/>
  <c r="Q224" i="1" s="1"/>
  <c r="Q177" i="1" a="1"/>
  <c r="Q177" i="1" s="1"/>
  <c r="O734" i="1" a="1"/>
  <c r="O734" i="1" s="1"/>
  <c r="O677" i="1" a="1"/>
  <c r="O677" i="1" s="1"/>
  <c r="O534" i="1" a="1"/>
  <c r="O534" i="1" s="1"/>
  <c r="O441" i="1" a="1"/>
  <c r="O441" i="1" s="1"/>
  <c r="O360" i="1" a="1"/>
  <c r="O360" i="1" s="1"/>
  <c r="O255" i="1" a="1"/>
  <c r="O255" i="1" s="1"/>
  <c r="O160" i="1" a="1"/>
  <c r="O160" i="1" s="1"/>
  <c r="O57" i="1" a="1"/>
  <c r="O57" i="1" s="1"/>
  <c r="P704" i="1" a="1"/>
  <c r="P704" i="1" s="1"/>
  <c r="P675" i="1" a="1"/>
  <c r="P675" i="1" s="1"/>
  <c r="P608" i="1" a="1"/>
  <c r="P608" i="1" s="1"/>
  <c r="P552" i="1" a="1"/>
  <c r="P552" i="1" s="1"/>
  <c r="P470" i="1" a="1"/>
  <c r="P470" i="1" s="1"/>
  <c r="P430" i="1" a="1"/>
  <c r="P430" i="1" s="1"/>
  <c r="P343" i="1" a="1"/>
  <c r="P343" i="1" s="1"/>
  <c r="P257" i="1" a="1"/>
  <c r="P257" i="1" s="1"/>
  <c r="P209" i="1" a="1"/>
  <c r="P209" i="1" s="1"/>
  <c r="P168" i="1" a="1"/>
  <c r="P168" i="1" s="1"/>
  <c r="P76" i="1" a="1"/>
  <c r="P76" i="1" s="1"/>
  <c r="P34" i="1" a="1"/>
  <c r="P34" i="1" s="1"/>
  <c r="O733" i="1" a="1"/>
  <c r="O733" i="1" s="1"/>
  <c r="O599" i="1" a="1"/>
  <c r="O599" i="1" s="1"/>
  <c r="O533" i="1" a="1"/>
  <c r="O533" i="1" s="1"/>
  <c r="O430" i="1" a="1"/>
  <c r="O430" i="1" s="1"/>
  <c r="O356" i="1" a="1"/>
  <c r="O356" i="1" s="1"/>
  <c r="O141" i="1" a="1"/>
  <c r="O141" i="1" s="1"/>
  <c r="P738" i="1" a="1"/>
  <c r="P738" i="1" s="1"/>
  <c r="P646" i="1" a="1"/>
  <c r="P646" i="1" s="1"/>
  <c r="P577" i="1" a="1"/>
  <c r="P577" i="1" s="1"/>
  <c r="P547" i="1" a="1"/>
  <c r="P547" i="1" s="1"/>
  <c r="P505" i="1" a="1"/>
  <c r="P505" i="1" s="1"/>
  <c r="P465" i="1" a="1"/>
  <c r="P465" i="1" s="1"/>
  <c r="P417" i="1" a="1"/>
  <c r="P417" i="1" s="1"/>
  <c r="P380" i="1" a="1"/>
  <c r="P380" i="1" s="1"/>
  <c r="P335" i="1" a="1"/>
  <c r="P335" i="1" s="1"/>
  <c r="P294" i="1" a="1"/>
  <c r="P294" i="1" s="1"/>
  <c r="P242" i="1" a="1"/>
  <c r="P242" i="1" s="1"/>
  <c r="P208" i="1" a="1"/>
  <c r="P208" i="1" s="1"/>
  <c r="P155" i="1" a="1"/>
  <c r="P155" i="1" s="1"/>
  <c r="P115" i="1" a="1"/>
  <c r="P115" i="1" s="1"/>
  <c r="P66" i="1" a="1"/>
  <c r="P66" i="1" s="1"/>
  <c r="O26" i="1" a="1"/>
  <c r="O26" i="1" s="1"/>
  <c r="O90" i="1" a="1"/>
  <c r="O90" i="1" s="1"/>
  <c r="O161" i="1" a="1"/>
  <c r="O161" i="1" s="1"/>
  <c r="O209" i="1" a="1"/>
  <c r="O209" i="1" s="1"/>
  <c r="O391" i="1" a="1"/>
  <c r="O391" i="1" s="1"/>
  <c r="O454" i="1" a="1"/>
  <c r="O454" i="1" s="1"/>
  <c r="O507" i="1" a="1"/>
  <c r="O507" i="1" s="1"/>
  <c r="O556" i="1" a="1"/>
  <c r="O556" i="1" s="1"/>
  <c r="O600" i="1" a="1"/>
  <c r="O600" i="1" s="1"/>
  <c r="O647" i="1" a="1"/>
  <c r="O647" i="1" s="1"/>
  <c r="O686" i="1" a="1"/>
  <c r="O686" i="1" s="1"/>
  <c r="O724" i="1" a="1"/>
  <c r="O724" i="1" s="1"/>
  <c r="O95" i="1" a="1"/>
  <c r="O95" i="1" s="1"/>
  <c r="O163" i="1" a="1"/>
  <c r="O163" i="1" s="1"/>
  <c r="O283" i="1" a="1"/>
  <c r="O283" i="1" s="1"/>
  <c r="O338" i="1" a="1"/>
  <c r="O338" i="1" s="1"/>
  <c r="O393" i="1" a="1"/>
  <c r="O393" i="1" s="1"/>
  <c r="O455" i="1" a="1"/>
  <c r="O455" i="1" s="1"/>
  <c r="O508" i="1" a="1"/>
  <c r="O508" i="1" s="1"/>
  <c r="O601" i="1" a="1"/>
  <c r="O601" i="1" s="1"/>
  <c r="O655" i="1" a="1"/>
  <c r="O655" i="1" s="1"/>
  <c r="O728" i="1" a="1"/>
  <c r="O728" i="1" s="1"/>
  <c r="O88" i="1" a="1"/>
  <c r="O88" i="1" s="1"/>
  <c r="O232" i="1" a="1"/>
  <c r="O232" i="1" s="1"/>
  <c r="O291" i="1" a="1"/>
  <c r="O291" i="1" s="1"/>
  <c r="O369" i="1" a="1"/>
  <c r="O369" i="1" s="1"/>
  <c r="O442" i="1" a="1"/>
  <c r="O442" i="1" s="1"/>
  <c r="O514" i="1" a="1"/>
  <c r="O514" i="1" s="1"/>
  <c r="O572" i="1" a="1"/>
  <c r="O572" i="1" s="1"/>
  <c r="O678" i="1" a="1"/>
  <c r="O678" i="1" s="1"/>
  <c r="O712" i="1" a="1"/>
  <c r="O712" i="1" s="1"/>
  <c r="O89" i="1" a="1"/>
  <c r="O89" i="1" s="1"/>
  <c r="O170" i="1" a="1"/>
  <c r="O170" i="1" s="1"/>
  <c r="O243" i="1" a="1"/>
  <c r="O243" i="1" s="1"/>
  <c r="O314" i="1" a="1"/>
  <c r="O314" i="1" s="1"/>
  <c r="O372" i="1" a="1"/>
  <c r="O372" i="1" s="1"/>
  <c r="O445" i="1" a="1"/>
  <c r="O445" i="1" s="1"/>
  <c r="O628" i="1" a="1"/>
  <c r="O628" i="1" s="1"/>
  <c r="O679" i="1" a="1"/>
  <c r="O679" i="1" s="1"/>
  <c r="O721" i="1" a="1"/>
  <c r="O721" i="1" s="1"/>
  <c r="O99" i="1" a="1"/>
  <c r="O99" i="1" s="1"/>
  <c r="O249" i="1" a="1"/>
  <c r="O249" i="1" s="1"/>
  <c r="O316" i="1" a="1"/>
  <c r="O316" i="1" s="1"/>
  <c r="O389" i="1" a="1"/>
  <c r="O389" i="1" s="1"/>
  <c r="O468" i="1" a="1"/>
  <c r="O468" i="1" s="1"/>
  <c r="O528" i="1" a="1"/>
  <c r="O528" i="1" s="1"/>
  <c r="O573" i="1" a="1"/>
  <c r="O573" i="1" s="1"/>
  <c r="O633" i="1" a="1"/>
  <c r="O633" i="1" s="1"/>
  <c r="O657" i="1" a="1"/>
  <c r="O657" i="1" s="1"/>
  <c r="O593" i="1" a="1"/>
  <c r="O593" i="1" s="1"/>
  <c r="O506" i="1" a="1"/>
  <c r="O506" i="1" s="1"/>
  <c r="O424" i="1" a="1"/>
  <c r="O424" i="1" s="1"/>
  <c r="O336" i="1" a="1"/>
  <c r="O336" i="1" s="1"/>
  <c r="O231" i="1" a="1"/>
  <c r="O231" i="1" s="1"/>
  <c r="O137" i="1" a="1"/>
  <c r="O137" i="1" s="1"/>
  <c r="O36" i="1" a="1"/>
  <c r="O36" i="1" s="1"/>
  <c r="P633" i="1" a="1"/>
  <c r="P633" i="1" s="1"/>
  <c r="P603" i="1" a="1"/>
  <c r="P603" i="1" s="1"/>
  <c r="P575" i="1" a="1"/>
  <c r="P575" i="1" s="1"/>
  <c r="P534" i="1" a="1"/>
  <c r="P534" i="1" s="1"/>
  <c r="P501" i="1" a="1"/>
  <c r="P501" i="1" s="1"/>
  <c r="P463" i="1" a="1"/>
  <c r="P463" i="1" s="1"/>
  <c r="P379" i="1" a="1"/>
  <c r="P379" i="1" s="1"/>
  <c r="P332" i="1" a="1"/>
  <c r="P332" i="1" s="1"/>
  <c r="P286" i="1" a="1"/>
  <c r="P286" i="1" s="1"/>
  <c r="P240" i="1" a="1"/>
  <c r="P240" i="1" s="1"/>
  <c r="P202" i="1" a="1"/>
  <c r="P202" i="1" s="1"/>
  <c r="P152" i="1" a="1"/>
  <c r="P152" i="1" s="1"/>
  <c r="P114" i="1" a="1"/>
  <c r="P114" i="1" s="1"/>
  <c r="P62" i="1" a="1"/>
  <c r="P62" i="1" s="1"/>
  <c r="N516" i="1" a="1"/>
  <c r="N516" i="1" s="1"/>
  <c r="N551" i="1" a="1"/>
  <c r="N551" i="1" s="1"/>
  <c r="P23" i="1" a="1"/>
  <c r="P23" i="1" s="1"/>
  <c r="P48" i="1" a="1"/>
  <c r="P48" i="1" s="1"/>
  <c r="P26" i="1" a="1"/>
  <c r="P26" i="1" s="1"/>
  <c r="P52" i="1" a="1"/>
  <c r="P52" i="1" s="1"/>
  <c r="P77" i="1" a="1"/>
  <c r="P77" i="1" s="1"/>
  <c r="P105" i="1" a="1"/>
  <c r="P105" i="1" s="1"/>
  <c r="P125" i="1" a="1"/>
  <c r="P125" i="1" s="1"/>
  <c r="P178" i="1" a="1"/>
  <c r="P178" i="1" s="1"/>
  <c r="P203" i="1" a="1"/>
  <c r="P203" i="1" s="1"/>
  <c r="P227" i="1" a="1"/>
  <c r="P227" i="1" s="1"/>
  <c r="P247" i="1" a="1"/>
  <c r="P247" i="1" s="1"/>
  <c r="P271" i="1" a="1"/>
  <c r="P271" i="1" s="1"/>
  <c r="P304" i="1" a="1"/>
  <c r="P304" i="1" s="1"/>
  <c r="P345" i="1" a="1"/>
  <c r="P345" i="1" s="1"/>
  <c r="P371" i="1" a="1"/>
  <c r="P371" i="1" s="1"/>
  <c r="P396" i="1" a="1"/>
  <c r="P396" i="1" s="1"/>
  <c r="P418" i="1" a="1"/>
  <c r="P418" i="1" s="1"/>
  <c r="P469" i="1" a="1"/>
  <c r="P469" i="1" s="1"/>
  <c r="P491" i="1" a="1"/>
  <c r="P491" i="1" s="1"/>
  <c r="P522" i="1" a="1"/>
  <c r="P522" i="1" s="1"/>
  <c r="P537" i="1" a="1"/>
  <c r="P537" i="1" s="1"/>
  <c r="P557" i="1" a="1"/>
  <c r="P557" i="1" s="1"/>
  <c r="P618" i="1" a="1"/>
  <c r="P618" i="1" s="1"/>
  <c r="P662" i="1" a="1"/>
  <c r="P662" i="1" s="1"/>
  <c r="P684" i="1" a="1"/>
  <c r="P684" i="1" s="1"/>
  <c r="P727" i="1" a="1"/>
  <c r="P727" i="1" s="1"/>
  <c r="P741" i="1" a="1"/>
  <c r="P741" i="1" s="1"/>
  <c r="P27" i="1" a="1"/>
  <c r="P27" i="1" s="1"/>
  <c r="P53" i="1" a="1"/>
  <c r="P53" i="1" s="1"/>
  <c r="P78" i="1" a="1"/>
  <c r="P78" i="1" s="1"/>
  <c r="P106" i="1" a="1"/>
  <c r="P106" i="1" s="1"/>
  <c r="P129" i="1" a="1"/>
  <c r="P129" i="1" s="1"/>
  <c r="P153" i="1" a="1"/>
  <c r="P153" i="1" s="1"/>
  <c r="P179" i="1" a="1"/>
  <c r="P179" i="1" s="1"/>
  <c r="P204" i="1" a="1"/>
  <c r="P204" i="1" s="1"/>
  <c r="P228" i="1" a="1"/>
  <c r="P228" i="1" s="1"/>
  <c r="P252" i="1" a="1"/>
  <c r="P252" i="1" s="1"/>
  <c r="P305" i="1" a="1"/>
  <c r="P305" i="1" s="1"/>
  <c r="P329" i="1" a="1"/>
  <c r="P329" i="1" s="1"/>
  <c r="P346" i="1" a="1"/>
  <c r="P346" i="1" s="1"/>
  <c r="P372" i="1" a="1"/>
  <c r="P372" i="1" s="1"/>
  <c r="P419" i="1" a="1"/>
  <c r="P419" i="1" s="1"/>
  <c r="P450" i="1" a="1"/>
  <c r="P450" i="1" s="1"/>
  <c r="P492" i="1" a="1"/>
  <c r="P492" i="1" s="1"/>
  <c r="P541" i="1" a="1"/>
  <c r="P541" i="1" s="1"/>
  <c r="P564" i="1" a="1"/>
  <c r="P564" i="1" s="1"/>
  <c r="P584" i="1" a="1"/>
  <c r="P584" i="1" s="1"/>
  <c r="P602" i="1" a="1"/>
  <c r="P602" i="1" s="1"/>
  <c r="P645" i="1" a="1"/>
  <c r="P645" i="1" s="1"/>
  <c r="P663" i="1" a="1"/>
  <c r="P663" i="1" s="1"/>
  <c r="P703" i="1" a="1"/>
  <c r="P703" i="1" s="1"/>
  <c r="P38" i="1" a="1"/>
  <c r="P38" i="1" s="1"/>
  <c r="P73" i="1" a="1"/>
  <c r="P73" i="1" s="1"/>
  <c r="P101" i="1" a="1"/>
  <c r="P101" i="1" s="1"/>
  <c r="P130" i="1" a="1"/>
  <c r="P130" i="1" s="1"/>
  <c r="P156" i="1" a="1"/>
  <c r="P156" i="1" s="1"/>
  <c r="P189" i="1" a="1"/>
  <c r="P189" i="1" s="1"/>
  <c r="P218" i="1" a="1"/>
  <c r="P218" i="1" s="1"/>
  <c r="P246" i="1" a="1"/>
  <c r="P246" i="1" s="1"/>
  <c r="R246" i="1" s="1"/>
  <c r="P280" i="1" a="1"/>
  <c r="P280" i="1" s="1"/>
  <c r="P340" i="1" a="1"/>
  <c r="P340" i="1" s="1"/>
  <c r="P365" i="1" a="1"/>
  <c r="P365" i="1" s="1"/>
  <c r="P391" i="1" a="1"/>
  <c r="P391" i="1" s="1"/>
  <c r="P478" i="1" a="1"/>
  <c r="P478" i="1" s="1"/>
  <c r="P510" i="1" a="1"/>
  <c r="P510" i="1" s="1"/>
  <c r="P536" i="1" a="1"/>
  <c r="P536" i="1" s="1"/>
  <c r="P586" i="1" a="1"/>
  <c r="P586" i="1" s="1"/>
  <c r="P636" i="1" a="1"/>
  <c r="P636" i="1" s="1"/>
  <c r="P659" i="1" a="1"/>
  <c r="P659" i="1" s="1"/>
  <c r="P687" i="1" a="1"/>
  <c r="P687" i="1" s="1"/>
  <c r="P710" i="1" a="1"/>
  <c r="P710" i="1" s="1"/>
  <c r="P730" i="1" a="1"/>
  <c r="P730" i="1" s="1"/>
  <c r="P750" i="1" a="1"/>
  <c r="P750" i="1" s="1"/>
  <c r="P9" i="1" a="1"/>
  <c r="P9" i="1" s="1"/>
  <c r="P39" i="1" a="1"/>
  <c r="P39" i="1" s="1"/>
  <c r="P74" i="1" a="1"/>
  <c r="P74" i="1" s="1"/>
  <c r="P102" i="1" a="1"/>
  <c r="P102" i="1" s="1"/>
  <c r="P131" i="1" a="1"/>
  <c r="P131" i="1" s="1"/>
  <c r="P164" i="1" a="1"/>
  <c r="P164" i="1" s="1"/>
  <c r="P190" i="1" a="1"/>
  <c r="P190" i="1" s="1"/>
  <c r="P221" i="1" a="1"/>
  <c r="P221" i="1" s="1"/>
  <c r="P281" i="1" a="1"/>
  <c r="P281" i="1" s="1"/>
  <c r="P308" i="1" a="1"/>
  <c r="P308" i="1" s="1"/>
  <c r="P341" i="1" a="1"/>
  <c r="P341" i="1" s="1"/>
  <c r="P392" i="1" a="1"/>
  <c r="P392" i="1" s="1"/>
  <c r="P428" i="1" a="1"/>
  <c r="P428" i="1" s="1"/>
  <c r="P453" i="1" a="1"/>
  <c r="P453" i="1" s="1"/>
  <c r="P481" i="1" a="1"/>
  <c r="P481" i="1" s="1"/>
  <c r="P567" i="1" a="1"/>
  <c r="P567" i="1" s="1"/>
  <c r="P587" i="1" a="1"/>
  <c r="P587" i="1" s="1"/>
  <c r="P614" i="1" a="1"/>
  <c r="P614" i="1" s="1"/>
  <c r="P638" i="1" a="1"/>
  <c r="P638" i="1" s="1"/>
  <c r="P736" i="1" a="1"/>
  <c r="P736" i="1" s="1"/>
  <c r="P13" i="1" a="1"/>
  <c r="P13" i="1" s="1"/>
  <c r="P40" i="1" a="1"/>
  <c r="P40" i="1" s="1"/>
  <c r="P75" i="1" a="1"/>
  <c r="P75" i="1" s="1"/>
  <c r="P112" i="1" a="1"/>
  <c r="P112" i="1" s="1"/>
  <c r="P135" i="1" a="1"/>
  <c r="P135" i="1" s="1"/>
  <c r="P191" i="1" a="1"/>
  <c r="P191" i="1" s="1"/>
  <c r="P253" i="1" a="1"/>
  <c r="P253" i="1" s="1"/>
  <c r="P309" i="1" a="1"/>
  <c r="P309" i="1" s="1"/>
  <c r="P342" i="1" a="1"/>
  <c r="P342" i="1" s="1"/>
  <c r="P368" i="1" a="1"/>
  <c r="P368" i="1" s="1"/>
  <c r="P400" i="1" a="1"/>
  <c r="P400" i="1" s="1"/>
  <c r="P429" i="1" a="1"/>
  <c r="P429" i="1" s="1"/>
  <c r="P454" i="1" a="1"/>
  <c r="P454" i="1" s="1"/>
  <c r="P488" i="1" a="1"/>
  <c r="P488" i="1" s="1"/>
  <c r="P513" i="1" a="1"/>
  <c r="P513" i="1" s="1"/>
  <c r="P543" i="1" a="1"/>
  <c r="P543" i="1" s="1"/>
  <c r="P568" i="1" a="1"/>
  <c r="P568" i="1" s="1"/>
  <c r="P666" i="1" a="1"/>
  <c r="P666" i="1" s="1"/>
  <c r="P691" i="1" a="1"/>
  <c r="P691" i="1" s="1"/>
  <c r="P713" i="1" a="1"/>
  <c r="P713" i="1" s="1"/>
  <c r="P737" i="1" a="1"/>
  <c r="P737" i="1" s="1"/>
  <c r="P751" i="1" a="1"/>
  <c r="P751" i="1" s="1"/>
  <c r="P14" i="1" a="1"/>
  <c r="P14" i="1" s="1"/>
  <c r="P85" i="1" a="1"/>
  <c r="P85" i="1" s="1"/>
  <c r="P139" i="1" a="1"/>
  <c r="P139" i="1" s="1"/>
  <c r="P169" i="1" a="1"/>
  <c r="P169" i="1" s="1"/>
  <c r="P193" i="1" a="1"/>
  <c r="P193" i="1" s="1"/>
  <c r="P229" i="1" a="1"/>
  <c r="P229" i="1" s="1"/>
  <c r="P285" i="1" a="1"/>
  <c r="P285" i="1" s="1"/>
  <c r="P318" i="1" a="1"/>
  <c r="P318" i="1" s="1"/>
  <c r="P344" i="1" a="1"/>
  <c r="P344" i="1" s="1"/>
  <c r="P378" i="1" a="1"/>
  <c r="P378" i="1" s="1"/>
  <c r="P404" i="1" a="1"/>
  <c r="P404" i="1" s="1"/>
  <c r="P433" i="1" a="1"/>
  <c r="P433" i="1" s="1"/>
  <c r="O710" i="1" a="1"/>
  <c r="O710" i="1" s="1"/>
  <c r="O656" i="1" a="1"/>
  <c r="O656" i="1" s="1"/>
  <c r="O592" i="1" a="1"/>
  <c r="O592" i="1" s="1"/>
  <c r="O422" i="1" a="1"/>
  <c r="O422" i="1" s="1"/>
  <c r="O327" i="1" a="1"/>
  <c r="O327" i="1" s="1"/>
  <c r="O216" i="1" a="1"/>
  <c r="O216" i="1" s="1"/>
  <c r="O127" i="1" a="1"/>
  <c r="O127" i="1" s="1"/>
  <c r="O32" i="1" a="1"/>
  <c r="O32" i="1" s="1"/>
  <c r="P729" i="1" a="1"/>
  <c r="P729" i="1" s="1"/>
  <c r="P701" i="1" a="1"/>
  <c r="P701" i="1" s="1"/>
  <c r="P673" i="1" a="1"/>
  <c r="P673" i="1" s="1"/>
  <c r="P629" i="1" a="1"/>
  <c r="P629" i="1" s="1"/>
  <c r="P599" i="1" a="1"/>
  <c r="P599" i="1" s="1"/>
  <c r="P572" i="1" a="1"/>
  <c r="P572" i="1" s="1"/>
  <c r="P500" i="1" a="1"/>
  <c r="P500" i="1" s="1"/>
  <c r="P455" i="1" a="1"/>
  <c r="P455" i="1" s="1"/>
  <c r="P415" i="1" a="1"/>
  <c r="P415" i="1" s="1"/>
  <c r="P284" i="1" a="1"/>
  <c r="P284" i="1" s="1"/>
  <c r="P231" i="1" a="1"/>
  <c r="P231" i="1" s="1"/>
  <c r="P192" i="1" a="1"/>
  <c r="P192" i="1" s="1"/>
  <c r="P151" i="1" a="1"/>
  <c r="P151" i="1" s="1"/>
  <c r="P113" i="1" a="1"/>
  <c r="P113" i="1" s="1"/>
  <c r="P58" i="1" a="1"/>
  <c r="P58" i="1" s="1"/>
  <c r="O6" i="1" a="1"/>
  <c r="O6" i="1" s="1"/>
  <c r="O9" i="1" a="1"/>
  <c r="O9" i="1" s="1"/>
  <c r="O41" i="1" a="1"/>
  <c r="O41" i="1" s="1"/>
  <c r="O103" i="1" a="1"/>
  <c r="O103" i="1" s="1"/>
  <c r="O128" i="1" a="1"/>
  <c r="O128" i="1" s="1"/>
  <c r="O150" i="1" a="1"/>
  <c r="O150" i="1" s="1"/>
  <c r="O175" i="1" a="1"/>
  <c r="O175" i="1" s="1"/>
  <c r="O205" i="1" a="1"/>
  <c r="O205" i="1" s="1"/>
  <c r="O239" i="1" a="1"/>
  <c r="O239" i="1" s="1"/>
  <c r="O292" i="1" a="1"/>
  <c r="O292" i="1" s="1"/>
  <c r="O329" i="1" a="1"/>
  <c r="O329" i="1" s="1"/>
  <c r="O380" i="1" a="1"/>
  <c r="O380" i="1" s="1"/>
  <c r="O402" i="1" a="1"/>
  <c r="O402" i="1" s="1"/>
  <c r="O432" i="1" a="1"/>
  <c r="O432" i="1" s="1"/>
  <c r="O456" i="1" a="1"/>
  <c r="O456" i="1" s="1"/>
  <c r="O493" i="1" a="1"/>
  <c r="O493" i="1" s="1"/>
  <c r="O515" i="1" a="1"/>
  <c r="O515" i="1" s="1"/>
  <c r="O536" i="1" a="1"/>
  <c r="O536" i="1" s="1"/>
  <c r="O562" i="1" a="1"/>
  <c r="O562" i="1" s="1"/>
  <c r="O583" i="1" a="1"/>
  <c r="O583" i="1" s="1"/>
  <c r="O604" i="1" a="1"/>
  <c r="O604" i="1" s="1"/>
  <c r="O648" i="1" a="1"/>
  <c r="O648" i="1" s="1"/>
  <c r="O670" i="1" a="1"/>
  <c r="O670" i="1" s="1"/>
  <c r="O688" i="1" a="1"/>
  <c r="O688" i="1" s="1"/>
  <c r="O705" i="1" a="1"/>
  <c r="O705" i="1" s="1"/>
  <c r="O742" i="1" a="1"/>
  <c r="O742" i="1" s="1"/>
  <c r="O10" i="1" a="1"/>
  <c r="O10" i="1" s="1"/>
  <c r="O44" i="1" a="1"/>
  <c r="O44" i="1" s="1"/>
  <c r="O77" i="1" a="1"/>
  <c r="O77" i="1" s="1"/>
  <c r="O151" i="1" a="1"/>
  <c r="O151" i="1" s="1"/>
  <c r="O181" i="1" a="1"/>
  <c r="O181" i="1" s="1"/>
  <c r="O206" i="1" a="1"/>
  <c r="O206" i="1" s="1"/>
  <c r="O240" i="1" a="1"/>
  <c r="O240" i="1" s="1"/>
  <c r="O270" i="1" a="1"/>
  <c r="O270" i="1" s="1"/>
  <c r="O335" i="1" a="1"/>
  <c r="O335" i="1" s="1"/>
  <c r="O357" i="1" a="1"/>
  <c r="O357" i="1" s="1"/>
  <c r="O381" i="1" a="1"/>
  <c r="O381" i="1" s="1"/>
  <c r="O409" i="1" a="1"/>
  <c r="O409" i="1" s="1"/>
  <c r="O462" i="1" a="1"/>
  <c r="O462" i="1" s="1"/>
  <c r="O494" i="1" a="1"/>
  <c r="O494" i="1" s="1"/>
  <c r="O517" i="1" a="1"/>
  <c r="O517" i="1" s="1"/>
  <c r="O537" i="1" a="1"/>
  <c r="O537" i="1" s="1"/>
  <c r="O609" i="1" a="1"/>
  <c r="O609" i="1" s="1"/>
  <c r="O629" i="1" a="1"/>
  <c r="O629" i="1" s="1"/>
  <c r="O650" i="1" a="1"/>
  <c r="O650" i="1" s="1"/>
  <c r="O671" i="1" a="1"/>
  <c r="O671" i="1" s="1"/>
  <c r="O709" i="1" a="1"/>
  <c r="O709" i="1" s="1"/>
  <c r="O725" i="1" a="1"/>
  <c r="O725" i="1" s="1"/>
  <c r="O743" i="1" a="1"/>
  <c r="O743" i="1" s="1"/>
  <c r="O11" i="1" a="1"/>
  <c r="O11" i="1" s="1"/>
  <c r="O45" i="1" a="1"/>
  <c r="O45" i="1" s="1"/>
  <c r="O105" i="1" a="1"/>
  <c r="O105" i="1" s="1"/>
  <c r="O135" i="1" a="1"/>
  <c r="O135" i="1" s="1"/>
  <c r="O157" i="1" a="1"/>
  <c r="O157" i="1" s="1"/>
  <c r="O208" i="1" a="1"/>
  <c r="O208" i="1" s="1"/>
  <c r="O241" i="1" a="1"/>
  <c r="O241" i="1" s="1"/>
  <c r="O272" i="1" a="1"/>
  <c r="O272" i="1" s="1"/>
  <c r="O293" i="1" a="1"/>
  <c r="O293" i="1" s="1"/>
  <c r="O358" i="1" a="1"/>
  <c r="O358" i="1" s="1"/>
  <c r="O382" i="1" a="1"/>
  <c r="O382" i="1" s="1"/>
  <c r="O410" i="1" a="1"/>
  <c r="O410" i="1" s="1"/>
  <c r="O434" i="1" a="1"/>
  <c r="O434" i="1" s="1"/>
  <c r="O463" i="1" a="1"/>
  <c r="O463" i="1" s="1"/>
  <c r="O496" i="1" a="1"/>
  <c r="O496" i="1" s="1"/>
  <c r="O519" i="1" a="1"/>
  <c r="O519" i="1" s="1"/>
  <c r="O538" i="1" a="1"/>
  <c r="O538" i="1" s="1"/>
  <c r="O563" i="1" a="1"/>
  <c r="O563" i="1" s="1"/>
  <c r="O585" i="1" a="1"/>
  <c r="O585" i="1" s="1"/>
  <c r="O610" i="1" a="1"/>
  <c r="O610" i="1" s="1"/>
  <c r="O632" i="1" a="1"/>
  <c r="O632" i="1" s="1"/>
  <c r="O653" i="1" a="1"/>
  <c r="O653" i="1" s="1"/>
  <c r="O673" i="1" a="1"/>
  <c r="O673" i="1" s="1"/>
  <c r="O693" i="1" a="1"/>
  <c r="O693" i="1" s="1"/>
  <c r="O727" i="1" a="1"/>
  <c r="O727" i="1" s="1"/>
  <c r="O744" i="1" a="1"/>
  <c r="O744" i="1" s="1"/>
  <c r="O13" i="1" a="1"/>
  <c r="O13" i="1" s="1"/>
  <c r="O46" i="1" a="1"/>
  <c r="O46" i="1" s="1"/>
  <c r="O78" i="1" a="1"/>
  <c r="O78" i="1" s="1"/>
  <c r="O111" i="1" a="1"/>
  <c r="O111" i="1" s="1"/>
  <c r="O136" i="1" a="1"/>
  <c r="O136" i="1" s="1"/>
  <c r="O159" i="1" a="1"/>
  <c r="O159" i="1" s="1"/>
  <c r="O641" i="1" a="1"/>
  <c r="O641" i="1" s="1"/>
  <c r="O581" i="1" a="1"/>
  <c r="O581" i="1" s="1"/>
  <c r="O346" i="1" a="1"/>
  <c r="O346" i="1" s="1"/>
  <c r="O264" i="1" a="1"/>
  <c r="O264" i="1" s="1"/>
  <c r="O68" i="1" a="1"/>
  <c r="O68" i="1" s="1"/>
  <c r="P2" i="1" a="1"/>
  <c r="P2" i="1" s="1"/>
  <c r="P10" i="1" a="1"/>
  <c r="P10" i="1" s="1"/>
  <c r="P20" i="1" a="1"/>
  <c r="P20" i="1" s="1"/>
  <c r="R20" i="1" s="1"/>
  <c r="P59" i="1" a="1"/>
  <c r="P59" i="1" s="1"/>
  <c r="P69" i="1" a="1"/>
  <c r="P69" i="1" s="1"/>
  <c r="P88" i="1" a="1"/>
  <c r="P88" i="1" s="1"/>
  <c r="P126" i="1" a="1"/>
  <c r="P126" i="1" s="1"/>
  <c r="P137" i="1" a="1"/>
  <c r="P137" i="1" s="1"/>
  <c r="P148" i="1" a="1"/>
  <c r="P148" i="1" s="1"/>
  <c r="P165" i="1" a="1"/>
  <c r="P165" i="1" s="1"/>
  <c r="P175" i="1" a="1"/>
  <c r="P175" i="1" s="1"/>
  <c r="P185" i="1" a="1"/>
  <c r="P185" i="1" s="1"/>
  <c r="P194" i="1" a="1"/>
  <c r="P194" i="1" s="1"/>
  <c r="P205" i="1" a="1"/>
  <c r="P205" i="1" s="1"/>
  <c r="P232" i="1" a="1"/>
  <c r="P232" i="1" s="1"/>
  <c r="P243" i="1" a="1"/>
  <c r="P243" i="1" s="1"/>
  <c r="P254" i="1" a="1"/>
  <c r="P254" i="1" s="1"/>
  <c r="P263" i="1" a="1"/>
  <c r="P263" i="1" s="1"/>
  <c r="P272" i="1" a="1"/>
  <c r="P272" i="1" s="1"/>
  <c r="P282" i="1" a="1"/>
  <c r="P282" i="1" s="1"/>
  <c r="P291" i="1" a="1"/>
  <c r="P291" i="1" s="1"/>
  <c r="P301" i="1" a="1"/>
  <c r="P301" i="1" s="1"/>
  <c r="P311" i="1" a="1"/>
  <c r="P311" i="1" s="1"/>
  <c r="P321" i="1" a="1"/>
  <c r="P321" i="1" s="1"/>
  <c r="P330" i="1" a="1"/>
  <c r="P330" i="1" s="1"/>
  <c r="P347" i="1" a="1"/>
  <c r="P347" i="1" s="1"/>
  <c r="P356" i="1" a="1"/>
  <c r="P356" i="1" s="1"/>
  <c r="P366" i="1" a="1"/>
  <c r="P366" i="1" s="1"/>
  <c r="P374" i="1" a="1"/>
  <c r="P374" i="1" s="1"/>
  <c r="P384" i="1" a="1"/>
  <c r="P384" i="1" s="1"/>
  <c r="P393" i="1" a="1"/>
  <c r="P393" i="1" s="1"/>
  <c r="P402" i="1" a="1"/>
  <c r="P402" i="1" s="1"/>
  <c r="P420" i="1" a="1"/>
  <c r="P420" i="1" s="1"/>
  <c r="P431" i="1" a="1"/>
  <c r="P431" i="1" s="1"/>
  <c r="P439" i="1" a="1"/>
  <c r="P439" i="1" s="1"/>
  <c r="P456" i="1" a="1"/>
  <c r="P456" i="1" s="1"/>
  <c r="P466" i="1" a="1"/>
  <c r="P466" i="1" s="1"/>
  <c r="P475" i="1" a="1"/>
  <c r="P475" i="1" s="1"/>
  <c r="P484" i="1" a="1"/>
  <c r="P484" i="1" s="1"/>
  <c r="P494" i="1" a="1"/>
  <c r="P494" i="1" s="1"/>
  <c r="P503" i="1" a="1"/>
  <c r="P503" i="1" s="1"/>
  <c r="P511" i="1" a="1"/>
  <c r="P511" i="1" s="1"/>
  <c r="P527" i="1" a="1"/>
  <c r="P527" i="1" s="1"/>
  <c r="P549" i="1" a="1"/>
  <c r="P549" i="1" s="1"/>
  <c r="P565" i="1" a="1"/>
  <c r="P565" i="1" s="1"/>
  <c r="P580" i="1" a="1"/>
  <c r="P580" i="1" s="1"/>
  <c r="P588" i="1" a="1"/>
  <c r="P588" i="1" s="1"/>
  <c r="P596" i="1" a="1"/>
  <c r="P596" i="1" s="1"/>
  <c r="P604" i="1" a="1"/>
  <c r="P604" i="1" s="1"/>
  <c r="P619" i="1" a="1"/>
  <c r="P619" i="1" s="1"/>
  <c r="P626" i="1" a="1"/>
  <c r="P626" i="1" s="1"/>
  <c r="P634" i="1" a="1"/>
  <c r="P634" i="1" s="1"/>
  <c r="P641" i="1" a="1"/>
  <c r="P641" i="1" s="1"/>
  <c r="P656" i="1" a="1"/>
  <c r="P656" i="1" s="1"/>
  <c r="P664" i="1" a="1"/>
  <c r="P664" i="1" s="1"/>
  <c r="P671" i="1" a="1"/>
  <c r="P671" i="1" s="1"/>
  <c r="P678" i="1" a="1"/>
  <c r="P678" i="1" s="1"/>
  <c r="P685" i="1" a="1"/>
  <c r="P685" i="1" s="1"/>
  <c r="P698" i="1" a="1"/>
  <c r="P698" i="1" s="1"/>
  <c r="P711" i="1" a="1"/>
  <c r="P711" i="1" s="1"/>
  <c r="P724" i="1" a="1"/>
  <c r="P724" i="1" s="1"/>
  <c r="P731" i="1" a="1"/>
  <c r="P731" i="1" s="1"/>
  <c r="P11" i="1" a="1"/>
  <c r="P11" i="1" s="1"/>
  <c r="P21" i="1" a="1"/>
  <c r="P21" i="1" s="1"/>
  <c r="P31" i="1" a="1"/>
  <c r="P31" i="1" s="1"/>
  <c r="P42" i="1" a="1"/>
  <c r="P42" i="1" s="1"/>
  <c r="P50" i="1" a="1"/>
  <c r="P50" i="1" s="1"/>
  <c r="P60" i="1" a="1"/>
  <c r="P60" i="1" s="1"/>
  <c r="P70" i="1" a="1"/>
  <c r="P70" i="1" s="1"/>
  <c r="P79" i="1" a="1"/>
  <c r="P79" i="1" s="1"/>
  <c r="P89" i="1" a="1"/>
  <c r="P89" i="1" s="1"/>
  <c r="P99" i="1" a="1"/>
  <c r="P99" i="1" s="1"/>
  <c r="P109" i="1" a="1"/>
  <c r="P109" i="1" s="1"/>
  <c r="P117" i="1" a="1"/>
  <c r="P117" i="1" s="1"/>
  <c r="P127" i="1" a="1"/>
  <c r="P127" i="1" s="1"/>
  <c r="P138" i="1" a="1"/>
  <c r="P138" i="1" s="1"/>
  <c r="P149" i="1" a="1"/>
  <c r="P149" i="1" s="1"/>
  <c r="P157" i="1" a="1"/>
  <c r="P157" i="1" s="1"/>
  <c r="P166" i="1" a="1"/>
  <c r="P166" i="1" s="1"/>
  <c r="P176" i="1" a="1"/>
  <c r="P176" i="1" s="1"/>
  <c r="P186" i="1" a="1"/>
  <c r="P186" i="1" s="1"/>
  <c r="P195" i="1" a="1"/>
  <c r="P195" i="1" s="1"/>
  <c r="P206" i="1" a="1"/>
  <c r="P206" i="1" s="1"/>
  <c r="P216" i="1" a="1"/>
  <c r="P216" i="1" s="1"/>
  <c r="P224" i="1" a="1"/>
  <c r="P224" i="1" s="1"/>
  <c r="P233" i="1" a="1"/>
  <c r="P233" i="1" s="1"/>
  <c r="P244" i="1" a="1"/>
  <c r="P244" i="1" s="1"/>
  <c r="P255" i="1" a="1"/>
  <c r="P255" i="1" s="1"/>
  <c r="P264" i="1" a="1"/>
  <c r="P264" i="1" s="1"/>
  <c r="P292" i="1" a="1"/>
  <c r="P292" i="1" s="1"/>
  <c r="P302" i="1" a="1"/>
  <c r="P302" i="1" s="1"/>
  <c r="P322" i="1" a="1"/>
  <c r="P322" i="1" s="1"/>
  <c r="P338" i="1" a="1"/>
  <c r="P338" i="1" s="1"/>
  <c r="P357" i="1" a="1"/>
  <c r="P357" i="1" s="1"/>
  <c r="P375" i="1" a="1"/>
  <c r="P375" i="1" s="1"/>
  <c r="P385" i="1" a="1"/>
  <c r="P385" i="1" s="1"/>
  <c r="P394" i="1" a="1"/>
  <c r="P394" i="1" s="1"/>
  <c r="P411" i="1" a="1"/>
  <c r="P411" i="1" s="1"/>
  <c r="P421" i="1" a="1"/>
  <c r="P421" i="1" s="1"/>
  <c r="P447" i="1" a="1"/>
  <c r="P447" i="1" s="1"/>
  <c r="P457" i="1" a="1"/>
  <c r="P457" i="1" s="1"/>
  <c r="P467" i="1" a="1"/>
  <c r="P467" i="1" s="1"/>
  <c r="P476" i="1" a="1"/>
  <c r="P476" i="1" s="1"/>
  <c r="P485" i="1" a="1"/>
  <c r="P485" i="1" s="1"/>
  <c r="P519" i="1" a="1"/>
  <c r="P519" i="1" s="1"/>
  <c r="P535" i="1" a="1"/>
  <c r="P535" i="1" s="1"/>
  <c r="P542" i="1" a="1"/>
  <c r="P542" i="1" s="1"/>
  <c r="P550" i="1" a="1"/>
  <c r="P550" i="1" s="1"/>
  <c r="P558" i="1" a="1"/>
  <c r="P558" i="1" s="1"/>
  <c r="P573" i="1" a="1"/>
  <c r="P573" i="1" s="1"/>
  <c r="P581" i="1" a="1"/>
  <c r="P581" i="1" s="1"/>
  <c r="P589" i="1" a="1"/>
  <c r="P589" i="1" s="1"/>
  <c r="P605" i="1" a="1"/>
  <c r="P605" i="1" s="1"/>
  <c r="P612" i="1" a="1"/>
  <c r="P612" i="1" s="1"/>
  <c r="P649" i="1" a="1"/>
  <c r="P649" i="1" s="1"/>
  <c r="P657" i="1" a="1"/>
  <c r="P657" i="1" s="1"/>
  <c r="P692" i="1" a="1"/>
  <c r="P692" i="1" s="1"/>
  <c r="P705" i="1" a="1"/>
  <c r="P705" i="1" s="1"/>
  <c r="P718" i="1" a="1"/>
  <c r="P718" i="1" s="1"/>
  <c r="P725" i="1" a="1"/>
  <c r="P725" i="1" s="1"/>
  <c r="P3" i="1" a="1"/>
  <c r="P3" i="1" s="1"/>
  <c r="P12" i="1" a="1"/>
  <c r="P12" i="1" s="1"/>
  <c r="P22" i="1" a="1"/>
  <c r="P22" i="1" s="1"/>
  <c r="P32" i="1" a="1"/>
  <c r="P32" i="1" s="1"/>
  <c r="P51" i="1" a="1"/>
  <c r="P51" i="1" s="1"/>
  <c r="P61" i="1" a="1"/>
  <c r="P61" i="1" s="1"/>
  <c r="P71" i="1" a="1"/>
  <c r="P71" i="1" s="1"/>
  <c r="P90" i="1" a="1"/>
  <c r="P90" i="1" s="1"/>
  <c r="P100" i="1" a="1"/>
  <c r="P100" i="1" s="1"/>
  <c r="P110" i="1" a="1"/>
  <c r="P110" i="1" s="1"/>
  <c r="P118" i="1" a="1"/>
  <c r="P118" i="1" s="1"/>
  <c r="P128" i="1" a="1"/>
  <c r="P128" i="1" s="1"/>
  <c r="P167" i="1" a="1"/>
  <c r="P167" i="1" s="1"/>
  <c r="P177" i="1" a="1"/>
  <c r="P177" i="1" s="1"/>
  <c r="P196" i="1" a="1"/>
  <c r="P196" i="1" s="1"/>
  <c r="P234" i="1" a="1"/>
  <c r="P234" i="1" s="1"/>
  <c r="P245" i="1" a="1"/>
  <c r="P245" i="1" s="1"/>
  <c r="P256" i="1" a="1"/>
  <c r="P256" i="1" s="1"/>
  <c r="P273" i="1" a="1"/>
  <c r="P273" i="1" s="1"/>
  <c r="P283" i="1" a="1"/>
  <c r="P283" i="1" s="1"/>
  <c r="P293" i="1" a="1"/>
  <c r="P293" i="1" s="1"/>
  <c r="P312" i="1" a="1"/>
  <c r="P312" i="1" s="1"/>
  <c r="P323" i="1" a="1"/>
  <c r="P323" i="1" s="1"/>
  <c r="P331" i="1" a="1"/>
  <c r="P331" i="1" s="1"/>
  <c r="P348" i="1" a="1"/>
  <c r="P348" i="1" s="1"/>
  <c r="P358" i="1" a="1"/>
  <c r="P358" i="1" s="1"/>
  <c r="P367" i="1" a="1"/>
  <c r="P367" i="1" s="1"/>
  <c r="P376" i="1" a="1"/>
  <c r="P376" i="1" s="1"/>
  <c r="P386" i="1" a="1"/>
  <c r="P386" i="1" s="1"/>
  <c r="P395" i="1" a="1"/>
  <c r="P395" i="1" s="1"/>
  <c r="P403" i="1" a="1"/>
  <c r="P403" i="1" s="1"/>
  <c r="P412" i="1" a="1"/>
  <c r="P412" i="1" s="1"/>
  <c r="P422" i="1" a="1"/>
  <c r="P422" i="1" s="1"/>
  <c r="P432" i="1" a="1"/>
  <c r="P432" i="1" s="1"/>
  <c r="P440" i="1" a="1"/>
  <c r="P440" i="1" s="1"/>
  <c r="P448" i="1" a="1"/>
  <c r="P448" i="1" s="1"/>
  <c r="P458" i="1" a="1"/>
  <c r="P458" i="1" s="1"/>
  <c r="P468" i="1" a="1"/>
  <c r="P468" i="1" s="1"/>
  <c r="P486" i="1" a="1"/>
  <c r="P486" i="1" s="1"/>
  <c r="P495" i="1" a="1"/>
  <c r="P495" i="1" s="1"/>
  <c r="P504" i="1" a="1"/>
  <c r="P504" i="1" s="1"/>
  <c r="P512" i="1" a="1"/>
  <c r="P512" i="1" s="1"/>
  <c r="P520" i="1" a="1"/>
  <c r="P520" i="1" s="1"/>
  <c r="P528" i="1" a="1"/>
  <c r="P528" i="1" s="1"/>
  <c r="P551" i="1" a="1"/>
  <c r="P551" i="1" s="1"/>
  <c r="P566" i="1" a="1"/>
  <c r="P566" i="1" s="1"/>
  <c r="P574" i="1" a="1"/>
  <c r="P574" i="1" s="1"/>
  <c r="P582" i="1" a="1"/>
  <c r="P582" i="1" s="1"/>
  <c r="P597" i="1" a="1"/>
  <c r="P597" i="1" s="1"/>
  <c r="P620" i="1" a="1"/>
  <c r="P620" i="1" s="1"/>
  <c r="P627" i="1" a="1"/>
  <c r="P627" i="1" s="1"/>
  <c r="P635" i="1" a="1"/>
  <c r="P635" i="1" s="1"/>
  <c r="P642" i="1" a="1"/>
  <c r="P642" i="1" s="1"/>
  <c r="P650" i="1" a="1"/>
  <c r="P650" i="1" s="1"/>
  <c r="P658" i="1" a="1"/>
  <c r="P658" i="1" s="1"/>
  <c r="P665" i="1" a="1"/>
  <c r="P665" i="1" s="1"/>
  <c r="P672" i="1" a="1"/>
  <c r="P672" i="1" s="1"/>
  <c r="P679" i="1" a="1"/>
  <c r="P679" i="1" s="1"/>
  <c r="P686" i="1" a="1"/>
  <c r="P686" i="1" s="1"/>
  <c r="P699" i="1" a="1"/>
  <c r="P699" i="1" s="1"/>
  <c r="P712" i="1" a="1"/>
  <c r="P712" i="1" s="1"/>
  <c r="P719" i="1" a="1"/>
  <c r="P719" i="1" s="1"/>
  <c r="P732" i="1" a="1"/>
  <c r="P732" i="1" s="1"/>
  <c r="P4" i="1" a="1"/>
  <c r="P4" i="1" s="1"/>
  <c r="P28" i="1" a="1"/>
  <c r="P28" i="1" s="1"/>
  <c r="P43" i="1" a="1"/>
  <c r="P43" i="1" s="1"/>
  <c r="P55" i="1" a="1"/>
  <c r="P55" i="1" s="1"/>
  <c r="P80" i="1" a="1"/>
  <c r="P80" i="1" s="1"/>
  <c r="P93" i="1" a="1"/>
  <c r="P93" i="1" s="1"/>
  <c r="P107" i="1" a="1"/>
  <c r="P107" i="1" s="1"/>
  <c r="P119" i="1" a="1"/>
  <c r="P119" i="1" s="1"/>
  <c r="P145" i="1" a="1"/>
  <c r="P145" i="1" s="1"/>
  <c r="P158" i="1" a="1"/>
  <c r="P158" i="1" s="1"/>
  <c r="P171" i="1" a="1"/>
  <c r="P171" i="1" s="1"/>
  <c r="P182" i="1" a="1"/>
  <c r="P182" i="1" s="1"/>
  <c r="P197" i="1" a="1"/>
  <c r="P197" i="1" s="1"/>
  <c r="P210" i="1" a="1"/>
  <c r="P210" i="1" s="1"/>
  <c r="P222" i="1" a="1"/>
  <c r="P222" i="1" s="1"/>
  <c r="P235" i="1" a="1"/>
  <c r="P235" i="1" s="1"/>
  <c r="P248" i="1" a="1"/>
  <c r="P248" i="1" s="1"/>
  <c r="P274" i="1" a="1"/>
  <c r="P274" i="1" s="1"/>
  <c r="P287" i="1" a="1"/>
  <c r="P287" i="1" s="1"/>
  <c r="P298" i="1" a="1"/>
  <c r="P298" i="1" s="1"/>
  <c r="P313" i="1" a="1"/>
  <c r="P313" i="1" s="1"/>
  <c r="P325" i="1" a="1"/>
  <c r="P325" i="1" s="1"/>
  <c r="P336" i="1" a="1"/>
  <c r="P336" i="1" s="1"/>
  <c r="P349" i="1" a="1"/>
  <c r="P349" i="1" s="1"/>
  <c r="P397" i="1" a="1"/>
  <c r="P397" i="1" s="1"/>
  <c r="P408" i="1" a="1"/>
  <c r="P408" i="1" s="1"/>
  <c r="P435" i="1" a="1"/>
  <c r="P435" i="1" s="1"/>
  <c r="P445" i="1" a="1"/>
  <c r="P445" i="1" s="1"/>
  <c r="P459" i="1" a="1"/>
  <c r="P459" i="1" s="1"/>
  <c r="P471" i="1" a="1"/>
  <c r="P471" i="1" s="1"/>
  <c r="P496" i="1" a="1"/>
  <c r="P496" i="1" s="1"/>
  <c r="P506" i="1" a="1"/>
  <c r="P506" i="1" s="1"/>
  <c r="P517" i="1" a="1"/>
  <c r="P517" i="1" s="1"/>
  <c r="P538" i="1" a="1"/>
  <c r="P538" i="1" s="1"/>
  <c r="P559" i="1" a="1"/>
  <c r="P559" i="1" s="1"/>
  <c r="P578" i="1" a="1"/>
  <c r="P578" i="1" s="1"/>
  <c r="P590" i="1" a="1"/>
  <c r="P590" i="1" s="1"/>
  <c r="P600" i="1" a="1"/>
  <c r="P600" i="1" s="1"/>
  <c r="P609" i="1" a="1"/>
  <c r="P609" i="1" s="1"/>
  <c r="P630" i="1" a="1"/>
  <c r="P630" i="1" s="1"/>
  <c r="P639" i="1" a="1"/>
  <c r="P639" i="1" s="1"/>
  <c r="P660" i="1" a="1"/>
  <c r="P660" i="1" s="1"/>
  <c r="P669" i="1" a="1"/>
  <c r="P669" i="1" s="1"/>
  <c r="P688" i="1" a="1"/>
  <c r="P688" i="1" s="1"/>
  <c r="P706" i="1" a="1"/>
  <c r="P706" i="1" s="1"/>
  <c r="P739" i="1" a="1"/>
  <c r="P739" i="1" s="1"/>
  <c r="P5" i="1" a="1"/>
  <c r="P5" i="1" s="1"/>
  <c r="P15" i="1" a="1"/>
  <c r="P15" i="1" s="1"/>
  <c r="P29" i="1" a="1"/>
  <c r="P29" i="1" s="1"/>
  <c r="P44" i="1" a="1"/>
  <c r="P44" i="1" s="1"/>
  <c r="P67" i="1" a="1"/>
  <c r="P67" i="1" s="1"/>
  <c r="P94" i="1" a="1"/>
  <c r="P94" i="1" s="1"/>
  <c r="P120" i="1" a="1"/>
  <c r="P120" i="1" s="1"/>
  <c r="P132" i="1" a="1"/>
  <c r="P132" i="1" s="1"/>
  <c r="P146" i="1" a="1"/>
  <c r="P146" i="1" s="1"/>
  <c r="P159" i="1" a="1"/>
  <c r="P159" i="1" s="1"/>
  <c r="P172" i="1" a="1"/>
  <c r="P172" i="1" s="1"/>
  <c r="P183" i="1" a="1"/>
  <c r="P183" i="1" s="1"/>
  <c r="P198" i="1" a="1"/>
  <c r="P198" i="1" s="1"/>
  <c r="P211" i="1" a="1"/>
  <c r="P211" i="1" s="1"/>
  <c r="P236" i="1" a="1"/>
  <c r="P236" i="1" s="1"/>
  <c r="P249" i="1" a="1"/>
  <c r="P249" i="1" s="1"/>
  <c r="P261" i="1" a="1"/>
  <c r="P261" i="1" s="1"/>
  <c r="P275" i="1" a="1"/>
  <c r="P275" i="1" s="1"/>
  <c r="P288" i="1" a="1"/>
  <c r="P288" i="1" s="1"/>
  <c r="P299" i="1" a="1"/>
  <c r="P299" i="1" s="1"/>
  <c r="P314" i="1" a="1"/>
  <c r="P314" i="1" s="1"/>
  <c r="P326" i="1" a="1"/>
  <c r="P326" i="1" s="1"/>
  <c r="P350" i="1" a="1"/>
  <c r="P350" i="1" s="1"/>
  <c r="P362" i="1" a="1"/>
  <c r="P362" i="1" s="1"/>
  <c r="P373" i="1" a="1"/>
  <c r="P373" i="1" s="1"/>
  <c r="P387" i="1" a="1"/>
  <c r="P387" i="1" s="1"/>
  <c r="P409" i="1" a="1"/>
  <c r="P409" i="1" s="1"/>
  <c r="P423" i="1" a="1"/>
  <c r="P423" i="1" s="1"/>
  <c r="P436" i="1" a="1"/>
  <c r="P436" i="1" s="1"/>
  <c r="P460" i="1" a="1"/>
  <c r="P460" i="1" s="1"/>
  <c r="P472" i="1" a="1"/>
  <c r="P472" i="1" s="1"/>
  <c r="P482" i="1" a="1"/>
  <c r="P482" i="1" s="1"/>
  <c r="P497" i="1" a="1"/>
  <c r="P497" i="1" s="1"/>
  <c r="P507" i="1" a="1"/>
  <c r="P507" i="1" s="1"/>
  <c r="P529" i="1" a="1"/>
  <c r="P529" i="1" s="1"/>
  <c r="P539" i="1" a="1"/>
  <c r="P539" i="1" s="1"/>
  <c r="P548" i="1" a="1"/>
  <c r="P548" i="1" s="1"/>
  <c r="P560" i="1" a="1"/>
  <c r="P560" i="1" s="1"/>
  <c r="P570" i="1" a="1"/>
  <c r="P570" i="1" s="1"/>
  <c r="P610" i="1" a="1"/>
  <c r="P610" i="1" s="1"/>
  <c r="P621" i="1" a="1"/>
  <c r="P621" i="1" s="1"/>
  <c r="P631" i="1" a="1"/>
  <c r="P631" i="1" s="1"/>
  <c r="P640" i="1" a="1"/>
  <c r="P640" i="1" s="1"/>
  <c r="P651" i="1" a="1"/>
  <c r="P651" i="1" s="1"/>
  <c r="P670" i="1" a="1"/>
  <c r="P670" i="1" s="1"/>
  <c r="P680" i="1" a="1"/>
  <c r="P680" i="1" s="1"/>
  <c r="P689" i="1" a="1"/>
  <c r="P689" i="1" s="1"/>
  <c r="P697" i="1" a="1"/>
  <c r="P697" i="1" s="1"/>
  <c r="P707" i="1" a="1"/>
  <c r="P707" i="1" s="1"/>
  <c r="P715" i="1" a="1"/>
  <c r="P715" i="1" s="1"/>
  <c r="P723" i="1" a="1"/>
  <c r="P723" i="1" s="1"/>
  <c r="P733" i="1" a="1"/>
  <c r="P733" i="1" s="1"/>
  <c r="P746" i="1" a="1"/>
  <c r="P746" i="1" s="1"/>
  <c r="P16" i="1" a="1"/>
  <c r="P16" i="1" s="1"/>
  <c r="P30" i="1" a="1"/>
  <c r="P30" i="1" s="1"/>
  <c r="P56" i="1" a="1"/>
  <c r="P56" i="1" s="1"/>
  <c r="P68" i="1" a="1"/>
  <c r="P68" i="1" s="1"/>
  <c r="P81" i="1" a="1"/>
  <c r="P81" i="1" s="1"/>
  <c r="P95" i="1" a="1"/>
  <c r="P95" i="1" s="1"/>
  <c r="P108" i="1" a="1"/>
  <c r="P108" i="1" s="1"/>
  <c r="P121" i="1" a="1"/>
  <c r="P121" i="1" s="1"/>
  <c r="P133" i="1" a="1"/>
  <c r="P133" i="1" s="1"/>
  <c r="P147" i="1" a="1"/>
  <c r="P147" i="1" s="1"/>
  <c r="P160" i="1" a="1"/>
  <c r="P160" i="1" s="1"/>
  <c r="P173" i="1" a="1"/>
  <c r="P173" i="1" s="1"/>
  <c r="P184" i="1" a="1"/>
  <c r="P184" i="1" s="1"/>
  <c r="P199" i="1" a="1"/>
  <c r="P199" i="1" s="1"/>
  <c r="P212" i="1" a="1"/>
  <c r="P212" i="1" s="1"/>
  <c r="P223" i="1" a="1"/>
  <c r="P223" i="1" s="1"/>
  <c r="P237" i="1" a="1"/>
  <c r="P237" i="1" s="1"/>
  <c r="P250" i="1" a="1"/>
  <c r="P250" i="1" s="1"/>
  <c r="P262" i="1" a="1"/>
  <c r="P262" i="1" s="1"/>
  <c r="P276" i="1" a="1"/>
  <c r="P276" i="1" s="1"/>
  <c r="P300" i="1" a="1"/>
  <c r="P300" i="1" s="1"/>
  <c r="P327" i="1" a="1"/>
  <c r="P327" i="1" s="1"/>
  <c r="P337" i="1" a="1"/>
  <c r="P337" i="1" s="1"/>
  <c r="P351" i="1" a="1"/>
  <c r="P351" i="1" s="1"/>
  <c r="P363" i="1" a="1"/>
  <c r="P363" i="1" s="1"/>
  <c r="P388" i="1" a="1"/>
  <c r="P388" i="1" s="1"/>
  <c r="P398" i="1" a="1"/>
  <c r="P398" i="1" s="1"/>
  <c r="P410" i="1" a="1"/>
  <c r="P410" i="1" s="1"/>
  <c r="P424" i="1" a="1"/>
  <c r="P424" i="1" s="1"/>
  <c r="P437" i="1" a="1"/>
  <c r="P437" i="1" s="1"/>
  <c r="P446" i="1" a="1"/>
  <c r="P446" i="1" s="1"/>
  <c r="P461" i="1" a="1"/>
  <c r="P461" i="1" s="1"/>
  <c r="P473" i="1" a="1"/>
  <c r="P473" i="1" s="1"/>
  <c r="R473" i="1" s="1"/>
  <c r="P483" i="1" a="1"/>
  <c r="P483" i="1" s="1"/>
  <c r="P508" i="1" a="1"/>
  <c r="P508" i="1" s="1"/>
  <c r="P518" i="1" a="1"/>
  <c r="P518" i="1" s="1"/>
  <c r="P579" i="1" a="1"/>
  <c r="P579" i="1" s="1"/>
  <c r="P591" i="1" a="1"/>
  <c r="P591" i="1" s="1"/>
  <c r="P601" i="1" a="1"/>
  <c r="P601" i="1" s="1"/>
  <c r="P611" i="1" a="1"/>
  <c r="P611" i="1" s="1"/>
  <c r="P622" i="1" a="1"/>
  <c r="P622" i="1" s="1"/>
  <c r="P652" i="1" a="1"/>
  <c r="P652" i="1" s="1"/>
  <c r="P661" i="1" a="1"/>
  <c r="P661" i="1" s="1"/>
  <c r="P740" i="1" a="1"/>
  <c r="P740" i="1" s="1"/>
  <c r="P6" i="1" a="1"/>
  <c r="P6" i="1" s="1"/>
  <c r="P17" i="1" a="1"/>
  <c r="P17" i="1" s="1"/>
  <c r="P33" i="1" a="1"/>
  <c r="P33" i="1" s="1"/>
  <c r="P45" i="1" a="1"/>
  <c r="P45" i="1" s="1"/>
  <c r="P72" i="1" a="1"/>
  <c r="P72" i="1" s="1"/>
  <c r="P82" i="1" a="1"/>
  <c r="P82" i="1" s="1"/>
  <c r="P96" i="1" a="1"/>
  <c r="P96" i="1" s="1"/>
  <c r="P111" i="1" a="1"/>
  <c r="P111" i="1" s="1"/>
  <c r="P134" i="1" a="1"/>
  <c r="P134" i="1" s="1"/>
  <c r="P150" i="1" a="1"/>
  <c r="P150" i="1" s="1"/>
  <c r="P161" i="1" a="1"/>
  <c r="P161" i="1" s="1"/>
  <c r="P187" i="1" a="1"/>
  <c r="P187" i="1" s="1"/>
  <c r="P213" i="1" a="1"/>
  <c r="P213" i="1" s="1"/>
  <c r="P225" i="1" a="1"/>
  <c r="P225" i="1" s="1"/>
  <c r="P238" i="1" a="1"/>
  <c r="P238" i="1" s="1"/>
  <c r="P251" i="1" a="1"/>
  <c r="P251" i="1" s="1"/>
  <c r="P265" i="1" a="1"/>
  <c r="P265" i="1" s="1"/>
  <c r="P277" i="1" a="1"/>
  <c r="P277" i="1" s="1"/>
  <c r="P289" i="1" a="1"/>
  <c r="P289" i="1" s="1"/>
  <c r="P303" i="1" a="1"/>
  <c r="P303" i="1" s="1"/>
  <c r="P315" i="1" a="1"/>
  <c r="P315" i="1" s="1"/>
  <c r="P328" i="1" a="1"/>
  <c r="P328" i="1" s="1"/>
  <c r="P339" i="1" a="1"/>
  <c r="P339" i="1" s="1"/>
  <c r="P352" i="1" a="1"/>
  <c r="P352" i="1" s="1"/>
  <c r="P364" i="1" a="1"/>
  <c r="P364" i="1" s="1"/>
  <c r="P377" i="1" a="1"/>
  <c r="P377" i="1" s="1"/>
  <c r="P389" i="1" a="1"/>
  <c r="P389" i="1" s="1"/>
  <c r="P399" i="1" a="1"/>
  <c r="P399" i="1" s="1"/>
  <c r="P413" i="1" a="1"/>
  <c r="P413" i="1" s="1"/>
  <c r="P425" i="1" a="1"/>
  <c r="P425" i="1" s="1"/>
  <c r="P449" i="1" a="1"/>
  <c r="P449" i="1" s="1"/>
  <c r="P487" i="1" a="1"/>
  <c r="P487" i="1" s="1"/>
  <c r="P498" i="1" a="1"/>
  <c r="P498" i="1" s="1"/>
  <c r="P509" i="1" a="1"/>
  <c r="P509" i="1" s="1"/>
  <c r="P521" i="1" a="1"/>
  <c r="P521" i="1" s="1"/>
  <c r="P530" i="1" a="1"/>
  <c r="P530" i="1" s="1"/>
  <c r="P540" i="1" a="1"/>
  <c r="P540" i="1" s="1"/>
  <c r="P561" i="1" a="1"/>
  <c r="P561" i="1" s="1"/>
  <c r="P571" i="1" a="1"/>
  <c r="P571" i="1" s="1"/>
  <c r="P592" i="1" a="1"/>
  <c r="P592" i="1" s="1"/>
  <c r="P613" i="1" a="1"/>
  <c r="P613" i="1" s="1"/>
  <c r="P632" i="1" a="1"/>
  <c r="P632" i="1" s="1"/>
  <c r="P643" i="1" a="1"/>
  <c r="P643" i="1" s="1"/>
  <c r="P681" i="1" a="1"/>
  <c r="P681" i="1" s="1"/>
  <c r="P690" i="1" a="1"/>
  <c r="P690" i="1" s="1"/>
  <c r="P708" i="1" a="1"/>
  <c r="P708" i="1" s="1"/>
  <c r="P716" i="1" a="1"/>
  <c r="P716" i="1" s="1"/>
  <c r="P726" i="1" a="1"/>
  <c r="P726" i="1" s="1"/>
  <c r="P734" i="1" a="1"/>
  <c r="P734" i="1" s="1"/>
  <c r="P747" i="1" a="1"/>
  <c r="P747" i="1" s="1"/>
  <c r="O741" i="1" a="1"/>
  <c r="O741" i="1" s="1"/>
  <c r="O717" i="1" a="1"/>
  <c r="O717" i="1" s="1"/>
  <c r="O694" i="1" a="1"/>
  <c r="O694" i="1" s="1"/>
  <c r="O640" i="1" a="1"/>
  <c r="O640" i="1" s="1"/>
  <c r="O613" i="1" a="1"/>
  <c r="O613" i="1" s="1"/>
  <c r="O580" i="1" a="1"/>
  <c r="O580" i="1" s="1"/>
  <c r="O551" i="1" a="1"/>
  <c r="O551" i="1" s="1"/>
  <c r="O525" i="1" a="1"/>
  <c r="O525" i="1" s="1"/>
  <c r="O452" i="1" a="1"/>
  <c r="O452" i="1" s="1"/>
  <c r="O414" i="1" a="1"/>
  <c r="O414" i="1" s="1"/>
  <c r="O378" i="1" a="1"/>
  <c r="O378" i="1" s="1"/>
  <c r="O345" i="1" a="1"/>
  <c r="O345" i="1" s="1"/>
  <c r="O307" i="1" a="1"/>
  <c r="O307" i="1" s="1"/>
  <c r="O263" i="1" a="1"/>
  <c r="O263" i="1" s="1"/>
  <c r="O219" i="1" a="1"/>
  <c r="O219" i="1" s="1"/>
  <c r="O184" i="1" a="1"/>
  <c r="O184" i="1" s="1"/>
  <c r="O67" i="1" a="1"/>
  <c r="O67" i="1" s="1"/>
  <c r="O20" i="1" a="1"/>
  <c r="O20" i="1" s="1"/>
  <c r="P744" i="1" a="1"/>
  <c r="P744" i="1" s="1"/>
  <c r="P735" i="1" a="1"/>
  <c r="P735" i="1" s="1"/>
  <c r="P721" i="1" a="1"/>
  <c r="P721" i="1" s="1"/>
  <c r="P709" i="1" a="1"/>
  <c r="P709" i="1" s="1"/>
  <c r="P695" i="1" a="1"/>
  <c r="P695" i="1" s="1"/>
  <c r="P683" i="1" a="1"/>
  <c r="P683" i="1" s="1"/>
  <c r="P667" i="1" a="1"/>
  <c r="P667" i="1" s="1"/>
  <c r="P624" i="1" a="1"/>
  <c r="P624" i="1" s="1"/>
  <c r="P563" i="1" a="1"/>
  <c r="P563" i="1" s="1"/>
  <c r="P546" i="1" a="1"/>
  <c r="P546" i="1" s="1"/>
  <c r="P532" i="1" a="1"/>
  <c r="P532" i="1" s="1"/>
  <c r="P515" i="1" a="1"/>
  <c r="P515" i="1" s="1"/>
  <c r="P499" i="1" a="1"/>
  <c r="P499" i="1" s="1"/>
  <c r="P480" i="1" a="1"/>
  <c r="P480" i="1" s="1"/>
  <c r="P443" i="1" a="1"/>
  <c r="P443" i="1" s="1"/>
  <c r="P427" i="1" a="1"/>
  <c r="P427" i="1" s="1"/>
  <c r="P405" i="1" a="1"/>
  <c r="P405" i="1" s="1"/>
  <c r="P390" i="1" a="1"/>
  <c r="P390" i="1" s="1"/>
  <c r="P370" i="1" a="1"/>
  <c r="P370" i="1" s="1"/>
  <c r="P333" i="1" a="1"/>
  <c r="P333" i="1" s="1"/>
  <c r="P317" i="1" a="1"/>
  <c r="P317" i="1" s="1"/>
  <c r="P296" i="1" a="1"/>
  <c r="P296" i="1" s="1"/>
  <c r="P279" i="1" a="1"/>
  <c r="P279" i="1" s="1"/>
  <c r="P220" i="1" a="1"/>
  <c r="P220" i="1" s="1"/>
  <c r="P201" i="1" a="1"/>
  <c r="P201" i="1" s="1"/>
  <c r="P163" i="1" a="1"/>
  <c r="P163" i="1" s="1"/>
  <c r="P142" i="1" a="1"/>
  <c r="P142" i="1" s="1"/>
  <c r="P104" i="1" a="1"/>
  <c r="P104" i="1" s="1"/>
  <c r="P84" i="1" a="1"/>
  <c r="P84" i="1" s="1"/>
  <c r="P65" i="1" a="1"/>
  <c r="P65" i="1" s="1"/>
  <c r="P47" i="1" a="1"/>
  <c r="P47" i="1" s="1"/>
  <c r="P25" i="1" a="1"/>
  <c r="P25" i="1" s="1"/>
  <c r="P7" i="1" a="1"/>
  <c r="P7" i="1" s="1"/>
  <c r="N19" i="1" a="1"/>
  <c r="N19" i="1" s="1"/>
  <c r="N689" i="1" a="1"/>
  <c r="N689" i="1" s="1"/>
  <c r="N706" i="1" a="1"/>
  <c r="N706" i="1" s="1"/>
  <c r="O748" i="1" a="1"/>
  <c r="O748" i="1" s="1"/>
  <c r="O720" i="1" a="1"/>
  <c r="O720" i="1" s="1"/>
  <c r="O696" i="1" a="1"/>
  <c r="O696" i="1" s="1"/>
  <c r="O642" i="1" a="1"/>
  <c r="O642" i="1" s="1"/>
  <c r="O619" i="1" a="1"/>
  <c r="O619" i="1" s="1"/>
  <c r="O591" i="1" a="1"/>
  <c r="O591" i="1" s="1"/>
  <c r="O555" i="1" a="1"/>
  <c r="O555" i="1" s="1"/>
  <c r="O526" i="1" a="1"/>
  <c r="O526" i="1" s="1"/>
  <c r="O497" i="1" a="1"/>
  <c r="O497" i="1" s="1"/>
  <c r="O453" i="1" a="1"/>
  <c r="O453" i="1" s="1"/>
  <c r="O419" i="1" a="1"/>
  <c r="O419" i="1" s="1"/>
  <c r="O388" i="1" a="1"/>
  <c r="O388" i="1" s="1"/>
  <c r="O347" i="1" a="1"/>
  <c r="O347" i="1" s="1"/>
  <c r="O313" i="1" a="1"/>
  <c r="O313" i="1" s="1"/>
  <c r="O273" i="1" a="1"/>
  <c r="O273" i="1" s="1"/>
  <c r="O229" i="1" a="1"/>
  <c r="O229" i="1" s="1"/>
  <c r="O192" i="1" a="1"/>
  <c r="O192" i="1" s="1"/>
  <c r="O149" i="1" a="1"/>
  <c r="O149" i="1" s="1"/>
  <c r="O115" i="1" a="1"/>
  <c r="O115" i="1" s="1"/>
  <c r="O70" i="1" a="1"/>
  <c r="O70" i="1" s="1"/>
  <c r="O23" i="1" a="1"/>
  <c r="O23" i="1" s="1"/>
  <c r="O718" i="1" a="1"/>
  <c r="O718" i="1" s="1"/>
  <c r="O665" i="1" a="1"/>
  <c r="O665" i="1" s="1"/>
  <c r="O614" i="1" a="1"/>
  <c r="O614" i="1" s="1"/>
  <c r="O554" i="1" a="1"/>
  <c r="O554" i="1" s="1"/>
  <c r="O486" i="1" a="1"/>
  <c r="O486" i="1" s="1"/>
  <c r="O415" i="1" a="1"/>
  <c r="O415" i="1" s="1"/>
  <c r="O379" i="1" a="1"/>
  <c r="O379" i="1" s="1"/>
  <c r="O308" i="1" a="1"/>
  <c r="O308" i="1" s="1"/>
  <c r="O226" i="1" a="1"/>
  <c r="O226" i="1" s="1"/>
  <c r="O146" i="1" a="1"/>
  <c r="O146" i="1" s="1"/>
  <c r="O113" i="1" a="1"/>
  <c r="O113" i="1" s="1"/>
  <c r="O21" i="1" a="1"/>
  <c r="O21" i="1" s="1"/>
  <c r="O740" i="1" a="1"/>
  <c r="O740" i="1" s="1"/>
  <c r="O663" i="1" a="1"/>
  <c r="O663" i="1" s="1"/>
  <c r="O638" i="1" a="1"/>
  <c r="O638" i="1" s="1"/>
  <c r="O611" i="1" a="1"/>
  <c r="O611" i="1" s="1"/>
  <c r="O576" i="1" a="1"/>
  <c r="O576" i="1" s="1"/>
  <c r="O548" i="1" a="1"/>
  <c r="O548" i="1" s="1"/>
  <c r="O524" i="1" a="1"/>
  <c r="O524" i="1" s="1"/>
  <c r="O485" i="1" a="1"/>
  <c r="O485" i="1" s="1"/>
  <c r="O375" i="1" a="1"/>
  <c r="O375" i="1" s="1"/>
  <c r="O304" i="1" a="1"/>
  <c r="O304" i="1" s="1"/>
  <c r="O261" i="1" a="1"/>
  <c r="O261" i="1" s="1"/>
  <c r="O217" i="1" a="1"/>
  <c r="O217" i="1" s="1"/>
  <c r="O182" i="1" a="1"/>
  <c r="O182" i="1" s="1"/>
  <c r="O145" i="1" a="1"/>
  <c r="O145" i="1" s="1"/>
  <c r="O112" i="1" a="1"/>
  <c r="O112" i="1" s="1"/>
  <c r="O66" i="1" a="1"/>
  <c r="O66" i="1" s="1"/>
  <c r="O14" i="1" a="1"/>
  <c r="O14" i="1" s="1"/>
  <c r="P694" i="1" a="1"/>
  <c r="P694" i="1" s="1"/>
  <c r="P682" i="1" a="1"/>
  <c r="P682" i="1" s="1"/>
  <c r="P653" i="1" a="1"/>
  <c r="P653" i="1" s="1"/>
  <c r="P637" i="1" a="1"/>
  <c r="P637" i="1" s="1"/>
  <c r="P623" i="1" a="1"/>
  <c r="P623" i="1" s="1"/>
  <c r="P607" i="1" a="1"/>
  <c r="P607" i="1" s="1"/>
  <c r="P593" i="1" a="1"/>
  <c r="P593" i="1" s="1"/>
  <c r="P576" i="1" a="1"/>
  <c r="P576" i="1" s="1"/>
  <c r="P562" i="1" a="1"/>
  <c r="P562" i="1" s="1"/>
  <c r="P545" i="1" a="1"/>
  <c r="P545" i="1" s="1"/>
  <c r="P531" i="1" a="1"/>
  <c r="P531" i="1" s="1"/>
  <c r="P514" i="1" a="1"/>
  <c r="P514" i="1" s="1"/>
  <c r="P479" i="1" a="1"/>
  <c r="P479" i="1" s="1"/>
  <c r="P462" i="1" a="1"/>
  <c r="P462" i="1" s="1"/>
  <c r="P442" i="1" a="1"/>
  <c r="P442" i="1" s="1"/>
  <c r="P426" i="1" a="1"/>
  <c r="P426" i="1" s="1"/>
  <c r="P369" i="1" a="1"/>
  <c r="P369" i="1" s="1"/>
  <c r="P353" i="1" a="1"/>
  <c r="P353" i="1" s="1"/>
  <c r="P316" i="1" a="1"/>
  <c r="P316" i="1" s="1"/>
  <c r="P295" i="1" a="1"/>
  <c r="P295" i="1" s="1"/>
  <c r="P278" i="1" a="1"/>
  <c r="P278" i="1" s="1"/>
  <c r="P258" i="1" a="1"/>
  <c r="P258" i="1" s="1"/>
  <c r="P239" i="1" a="1"/>
  <c r="P239" i="1" s="1"/>
  <c r="P219" i="1" a="1"/>
  <c r="P219" i="1" s="1"/>
  <c r="P200" i="1" a="1"/>
  <c r="P200" i="1" s="1"/>
  <c r="P180" i="1" a="1"/>
  <c r="P180" i="1" s="1"/>
  <c r="P162" i="1" a="1"/>
  <c r="P162" i="1" s="1"/>
  <c r="P141" i="1" a="1"/>
  <c r="P141" i="1" s="1"/>
  <c r="P122" i="1" a="1"/>
  <c r="P122" i="1" s="1"/>
  <c r="P103" i="1" a="1"/>
  <c r="P103" i="1" s="1"/>
  <c r="P83" i="1" a="1"/>
  <c r="P83" i="1" s="1"/>
  <c r="P64" i="1" a="1"/>
  <c r="P64" i="1" s="1"/>
  <c r="P46" i="1" a="1"/>
  <c r="P46" i="1" s="1"/>
  <c r="P24" i="1" a="1"/>
  <c r="P24" i="1" s="1"/>
  <c r="N572" i="1" a="1"/>
  <c r="N572" i="1" s="1"/>
  <c r="O750" i="1" a="1"/>
  <c r="O750" i="1" s="1"/>
  <c r="O735" i="1" a="1"/>
  <c r="O735" i="1" s="1"/>
  <c r="O719" i="1" a="1"/>
  <c r="O719" i="1" s="1"/>
  <c r="O711" i="1" a="1"/>
  <c r="O711" i="1" s="1"/>
  <c r="O695" i="1" a="1"/>
  <c r="O695" i="1" s="1"/>
  <c r="O680" i="1" a="1"/>
  <c r="O680" i="1" s="1"/>
  <c r="O672" i="1" a="1"/>
  <c r="O672" i="1" s="1"/>
  <c r="O664" i="1" a="1"/>
  <c r="O664" i="1" s="1"/>
  <c r="O649" i="1" a="1"/>
  <c r="O649" i="1" s="1"/>
  <c r="O631" i="1" a="1"/>
  <c r="O631" i="1" s="1"/>
  <c r="O621" i="1" a="1"/>
  <c r="O621" i="1" s="1"/>
  <c r="O612" i="1" a="1"/>
  <c r="O612" i="1" s="1"/>
  <c r="O602" i="1" a="1"/>
  <c r="O602" i="1" s="1"/>
  <c r="O584" i="1" a="1"/>
  <c r="O584" i="1" s="1"/>
  <c r="O574" i="1" a="1"/>
  <c r="O574" i="1" s="1"/>
  <c r="O565" i="1" a="1"/>
  <c r="O565" i="1" s="1"/>
  <c r="O547" i="1" a="1"/>
  <c r="O547" i="1" s="1"/>
  <c r="O527" i="1" a="1"/>
  <c r="O527" i="1" s="1"/>
  <c r="O518" i="1" a="1"/>
  <c r="O518" i="1" s="1"/>
  <c r="O498" i="1" a="1"/>
  <c r="O498" i="1" s="1"/>
  <c r="O476" i="1" a="1"/>
  <c r="O476" i="1" s="1"/>
  <c r="O464" i="1" a="1"/>
  <c r="O464" i="1" s="1"/>
  <c r="O433" i="1" a="1"/>
  <c r="O433" i="1" s="1"/>
  <c r="O423" i="1" a="1"/>
  <c r="O423" i="1" s="1"/>
  <c r="O411" i="1" a="1"/>
  <c r="O411" i="1" s="1"/>
  <c r="O390" i="1" a="1"/>
  <c r="O390" i="1" s="1"/>
  <c r="O371" i="1" a="1"/>
  <c r="O371" i="1" s="1"/>
  <c r="O348" i="1" a="1"/>
  <c r="O348" i="1" s="1"/>
  <c r="O337" i="1" a="1"/>
  <c r="O337" i="1" s="1"/>
  <c r="O328" i="1" a="1"/>
  <c r="O328" i="1" s="1"/>
  <c r="O305" i="1" a="1"/>
  <c r="O305" i="1" s="1"/>
  <c r="O294" i="1" a="1"/>
  <c r="O294" i="1" s="1"/>
  <c r="O253" i="1" a="1"/>
  <c r="O253" i="1" s="1"/>
  <c r="O242" i="1" a="1"/>
  <c r="O242" i="1" s="1"/>
  <c r="O230" i="1" a="1"/>
  <c r="O230" i="1" s="1"/>
  <c r="O218" i="1" a="1"/>
  <c r="O218" i="1" s="1"/>
  <c r="O194" i="1" a="1"/>
  <c r="O194" i="1" s="1"/>
  <c r="O183" i="1" a="1"/>
  <c r="O183" i="1" s="1"/>
  <c r="O162" i="1" a="1"/>
  <c r="O162" i="1" s="1"/>
  <c r="O104" i="1" a="1"/>
  <c r="O104" i="1" s="1"/>
  <c r="O94" i="1" a="1"/>
  <c r="O94" i="1" s="1"/>
  <c r="O79" i="1" a="1"/>
  <c r="O79" i="1" s="1"/>
  <c r="O69" i="1" a="1"/>
  <c r="O69" i="1" s="1"/>
  <c r="O58" i="1" a="1"/>
  <c r="O58" i="1" s="1"/>
  <c r="O47" i="1" a="1"/>
  <c r="O47" i="1" s="1"/>
  <c r="O35" i="1" a="1"/>
  <c r="O35" i="1" s="1"/>
  <c r="O24" i="1" a="1"/>
  <c r="O24" i="1" s="1"/>
  <c r="N280" i="1" a="1"/>
  <c r="N280" i="1" s="1"/>
  <c r="O747" i="1" a="1"/>
  <c r="O747" i="1" s="1"/>
  <c r="O731" i="1" a="1"/>
  <c r="O731" i="1" s="1"/>
  <c r="O716" i="1" a="1"/>
  <c r="O716" i="1" s="1"/>
  <c r="O708" i="1" a="1"/>
  <c r="O708" i="1" s="1"/>
  <c r="O700" i="1" a="1"/>
  <c r="O700" i="1" s="1"/>
  <c r="O685" i="1" a="1"/>
  <c r="O685" i="1" s="1"/>
  <c r="O669" i="1" a="1"/>
  <c r="O669" i="1" s="1"/>
  <c r="O661" i="1" a="1"/>
  <c r="O661" i="1" s="1"/>
  <c r="O645" i="1" a="1"/>
  <c r="O645" i="1" s="1"/>
  <c r="O636" i="1" a="1"/>
  <c r="O636" i="1" s="1"/>
  <c r="O627" i="1" a="1"/>
  <c r="O627" i="1" s="1"/>
  <c r="O617" i="1" a="1"/>
  <c r="O617" i="1" s="1"/>
  <c r="O608" i="1" a="1"/>
  <c r="O608" i="1" s="1"/>
  <c r="O590" i="1" a="1"/>
  <c r="O590" i="1" s="1"/>
  <c r="O571" i="1" a="1"/>
  <c r="O571" i="1" s="1"/>
  <c r="O561" i="1" a="1"/>
  <c r="O561" i="1" s="1"/>
  <c r="O542" i="1" a="1"/>
  <c r="O542" i="1" s="1"/>
  <c r="O523" i="1" a="1"/>
  <c r="O523" i="1" s="1"/>
  <c r="O504" i="1" a="1"/>
  <c r="O504" i="1" s="1"/>
  <c r="O482" i="1" a="1"/>
  <c r="O482" i="1" s="1"/>
  <c r="O471" i="1" a="1"/>
  <c r="O471" i="1" s="1"/>
  <c r="O461" i="1" a="1"/>
  <c r="O461" i="1" s="1"/>
  <c r="O450" i="1" a="1"/>
  <c r="O450" i="1" s="1"/>
  <c r="O440" i="1" a="1"/>
  <c r="O440" i="1" s="1"/>
  <c r="O418" i="1" a="1"/>
  <c r="O418" i="1" s="1"/>
  <c r="O408" i="1" a="1"/>
  <c r="O408" i="1" s="1"/>
  <c r="O387" i="1" a="1"/>
  <c r="O387" i="1" s="1"/>
  <c r="O355" i="1" a="1"/>
  <c r="O355" i="1" s="1"/>
  <c r="O344" i="1" a="1"/>
  <c r="O344" i="1" s="1"/>
  <c r="O301" i="1" a="1"/>
  <c r="O301" i="1" s="1"/>
  <c r="O281" i="1" a="1"/>
  <c r="O281" i="1" s="1"/>
  <c r="O225" i="1" a="1"/>
  <c r="O225" i="1" s="1"/>
  <c r="O214" i="1" a="1"/>
  <c r="O214" i="1" s="1"/>
  <c r="O191" i="1" a="1"/>
  <c r="O191" i="1" s="1"/>
  <c r="O144" i="1" a="1"/>
  <c r="O144" i="1" s="1"/>
  <c r="O87" i="1" a="1"/>
  <c r="O87" i="1" s="1"/>
  <c r="O75" i="1" a="1"/>
  <c r="O75" i="1" s="1"/>
  <c r="O65" i="1" a="1"/>
  <c r="O65" i="1" s="1"/>
  <c r="O55" i="1" a="1"/>
  <c r="O55" i="1" s="1"/>
  <c r="O31" i="1" a="1"/>
  <c r="O31" i="1" s="1"/>
  <c r="O7" i="1" a="1"/>
  <c r="O7" i="1" s="1"/>
  <c r="N241" i="1" a="1"/>
  <c r="N241" i="1" s="1"/>
  <c r="O739" i="1" a="1"/>
  <c r="O739" i="1" s="1"/>
  <c r="O723" i="1" a="1"/>
  <c r="O723" i="1" s="1"/>
  <c r="O707" i="1" a="1"/>
  <c r="O707" i="1" s="1"/>
  <c r="O692" i="1" a="1"/>
  <c r="O692" i="1" s="1"/>
  <c r="O684" i="1" a="1"/>
  <c r="O684" i="1" s="1"/>
  <c r="O676" i="1" a="1"/>
  <c r="O676" i="1" s="1"/>
  <c r="O668" i="1" a="1"/>
  <c r="O668" i="1" s="1"/>
  <c r="O660" i="1" a="1"/>
  <c r="O660" i="1" s="1"/>
  <c r="O652" i="1" a="1"/>
  <c r="O652" i="1" s="1"/>
  <c r="O635" i="1" a="1"/>
  <c r="O635" i="1" s="1"/>
  <c r="O616" i="1" a="1"/>
  <c r="O616" i="1" s="1"/>
  <c r="O598" i="1" a="1"/>
  <c r="O598" i="1" s="1"/>
  <c r="O589" i="1" a="1"/>
  <c r="O589" i="1" s="1"/>
  <c r="O579" i="1" a="1"/>
  <c r="O579" i="1" s="1"/>
  <c r="O569" i="1" a="1"/>
  <c r="O569" i="1" s="1"/>
  <c r="O560" i="1" a="1"/>
  <c r="O560" i="1" s="1"/>
  <c r="O550" i="1" a="1"/>
  <c r="O550" i="1" s="1"/>
  <c r="O532" i="1" a="1"/>
  <c r="O532" i="1" s="1"/>
  <c r="O522" i="1" a="1"/>
  <c r="O522" i="1" s="1"/>
  <c r="O513" i="1" a="1"/>
  <c r="O513" i="1" s="1"/>
  <c r="O491" i="1" a="1"/>
  <c r="O491" i="1" s="1"/>
  <c r="O481" i="1" a="1"/>
  <c r="O481" i="1" s="1"/>
  <c r="O449" i="1" a="1"/>
  <c r="O449" i="1" s="1"/>
  <c r="O438" i="1" a="1"/>
  <c r="O438" i="1" s="1"/>
  <c r="O417" i="1" a="1"/>
  <c r="O417" i="1" s="1"/>
  <c r="O397" i="1" a="1"/>
  <c r="O397" i="1" s="1"/>
  <c r="O374" i="1" a="1"/>
  <c r="O374" i="1" s="1"/>
  <c r="O364" i="1" a="1"/>
  <c r="O364" i="1" s="1"/>
  <c r="O354" i="1" a="1"/>
  <c r="O354" i="1" s="1"/>
  <c r="O331" i="1" a="1"/>
  <c r="O331" i="1" s="1"/>
  <c r="O322" i="1" a="1"/>
  <c r="O322" i="1" s="1"/>
  <c r="O312" i="1" a="1"/>
  <c r="O312" i="1" s="1"/>
  <c r="O290" i="1" a="1"/>
  <c r="O290" i="1" s="1"/>
  <c r="O269" i="1" a="1"/>
  <c r="O269" i="1" s="1"/>
  <c r="O248" i="1" a="1"/>
  <c r="O248" i="1" s="1"/>
  <c r="O238" i="1" a="1"/>
  <c r="O238" i="1" s="1"/>
  <c r="O223" i="1" a="1"/>
  <c r="O223" i="1" s="1"/>
  <c r="O213" i="1" a="1"/>
  <c r="O213" i="1" s="1"/>
  <c r="O202" i="1" a="1"/>
  <c r="O202" i="1" s="1"/>
  <c r="O190" i="1" a="1"/>
  <c r="O190" i="1" s="1"/>
  <c r="O167" i="1" a="1"/>
  <c r="O167" i="1" s="1"/>
  <c r="O154" i="1" a="1"/>
  <c r="O154" i="1" s="1"/>
  <c r="O134" i="1" a="1"/>
  <c r="O134" i="1" s="1"/>
  <c r="O121" i="1" a="1"/>
  <c r="O121" i="1" s="1"/>
  <c r="O109" i="1" a="1"/>
  <c r="O109" i="1" s="1"/>
  <c r="O98" i="1" a="1"/>
  <c r="O98" i="1" s="1"/>
  <c r="O86" i="1" a="1"/>
  <c r="O86" i="1" s="1"/>
  <c r="O74" i="1" a="1"/>
  <c r="O74" i="1" s="1"/>
  <c r="O40" i="1" a="1"/>
  <c r="O40" i="1" s="1"/>
  <c r="O30" i="1" a="1"/>
  <c r="O30" i="1" s="1"/>
  <c r="O19" i="1" a="1"/>
  <c r="O19" i="1" s="1"/>
  <c r="O4" i="1" a="1"/>
  <c r="O4" i="1" s="1"/>
  <c r="O12" i="1" a="1"/>
  <c r="O12" i="1" s="1"/>
  <c r="O43" i="1" a="1"/>
  <c r="O43" i="1" s="1"/>
  <c r="O51" i="1" a="1"/>
  <c r="O51" i="1" s="1"/>
  <c r="O60" i="1" a="1"/>
  <c r="O60" i="1" s="1"/>
  <c r="O83" i="1" a="1"/>
  <c r="O83" i="1" s="1"/>
  <c r="O92" i="1" a="1"/>
  <c r="O92" i="1" s="1"/>
  <c r="O100" i="1" a="1"/>
  <c r="O100" i="1" s="1"/>
  <c r="O107" i="1" a="1"/>
  <c r="O107" i="1" s="1"/>
  <c r="O114" i="1" a="1"/>
  <c r="O114" i="1" s="1"/>
  <c r="O123" i="1" a="1"/>
  <c r="O123" i="1" s="1"/>
  <c r="O132" i="1" a="1"/>
  <c r="O132" i="1" s="1"/>
  <c r="O155" i="1" a="1"/>
  <c r="O155" i="1" s="1"/>
  <c r="O164" i="1" a="1"/>
  <c r="O164" i="1" s="1"/>
  <c r="O172" i="1" a="1"/>
  <c r="O172" i="1" s="1"/>
  <c r="O179" i="1" a="1"/>
  <c r="O179" i="1" s="1"/>
  <c r="O186" i="1" a="1"/>
  <c r="O186" i="1" s="1"/>
  <c r="O195" i="1" a="1"/>
  <c r="O195" i="1" s="1"/>
  <c r="O204" i="1" a="1"/>
  <c r="O204" i="1" s="1"/>
  <c r="O227" i="1" a="1"/>
  <c r="O227" i="1" s="1"/>
  <c r="O236" i="1" a="1"/>
  <c r="O236" i="1" s="1"/>
  <c r="O244" i="1" a="1"/>
  <c r="O244" i="1" s="1"/>
  <c r="O251" i="1" a="1"/>
  <c r="O251" i="1" s="1"/>
  <c r="O258" i="1" a="1"/>
  <c r="O258" i="1" s="1"/>
  <c r="O265" i="1" a="1"/>
  <c r="O265" i="1" s="1"/>
  <c r="O280" i="1" a="1"/>
  <c r="O280" i="1" s="1"/>
  <c r="O295" i="1" a="1"/>
  <c r="O295" i="1" s="1"/>
  <c r="O302" i="1" a="1"/>
  <c r="O302" i="1" s="1"/>
  <c r="O310" i="1" a="1"/>
  <c r="O310" i="1" s="1"/>
  <c r="O317" i="1" a="1"/>
  <c r="O317" i="1" s="1"/>
  <c r="O325" i="1" a="1"/>
  <c r="O325" i="1" s="1"/>
  <c r="O339" i="1" a="1"/>
  <c r="O339" i="1" s="1"/>
  <c r="O361" i="1" a="1"/>
  <c r="O361" i="1" s="1"/>
  <c r="O376" i="1" a="1"/>
  <c r="O376" i="1" s="1"/>
  <c r="O384" i="1" a="1"/>
  <c r="O384" i="1" s="1"/>
  <c r="O406" i="1" a="1"/>
  <c r="O406" i="1" s="1"/>
  <c r="O420" i="1" a="1"/>
  <c r="O420" i="1" s="1"/>
  <c r="O428" i="1" a="1"/>
  <c r="O428" i="1" s="1"/>
  <c r="O443" i="1" a="1"/>
  <c r="O443" i="1" s="1"/>
  <c r="O465" i="1" a="1"/>
  <c r="O465" i="1" s="1"/>
  <c r="O487" i="1" a="1"/>
  <c r="O487" i="1" s="1"/>
  <c r="O502" i="1" a="1"/>
  <c r="O502" i="1" s="1"/>
  <c r="O516" i="1" a="1"/>
  <c r="O516" i="1" s="1"/>
  <c r="O552" i="1" a="1"/>
  <c r="O552" i="1" s="1"/>
  <c r="O588" i="1" a="1"/>
  <c r="O588" i="1" s="1"/>
  <c r="O624" i="1" a="1"/>
  <c r="O624" i="1" s="1"/>
  <c r="O5" i="1" a="1"/>
  <c r="O5" i="1" s="1"/>
  <c r="O22" i="1" a="1"/>
  <c r="O22" i="1" s="1"/>
  <c r="O37" i="1" a="1"/>
  <c r="O37" i="1" s="1"/>
  <c r="O53" i="1" a="1"/>
  <c r="O53" i="1" s="1"/>
  <c r="O76" i="1" a="1"/>
  <c r="O76" i="1" s="1"/>
  <c r="O84" i="1" a="1"/>
  <c r="O84" i="1" s="1"/>
  <c r="O93" i="1" a="1"/>
  <c r="O93" i="1" s="1"/>
  <c r="O101" i="1" a="1"/>
  <c r="O101" i="1" s="1"/>
  <c r="O108" i="1" a="1"/>
  <c r="O108" i="1" s="1"/>
  <c r="O116" i="1" a="1"/>
  <c r="O116" i="1" s="1"/>
  <c r="O125" i="1" a="1"/>
  <c r="O125" i="1" s="1"/>
  <c r="O148" i="1" a="1"/>
  <c r="O148" i="1" s="1"/>
  <c r="O156" i="1" a="1"/>
  <c r="O156" i="1" s="1"/>
  <c r="O165" i="1" a="1"/>
  <c r="O165" i="1" s="1"/>
  <c r="O173" i="1" a="1"/>
  <c r="O173" i="1" s="1"/>
  <c r="O180" i="1" a="1"/>
  <c r="O180" i="1" s="1"/>
  <c r="O188" i="1" a="1"/>
  <c r="O188" i="1" s="1"/>
  <c r="O197" i="1" a="1"/>
  <c r="O197" i="1" s="1"/>
  <c r="O220" i="1" a="1"/>
  <c r="O220" i="1" s="1"/>
  <c r="O228" i="1" a="1"/>
  <c r="O228" i="1" s="1"/>
  <c r="O237" i="1" a="1"/>
  <c r="O237" i="1" s="1"/>
  <c r="O245" i="1" a="1"/>
  <c r="O245" i="1" s="1"/>
  <c r="O252" i="1" a="1"/>
  <c r="O252" i="1" s="1"/>
  <c r="O259" i="1" a="1"/>
  <c r="O259" i="1" s="1"/>
  <c r="O274" i="1" a="1"/>
  <c r="O274" i="1" s="1"/>
  <c r="O282" i="1" a="1"/>
  <c r="O282" i="1" s="1"/>
  <c r="O296" i="1" a="1"/>
  <c r="O296" i="1" s="1"/>
  <c r="O303" i="1" a="1"/>
  <c r="O303" i="1" s="1"/>
  <c r="O311" i="1" a="1"/>
  <c r="O311" i="1" s="1"/>
  <c r="O318" i="1" a="1"/>
  <c r="O318" i="1" s="1"/>
  <c r="O326" i="1" a="1"/>
  <c r="O326" i="1" s="1"/>
  <c r="O333" i="1" a="1"/>
  <c r="O333" i="1" s="1"/>
  <c r="O341" i="1" a="1"/>
  <c r="O341" i="1" s="1"/>
  <c r="O362" i="1" a="1"/>
  <c r="O362" i="1" s="1"/>
  <c r="O370" i="1" a="1"/>
  <c r="O370" i="1" s="1"/>
  <c r="O377" i="1" a="1"/>
  <c r="O377" i="1" s="1"/>
  <c r="O385" i="1" a="1"/>
  <c r="O385" i="1" s="1"/>
  <c r="O392" i="1" a="1"/>
  <c r="O392" i="1" s="1"/>
  <c r="O400" i="1" a="1"/>
  <c r="O400" i="1" s="1"/>
  <c r="O407" i="1" a="1"/>
  <c r="O407" i="1" s="1"/>
  <c r="O421" i="1" a="1"/>
  <c r="O421" i="1" s="1"/>
  <c r="O429" i="1" a="1"/>
  <c r="O429" i="1" s="1"/>
  <c r="O436" i="1" a="1"/>
  <c r="O436" i="1" s="1"/>
  <c r="O444" i="1" a="1"/>
  <c r="O444" i="1" s="1"/>
  <c r="O451" i="1" a="1"/>
  <c r="O451" i="1" s="1"/>
  <c r="O488" i="1" a="1"/>
  <c r="O488" i="1" s="1"/>
  <c r="O495" i="1" a="1"/>
  <c r="O495" i="1" s="1"/>
  <c r="O503" i="1" a="1"/>
  <c r="O503" i="1" s="1"/>
  <c r="O510" i="1" a="1"/>
  <c r="O510" i="1" s="1"/>
  <c r="O546" i="1" a="1"/>
  <c r="O546" i="1" s="1"/>
  <c r="O582" i="1" a="1"/>
  <c r="O582" i="1" s="1"/>
  <c r="O618" i="1" a="1"/>
  <c r="O618" i="1" s="1"/>
  <c r="O8" i="1" a="1"/>
  <c r="O8" i="1" s="1"/>
  <c r="O3" i="1" a="1"/>
  <c r="O3" i="1" s="1"/>
  <c r="O25" i="1" a="1"/>
  <c r="O25" i="1" s="1"/>
  <c r="O33" i="1" a="1"/>
  <c r="O33" i="1" s="1"/>
  <c r="O52" i="1" a="1"/>
  <c r="O52" i="1" s="1"/>
  <c r="O71" i="1" a="1"/>
  <c r="O71" i="1" s="1"/>
  <c r="O80" i="1" a="1"/>
  <c r="O80" i="1" s="1"/>
  <c r="O91" i="1" a="1"/>
  <c r="O91" i="1" s="1"/>
  <c r="O119" i="1" a="1"/>
  <c r="O119" i="1" s="1"/>
  <c r="O129" i="1" a="1"/>
  <c r="O129" i="1" s="1"/>
  <c r="O138" i="1" a="1"/>
  <c r="O138" i="1" s="1"/>
  <c r="O147" i="1" a="1"/>
  <c r="O147" i="1" s="1"/>
  <c r="O168" i="1" a="1"/>
  <c r="O168" i="1" s="1"/>
  <c r="O185" i="1" a="1"/>
  <c r="O185" i="1" s="1"/>
  <c r="O196" i="1" a="1"/>
  <c r="O196" i="1" s="1"/>
  <c r="O215" i="1" a="1"/>
  <c r="O215" i="1" s="1"/>
  <c r="O224" i="1" a="1"/>
  <c r="O224" i="1" s="1"/>
  <c r="O235" i="1" a="1"/>
  <c r="O235" i="1" s="1"/>
  <c r="O262" i="1" a="1"/>
  <c r="O262" i="1" s="1"/>
  <c r="O278" i="1" a="1"/>
  <c r="O278" i="1" s="1"/>
  <c r="O288" i="1" a="1"/>
  <c r="O288" i="1" s="1"/>
  <c r="O297" i="1" a="1"/>
  <c r="O297" i="1" s="1"/>
  <c r="O332" i="1" a="1"/>
  <c r="O332" i="1" s="1"/>
  <c r="O342" i="1" a="1"/>
  <c r="O342" i="1" s="1"/>
  <c r="O359" i="1" a="1"/>
  <c r="O359" i="1" s="1"/>
  <c r="O386" i="1" a="1"/>
  <c r="O386" i="1" s="1"/>
  <c r="O395" i="1" a="1"/>
  <c r="O395" i="1" s="1"/>
  <c r="O403" i="1" a="1"/>
  <c r="O403" i="1" s="1"/>
  <c r="O412" i="1" a="1"/>
  <c r="O412" i="1" s="1"/>
  <c r="O439" i="1" a="1"/>
  <c r="O439" i="1" s="1"/>
  <c r="O447" i="1" a="1"/>
  <c r="O447" i="1" s="1"/>
  <c r="O466" i="1" a="1"/>
  <c r="O466" i="1" s="1"/>
  <c r="O483" i="1" a="1"/>
  <c r="O483" i="1" s="1"/>
  <c r="O509" i="1" a="1"/>
  <c r="O509" i="1" s="1"/>
  <c r="O553" i="1" a="1"/>
  <c r="O553" i="1" s="1"/>
  <c r="O570" i="1" a="1"/>
  <c r="O570" i="1" s="1"/>
  <c r="O596" i="1" a="1"/>
  <c r="O596" i="1" s="1"/>
  <c r="O630" i="1" a="1"/>
  <c r="O630" i="1" s="1"/>
  <c r="O639" i="1" a="1"/>
  <c r="O639" i="1" s="1"/>
  <c r="O654" i="1" a="1"/>
  <c r="O654" i="1" s="1"/>
  <c r="O690" i="1" a="1"/>
  <c r="O690" i="1" s="1"/>
  <c r="O726" i="1" a="1"/>
  <c r="O726" i="1" s="1"/>
  <c r="O15" i="1" a="1"/>
  <c r="O15" i="1" s="1"/>
  <c r="O34" i="1" a="1"/>
  <c r="O34" i="1" s="1"/>
  <c r="O42" i="1" a="1"/>
  <c r="O42" i="1" s="1"/>
  <c r="O54" i="1" a="1"/>
  <c r="O54" i="1" s="1"/>
  <c r="O63" i="1" a="1"/>
  <c r="O63" i="1" s="1"/>
  <c r="O110" i="1" a="1"/>
  <c r="O110" i="1" s="1"/>
  <c r="O130" i="1" a="1"/>
  <c r="O130" i="1" s="1"/>
  <c r="O139" i="1" a="1"/>
  <c r="O139" i="1" s="1"/>
  <c r="O158" i="1" a="1"/>
  <c r="O158" i="1" s="1"/>
  <c r="O169" i="1" a="1"/>
  <c r="O169" i="1" s="1"/>
  <c r="O177" i="1" a="1"/>
  <c r="O177" i="1" s="1"/>
  <c r="O198" i="1" a="1"/>
  <c r="O198" i="1" s="1"/>
  <c r="O207" i="1" a="1"/>
  <c r="O207" i="1" s="1"/>
  <c r="O254" i="1" a="1"/>
  <c r="O254" i="1" s="1"/>
  <c r="O271" i="1" a="1"/>
  <c r="O271" i="1" s="1"/>
  <c r="O279" i="1" a="1"/>
  <c r="O279" i="1" s="1"/>
  <c r="O289" i="1" a="1"/>
  <c r="O289" i="1" s="1"/>
  <c r="O298" i="1" a="1"/>
  <c r="O298" i="1" s="1"/>
  <c r="O306" i="1" a="1"/>
  <c r="O306" i="1" s="1"/>
  <c r="O315" i="1" a="1"/>
  <c r="O315" i="1" s="1"/>
  <c r="O324" i="1" a="1"/>
  <c r="O324" i="1" s="1"/>
  <c r="O334" i="1" a="1"/>
  <c r="O334" i="1" s="1"/>
  <c r="O350" i="1" a="1"/>
  <c r="O350" i="1" s="1"/>
  <c r="O368" i="1" a="1"/>
  <c r="O368" i="1" s="1"/>
  <c r="O413" i="1" a="1"/>
  <c r="O413" i="1" s="1"/>
  <c r="O431" i="1" a="1"/>
  <c r="O431" i="1" s="1"/>
  <c r="O448" i="1" a="1"/>
  <c r="O448" i="1" s="1"/>
  <c r="O457" i="1" a="1"/>
  <c r="O457" i="1" s="1"/>
  <c r="O467" i="1" a="1"/>
  <c r="O467" i="1" s="1"/>
  <c r="O475" i="1" a="1"/>
  <c r="O475" i="1" s="1"/>
  <c r="O484" i="1" a="1"/>
  <c r="O484" i="1" s="1"/>
  <c r="O492" i="1" a="1"/>
  <c r="O492" i="1" s="1"/>
  <c r="O501" i="1" a="1"/>
  <c r="O501" i="1" s="1"/>
  <c r="O511" i="1" a="1"/>
  <c r="O511" i="1" s="1"/>
  <c r="N747" i="1" a="1"/>
  <c r="N747" i="1" s="1"/>
  <c r="O746" i="1" a="1"/>
  <c r="O746" i="1" s="1"/>
  <c r="O738" i="1" a="1"/>
  <c r="O738" i="1" s="1"/>
  <c r="O730" i="1" a="1"/>
  <c r="O730" i="1" s="1"/>
  <c r="O715" i="1" a="1"/>
  <c r="O715" i="1" s="1"/>
  <c r="O699" i="1" a="1"/>
  <c r="O699" i="1" s="1"/>
  <c r="O683" i="1" a="1"/>
  <c r="O683" i="1" s="1"/>
  <c r="O675" i="1" a="1"/>
  <c r="O675" i="1" s="1"/>
  <c r="O659" i="1" a="1"/>
  <c r="O659" i="1" s="1"/>
  <c r="O644" i="1" a="1"/>
  <c r="O644" i="1" s="1"/>
  <c r="O626" i="1" a="1"/>
  <c r="O626" i="1" s="1"/>
  <c r="O607" i="1" a="1"/>
  <c r="O607" i="1" s="1"/>
  <c r="O587" i="1" a="1"/>
  <c r="O587" i="1" s="1"/>
  <c r="O578" i="1" a="1"/>
  <c r="O578" i="1" s="1"/>
  <c r="O559" i="1" a="1"/>
  <c r="O559" i="1" s="1"/>
  <c r="O541" i="1" a="1"/>
  <c r="O541" i="1" s="1"/>
  <c r="O531" i="1" a="1"/>
  <c r="O531" i="1" s="1"/>
  <c r="O521" i="1" a="1"/>
  <c r="O521" i="1" s="1"/>
  <c r="O480" i="1" a="1"/>
  <c r="O480" i="1" s="1"/>
  <c r="O470" i="1" a="1"/>
  <c r="O470" i="1" s="1"/>
  <c r="O460" i="1" a="1"/>
  <c r="O460" i="1" s="1"/>
  <c r="O437" i="1" a="1"/>
  <c r="O437" i="1" s="1"/>
  <c r="O427" i="1" a="1"/>
  <c r="O427" i="1" s="1"/>
  <c r="O396" i="1" a="1"/>
  <c r="O396" i="1" s="1"/>
  <c r="O363" i="1" a="1"/>
  <c r="O363" i="1" s="1"/>
  <c r="O353" i="1" a="1"/>
  <c r="O353" i="1" s="1"/>
  <c r="O343" i="1" a="1"/>
  <c r="O343" i="1" s="1"/>
  <c r="O321" i="1" a="1"/>
  <c r="O321" i="1" s="1"/>
  <c r="O300" i="1" a="1"/>
  <c r="O300" i="1" s="1"/>
  <c r="O277" i="1" a="1"/>
  <c r="O277" i="1" s="1"/>
  <c r="O268" i="1" a="1"/>
  <c r="O268" i="1" s="1"/>
  <c r="O257" i="1" a="1"/>
  <c r="O257" i="1" s="1"/>
  <c r="O222" i="1" a="1"/>
  <c r="O222" i="1" s="1"/>
  <c r="O212" i="1" a="1"/>
  <c r="O212" i="1" s="1"/>
  <c r="O201" i="1" a="1"/>
  <c r="O201" i="1" s="1"/>
  <c r="O189" i="1" a="1"/>
  <c r="O189" i="1" s="1"/>
  <c r="O178" i="1" a="1"/>
  <c r="O178" i="1" s="1"/>
  <c r="O153" i="1" a="1"/>
  <c r="O153" i="1" s="1"/>
  <c r="O143" i="1" a="1"/>
  <c r="O143" i="1" s="1"/>
  <c r="O133" i="1" a="1"/>
  <c r="O133" i="1" s="1"/>
  <c r="O120" i="1" a="1"/>
  <c r="O120" i="1" s="1"/>
  <c r="O64" i="1" a="1"/>
  <c r="O64" i="1" s="1"/>
  <c r="O50" i="1" a="1"/>
  <c r="O50" i="1" s="1"/>
  <c r="O39" i="1" a="1"/>
  <c r="O39" i="1" s="1"/>
  <c r="O29" i="1" a="1"/>
  <c r="O29" i="1" s="1"/>
  <c r="O18" i="1" a="1"/>
  <c r="O18" i="1" s="1"/>
  <c r="N746" i="1" a="1"/>
  <c r="N746" i="1" s="1"/>
  <c r="N235" i="1" a="1"/>
  <c r="N235" i="1" s="1"/>
  <c r="O737" i="1" a="1"/>
  <c r="O737" i="1" s="1"/>
  <c r="O722" i="1" a="1"/>
  <c r="O722" i="1" s="1"/>
  <c r="O714" i="1" a="1"/>
  <c r="O714" i="1" s="1"/>
  <c r="O706" i="1" a="1"/>
  <c r="O706" i="1" s="1"/>
  <c r="O691" i="1" a="1"/>
  <c r="O691" i="1" s="1"/>
  <c r="O682" i="1" a="1"/>
  <c r="O682" i="1" s="1"/>
  <c r="O667" i="1" a="1"/>
  <c r="O667" i="1" s="1"/>
  <c r="O651" i="1" a="1"/>
  <c r="O651" i="1" s="1"/>
  <c r="O634" i="1" a="1"/>
  <c r="O634" i="1" s="1"/>
  <c r="O625" i="1" a="1"/>
  <c r="O625" i="1" s="1"/>
  <c r="O615" i="1" a="1"/>
  <c r="O615" i="1" s="1"/>
  <c r="O606" i="1" a="1"/>
  <c r="O606" i="1" s="1"/>
  <c r="O597" i="1" a="1"/>
  <c r="O597" i="1" s="1"/>
  <c r="O586" i="1" a="1"/>
  <c r="O586" i="1" s="1"/>
  <c r="O568" i="1" a="1"/>
  <c r="O568" i="1" s="1"/>
  <c r="O558" i="1" a="1"/>
  <c r="O558" i="1" s="1"/>
  <c r="O549" i="1" a="1"/>
  <c r="O549" i="1" s="1"/>
  <c r="O540" i="1" a="1"/>
  <c r="O540" i="1" s="1"/>
  <c r="O530" i="1" a="1"/>
  <c r="O530" i="1" s="1"/>
  <c r="O512" i="1" a="1"/>
  <c r="O512" i="1" s="1"/>
  <c r="O500" i="1" a="1"/>
  <c r="O500" i="1" s="1"/>
  <c r="O490" i="1" a="1"/>
  <c r="O490" i="1" s="1"/>
  <c r="O479" i="1" a="1"/>
  <c r="O479" i="1" s="1"/>
  <c r="O459" i="1" a="1"/>
  <c r="O459" i="1" s="1"/>
  <c r="O416" i="1" a="1"/>
  <c r="O416" i="1" s="1"/>
  <c r="O405" i="1" a="1"/>
  <c r="O405" i="1" s="1"/>
  <c r="O383" i="1" a="1"/>
  <c r="O383" i="1" s="1"/>
  <c r="O373" i="1" a="1"/>
  <c r="O373" i="1" s="1"/>
  <c r="O352" i="1" a="1"/>
  <c r="O352" i="1" s="1"/>
  <c r="O330" i="1" a="1"/>
  <c r="O330" i="1" s="1"/>
  <c r="O320" i="1" a="1"/>
  <c r="O320" i="1" s="1"/>
  <c r="O309" i="1" a="1"/>
  <c r="O309" i="1" s="1"/>
  <c r="O287" i="1" a="1"/>
  <c r="O287" i="1" s="1"/>
  <c r="O267" i="1" a="1"/>
  <c r="O267" i="1" s="1"/>
  <c r="O247" i="1" a="1"/>
  <c r="O247" i="1" s="1"/>
  <c r="O234" i="1" a="1"/>
  <c r="O234" i="1" s="1"/>
  <c r="O211" i="1" a="1"/>
  <c r="O211" i="1" s="1"/>
  <c r="O176" i="1" a="1"/>
  <c r="O176" i="1" s="1"/>
  <c r="O166" i="1" a="1"/>
  <c r="O166" i="1" s="1"/>
  <c r="O131" i="1" a="1"/>
  <c r="O131" i="1" s="1"/>
  <c r="O118" i="1" a="1"/>
  <c r="O118" i="1" s="1"/>
  <c r="O97" i="1" a="1"/>
  <c r="O97" i="1" s="1"/>
  <c r="O85" i="1" a="1"/>
  <c r="O85" i="1" s="1"/>
  <c r="O73" i="1" a="1"/>
  <c r="O73" i="1" s="1"/>
  <c r="O62" i="1" a="1"/>
  <c r="O62" i="1" s="1"/>
  <c r="O28" i="1" a="1"/>
  <c r="O28" i="1" s="1"/>
  <c r="O17" i="1" a="1"/>
  <c r="O17" i="1" s="1"/>
  <c r="N715" i="1" a="1"/>
  <c r="N715" i="1" s="1"/>
  <c r="N227" i="1" a="1"/>
  <c r="N227" i="1" s="1"/>
  <c r="O745" i="1" a="1"/>
  <c r="O745" i="1" s="1"/>
  <c r="O729" i="1" a="1"/>
  <c r="O729" i="1" s="1"/>
  <c r="O713" i="1" a="1"/>
  <c r="O713" i="1" s="1"/>
  <c r="O698" i="1" a="1"/>
  <c r="O698" i="1" s="1"/>
  <c r="O689" i="1" a="1"/>
  <c r="O689" i="1" s="1"/>
  <c r="O674" i="1" a="1"/>
  <c r="O674" i="1" s="1"/>
  <c r="O666" i="1" a="1"/>
  <c r="O666" i="1" s="1"/>
  <c r="O658" i="1" a="1"/>
  <c r="O658" i="1" s="1"/>
  <c r="O643" i="1" a="1"/>
  <c r="O643" i="1" s="1"/>
  <c r="O623" i="1" a="1"/>
  <c r="O623" i="1" s="1"/>
  <c r="O605" i="1" a="1"/>
  <c r="O605" i="1" s="1"/>
  <c r="O595" i="1" a="1"/>
  <c r="O595" i="1" s="1"/>
  <c r="O577" i="1" a="1"/>
  <c r="O577" i="1" s="1"/>
  <c r="O567" i="1" a="1"/>
  <c r="O567" i="1" s="1"/>
  <c r="O557" i="1" a="1"/>
  <c r="O557" i="1" s="1"/>
  <c r="O539" i="1" a="1"/>
  <c r="O539" i="1" s="1"/>
  <c r="O520" i="1" a="1"/>
  <c r="O520" i="1" s="1"/>
  <c r="O489" i="1" a="1"/>
  <c r="O489" i="1" s="1"/>
  <c r="O469" i="1" a="1"/>
  <c r="O469" i="1" s="1"/>
  <c r="O458" i="1" a="1"/>
  <c r="O458" i="1" s="1"/>
  <c r="O446" i="1" a="1"/>
  <c r="O446" i="1" s="1"/>
  <c r="O435" i="1" a="1"/>
  <c r="O435" i="1" s="1"/>
  <c r="O426" i="1" a="1"/>
  <c r="O426" i="1" s="1"/>
  <c r="O404" i="1" a="1"/>
  <c r="O404" i="1" s="1"/>
  <c r="O394" i="1" a="1"/>
  <c r="O394" i="1" s="1"/>
  <c r="O351" i="1" a="1"/>
  <c r="O351" i="1" s="1"/>
  <c r="O340" i="1" a="1"/>
  <c r="O340" i="1" s="1"/>
  <c r="O319" i="1" a="1"/>
  <c r="O319" i="1" s="1"/>
  <c r="O299" i="1" a="1"/>
  <c r="O299" i="1" s="1"/>
  <c r="O276" i="1" a="1"/>
  <c r="O276" i="1" s="1"/>
  <c r="O266" i="1" a="1"/>
  <c r="O266" i="1" s="1"/>
  <c r="O256" i="1" a="1"/>
  <c r="O256" i="1" s="1"/>
  <c r="O246" i="1" a="1"/>
  <c r="O246" i="1" s="1"/>
  <c r="O233" i="1" a="1"/>
  <c r="O233" i="1" s="1"/>
  <c r="O221" i="1" a="1"/>
  <c r="O221" i="1" s="1"/>
  <c r="O210" i="1" a="1"/>
  <c r="O210" i="1" s="1"/>
  <c r="O200" i="1" a="1"/>
  <c r="O200" i="1" s="1"/>
  <c r="O187" i="1" a="1"/>
  <c r="O187" i="1" s="1"/>
  <c r="O152" i="1" a="1"/>
  <c r="O152" i="1" s="1"/>
  <c r="O142" i="1" a="1"/>
  <c r="O142" i="1" s="1"/>
  <c r="O117" i="1" a="1"/>
  <c r="O117" i="1" s="1"/>
  <c r="O106" i="1" a="1"/>
  <c r="O106" i="1" s="1"/>
  <c r="O96" i="1" a="1"/>
  <c r="O96" i="1" s="1"/>
  <c r="O72" i="1" a="1"/>
  <c r="O72" i="1" s="1"/>
  <c r="O61" i="1" a="1"/>
  <c r="O61" i="1" s="1"/>
  <c r="O49" i="1" a="1"/>
  <c r="O49" i="1" s="1"/>
  <c r="O38" i="1" a="1"/>
  <c r="O38" i="1" s="1"/>
  <c r="O27" i="1" a="1"/>
  <c r="O27" i="1" s="1"/>
  <c r="O16" i="1" a="1"/>
  <c r="O16" i="1" s="1"/>
  <c r="O2" i="1" a="1"/>
  <c r="O2" i="1" s="1"/>
  <c r="N688" i="1" a="1"/>
  <c r="N688" i="1" s="1"/>
  <c r="N474" i="1" a="1"/>
  <c r="N474" i="1" s="1"/>
  <c r="N198" i="1" a="1"/>
  <c r="N198" i="1" s="1"/>
  <c r="N679" i="1" a="1"/>
  <c r="N679" i="1" s="1"/>
  <c r="N453" i="1" a="1"/>
  <c r="N453" i="1" s="1"/>
  <c r="N149" i="1" a="1"/>
  <c r="N149" i="1" s="1"/>
  <c r="N659" i="1" a="1"/>
  <c r="N659" i="1" s="1"/>
  <c r="N413" i="1" a="1"/>
  <c r="N413" i="1" s="1"/>
  <c r="N134" i="1" a="1"/>
  <c r="N134" i="1" s="1"/>
  <c r="N626" i="1" a="1"/>
  <c r="N626" i="1" s="1"/>
  <c r="N373" i="1" a="1"/>
  <c r="N373" i="1" s="1"/>
  <c r="N601" i="1" a="1"/>
  <c r="N601" i="1" s="1"/>
  <c r="N371" i="1" a="1"/>
  <c r="N371" i="1" s="1"/>
  <c r="N101" i="1" a="1"/>
  <c r="N101" i="1" s="1"/>
  <c r="N597" i="1" a="1"/>
  <c r="N597" i="1" s="1"/>
  <c r="N362" i="1" a="1"/>
  <c r="N362" i="1" s="1"/>
  <c r="N99" i="1" a="1"/>
  <c r="N99" i="1" s="1"/>
  <c r="N748" i="1" a="1"/>
  <c r="N748" i="1" s="1"/>
  <c r="N579" i="1" a="1"/>
  <c r="N579" i="1" s="1"/>
  <c r="N327" i="1" a="1"/>
  <c r="N327" i="1" s="1"/>
  <c r="N85" i="1" a="1"/>
  <c r="N85" i="1" s="1"/>
  <c r="N714" i="1" a="1"/>
  <c r="N714" i="1" s="1"/>
  <c r="N611" i="1" a="1"/>
  <c r="N611" i="1" s="1"/>
  <c r="N509" i="1" a="1"/>
  <c r="N509" i="1" s="1"/>
  <c r="N406" i="1" a="1"/>
  <c r="N406" i="1" s="1"/>
  <c r="N271" i="1" a="1"/>
  <c r="N271" i="1" s="1"/>
  <c r="N147" i="1" a="1"/>
  <c r="N147" i="1" s="1"/>
  <c r="N707" i="1" a="1"/>
  <c r="N707" i="1" s="1"/>
  <c r="N610" i="1" a="1"/>
  <c r="N610" i="1" s="1"/>
  <c r="N486" i="1" a="1"/>
  <c r="N486" i="1" s="1"/>
  <c r="N242" i="1" a="1"/>
  <c r="N242" i="1" s="1"/>
  <c r="N146" i="1" a="1"/>
  <c r="N146" i="1" s="1"/>
  <c r="N745" i="1" a="1"/>
  <c r="N745" i="1" s="1"/>
  <c r="N666" i="1" a="1"/>
  <c r="N666" i="1" s="1"/>
  <c r="N570" i="1" a="1"/>
  <c r="N570" i="1" s="1"/>
  <c r="N452" i="1" a="1"/>
  <c r="N452" i="1" s="1"/>
  <c r="N329" i="1" a="1"/>
  <c r="N329" i="1" s="1"/>
  <c r="N199" i="1" a="1"/>
  <c r="N199" i="1" s="1"/>
  <c r="N98" i="1" a="1"/>
  <c r="N98" i="1" s="1"/>
  <c r="N731" i="1" a="1"/>
  <c r="N731" i="1" s="1"/>
  <c r="N658" i="1" a="1"/>
  <c r="N658" i="1" s="1"/>
  <c r="N550" i="1" a="1"/>
  <c r="N550" i="1" s="1"/>
  <c r="N449" i="1" a="1"/>
  <c r="N449" i="1" s="1"/>
  <c r="N323" i="1" a="1"/>
  <c r="N323" i="1" s="1"/>
  <c r="N193" i="1" a="1"/>
  <c r="N193" i="1" s="1"/>
  <c r="N51" i="1" a="1"/>
  <c r="N51" i="1" s="1"/>
  <c r="N728" i="1" a="1"/>
  <c r="N728" i="1" s="1"/>
  <c r="N637" i="1" a="1"/>
  <c r="N637" i="1" s="1"/>
  <c r="N547" i="1" a="1"/>
  <c r="N547" i="1" s="1"/>
  <c r="N442" i="1" a="1"/>
  <c r="N442" i="1" s="1"/>
  <c r="N314" i="1" a="1"/>
  <c r="N314" i="1" s="1"/>
  <c r="N192" i="1" a="1"/>
  <c r="N192" i="1" s="1"/>
  <c r="N50" i="1" a="1"/>
  <c r="N50" i="1" s="1"/>
  <c r="N726" i="1" a="1"/>
  <c r="N726" i="1" s="1"/>
  <c r="N635" i="1" a="1"/>
  <c r="N635" i="1" s="1"/>
  <c r="N519" i="1" a="1"/>
  <c r="N519" i="1" s="1"/>
  <c r="N416" i="1" a="1"/>
  <c r="N416" i="1" s="1"/>
  <c r="N287" i="1" a="1"/>
  <c r="N287" i="1" s="1"/>
  <c r="N150" i="1" a="1"/>
  <c r="N150" i="1" s="1"/>
  <c r="N47" i="1" a="1"/>
  <c r="N47" i="1" s="1"/>
  <c r="N709" i="1" a="1"/>
  <c r="N709" i="1" s="1"/>
  <c r="N634" i="1" a="1"/>
  <c r="N634" i="1" s="1"/>
  <c r="N605" i="1" a="1"/>
  <c r="N605" i="1" s="1"/>
  <c r="N578" i="1" a="1"/>
  <c r="N578" i="1" s="1"/>
  <c r="N548" i="1" a="1"/>
  <c r="N548" i="1" s="1"/>
  <c r="N517" i="1" a="1"/>
  <c r="N517" i="1" s="1"/>
  <c r="N483" i="1" a="1"/>
  <c r="N483" i="1" s="1"/>
  <c r="N450" i="1" a="1"/>
  <c r="N450" i="1" s="1"/>
  <c r="N414" i="1" a="1"/>
  <c r="N414" i="1" s="1"/>
  <c r="N236" i="1" a="1"/>
  <c r="N236" i="1" s="1"/>
  <c r="N48" i="1" a="1"/>
  <c r="N48" i="1" s="1"/>
  <c r="N740" i="1" a="1"/>
  <c r="N740" i="1" s="1"/>
  <c r="N724" i="1" a="1"/>
  <c r="N724" i="1" s="1"/>
  <c r="N704" i="1" a="1"/>
  <c r="N704" i="1" s="1"/>
  <c r="N648" i="1" a="1"/>
  <c r="N648" i="1" s="1"/>
  <c r="N625" i="1" a="1"/>
  <c r="N625" i="1" s="1"/>
  <c r="N594" i="1" a="1"/>
  <c r="N594" i="1" s="1"/>
  <c r="N538" i="1" a="1"/>
  <c r="N538" i="1" s="1"/>
  <c r="N507" i="1" a="1"/>
  <c r="N507" i="1" s="1"/>
  <c r="N472" i="1" a="1"/>
  <c r="N472" i="1" s="1"/>
  <c r="N438" i="1" a="1"/>
  <c r="N438" i="1" s="1"/>
  <c r="N399" i="1" a="1"/>
  <c r="N399" i="1" s="1"/>
  <c r="N356" i="1" a="1"/>
  <c r="N356" i="1" s="1"/>
  <c r="N268" i="1" a="1"/>
  <c r="N268" i="1" s="1"/>
  <c r="N178" i="1" a="1"/>
  <c r="N178" i="1" s="1"/>
  <c r="N130" i="1" a="1"/>
  <c r="N130" i="1" s="1"/>
  <c r="N82" i="1" a="1"/>
  <c r="N82" i="1" s="1"/>
  <c r="N32" i="1" a="1"/>
  <c r="N32" i="1" s="1"/>
  <c r="N739" i="1" a="1"/>
  <c r="N739" i="1" s="1"/>
  <c r="N721" i="1" a="1"/>
  <c r="N721" i="1" s="1"/>
  <c r="N677" i="1" a="1"/>
  <c r="N677" i="1" s="1"/>
  <c r="N647" i="1" a="1"/>
  <c r="N647" i="1" s="1"/>
  <c r="N622" i="1" a="1"/>
  <c r="N622" i="1" s="1"/>
  <c r="N565" i="1" a="1"/>
  <c r="N565" i="1" s="1"/>
  <c r="N537" i="1" a="1"/>
  <c r="N537" i="1" s="1"/>
  <c r="N506" i="1" a="1"/>
  <c r="N506" i="1" s="1"/>
  <c r="N471" i="1" a="1"/>
  <c r="N471" i="1" s="1"/>
  <c r="N398" i="1" a="1"/>
  <c r="N398" i="1" s="1"/>
  <c r="N355" i="1" a="1"/>
  <c r="N355" i="1" s="1"/>
  <c r="N310" i="1" a="1"/>
  <c r="N310" i="1" s="1"/>
  <c r="N267" i="1" a="1"/>
  <c r="N267" i="1" s="1"/>
  <c r="N31" i="1" a="1"/>
  <c r="N31" i="1" s="1"/>
  <c r="N720" i="1" a="1"/>
  <c r="N720" i="1" s="1"/>
  <c r="N700" i="1" a="1"/>
  <c r="N700" i="1" s="1"/>
  <c r="N676" i="1" a="1"/>
  <c r="N676" i="1" s="1"/>
  <c r="N614" i="1" a="1"/>
  <c r="N614" i="1" s="1"/>
  <c r="N593" i="1" a="1"/>
  <c r="N593" i="1" s="1"/>
  <c r="N563" i="1" a="1"/>
  <c r="N563" i="1" s="1"/>
  <c r="N534" i="1" a="1"/>
  <c r="N534" i="1" s="1"/>
  <c r="N502" i="1" a="1"/>
  <c r="N502" i="1" s="1"/>
  <c r="N467" i="1" a="1"/>
  <c r="N467" i="1" s="1"/>
  <c r="N396" i="1" a="1"/>
  <c r="N396" i="1" s="1"/>
  <c r="N348" i="1" a="1"/>
  <c r="N348" i="1" s="1"/>
  <c r="N305" i="1" a="1"/>
  <c r="N305" i="1" s="1"/>
  <c r="N261" i="1" a="1"/>
  <c r="N261" i="1" s="1"/>
  <c r="N175" i="1" a="1"/>
  <c r="N175" i="1" s="1"/>
  <c r="N75" i="1" a="1"/>
  <c r="N75" i="1" s="1"/>
  <c r="N25" i="1" a="1"/>
  <c r="N25" i="1" s="1"/>
  <c r="N738" i="1" a="1"/>
  <c r="N738" i="1" s="1"/>
  <c r="N717" i="1" a="1"/>
  <c r="N717" i="1" s="1"/>
  <c r="N675" i="1" a="1"/>
  <c r="N675" i="1" s="1"/>
  <c r="N644" i="1" a="1"/>
  <c r="N644" i="1" s="1"/>
  <c r="N590" i="1" a="1"/>
  <c r="N590" i="1" s="1"/>
  <c r="N562" i="1" a="1"/>
  <c r="N562" i="1" s="1"/>
  <c r="N531" i="1" a="1"/>
  <c r="N531" i="1" s="1"/>
  <c r="N499" i="1" a="1"/>
  <c r="N499" i="1" s="1"/>
  <c r="N465" i="1" a="1"/>
  <c r="N465" i="1" s="1"/>
  <c r="N431" i="1" a="1"/>
  <c r="N431" i="1" s="1"/>
  <c r="N345" i="1" a="1"/>
  <c r="N345" i="1" s="1"/>
  <c r="N302" i="1" a="1"/>
  <c r="N302" i="1" s="1"/>
  <c r="N257" i="1" a="1"/>
  <c r="N257" i="1" s="1"/>
  <c r="N211" i="1" a="1"/>
  <c r="N211" i="1" s="1"/>
  <c r="N168" i="1" a="1"/>
  <c r="N168" i="1" s="1"/>
  <c r="N117" i="1" a="1"/>
  <c r="N117" i="1" s="1"/>
  <c r="N68" i="1" a="1"/>
  <c r="N68" i="1" s="1"/>
  <c r="N2" i="1" a="1"/>
  <c r="N2" i="1" s="1"/>
  <c r="N11" i="1" a="1"/>
  <c r="N11" i="1" s="1"/>
  <c r="N28" i="1" a="1"/>
  <c r="N28" i="1" s="1"/>
  <c r="N36" i="1" a="1"/>
  <c r="N36" i="1" s="1"/>
  <c r="N44" i="1" a="1"/>
  <c r="N44" i="1" s="1"/>
  <c r="N59" i="1" a="1"/>
  <c r="N59" i="1" s="1"/>
  <c r="N69" i="1" a="1"/>
  <c r="N69" i="1" s="1"/>
  <c r="N77" i="1" a="1"/>
  <c r="N77" i="1" s="1"/>
  <c r="N102" i="1" a="1"/>
  <c r="N102" i="1" s="1"/>
  <c r="N110" i="1" a="1"/>
  <c r="N110" i="1" s="1"/>
  <c r="N118" i="1" a="1"/>
  <c r="N118" i="1" s="1"/>
  <c r="N126" i="1" a="1"/>
  <c r="N126" i="1" s="1"/>
  <c r="N135" i="1" a="1"/>
  <c r="N135" i="1" s="1"/>
  <c r="N143" i="1" a="1"/>
  <c r="N143" i="1" s="1"/>
  <c r="N151" i="1" a="1"/>
  <c r="N151" i="1" s="1"/>
  <c r="N160" i="1" a="1"/>
  <c r="N160" i="1" s="1"/>
  <c r="N170" i="1" a="1"/>
  <c r="N170" i="1" s="1"/>
  <c r="N187" i="1" a="1"/>
  <c r="N187" i="1" s="1"/>
  <c r="N195" i="1" a="1"/>
  <c r="N195" i="1" s="1"/>
  <c r="N203" i="1" a="1"/>
  <c r="N203" i="1" s="1"/>
  <c r="N212" i="1" a="1"/>
  <c r="N212" i="1" s="1"/>
  <c r="N220" i="1" a="1"/>
  <c r="N220" i="1" s="1"/>
  <c r="N229" i="1" a="1"/>
  <c r="N229" i="1" s="1"/>
  <c r="N237" i="1" a="1"/>
  <c r="N237" i="1" s="1"/>
  <c r="N254" i="1" a="1"/>
  <c r="N254" i="1" s="1"/>
  <c r="N263" i="1" a="1"/>
  <c r="N263" i="1" s="1"/>
  <c r="N272" i="1" a="1"/>
  <c r="N272" i="1" s="1"/>
  <c r="N281" i="1" a="1"/>
  <c r="N281" i="1" s="1"/>
  <c r="N290" i="1" a="1"/>
  <c r="N290" i="1" s="1"/>
  <c r="N306" i="1" a="1"/>
  <c r="N306" i="1" s="1"/>
  <c r="N315" i="1" a="1"/>
  <c r="N315" i="1" s="1"/>
  <c r="N340" i="1" a="1"/>
  <c r="N340" i="1" s="1"/>
  <c r="N349" i="1" a="1"/>
  <c r="N349" i="1" s="1"/>
  <c r="N366" i="1" a="1"/>
  <c r="N366" i="1" s="1"/>
  <c r="N375" i="1" a="1"/>
  <c r="N375" i="1" s="1"/>
  <c r="N384" i="1" a="1"/>
  <c r="N384" i="1" s="1"/>
  <c r="N393" i="1" a="1"/>
  <c r="N393" i="1" s="1"/>
  <c r="N427" i="1" a="1"/>
  <c r="N427" i="1" s="1"/>
  <c r="N435" i="1" a="1"/>
  <c r="N435" i="1" s="1"/>
  <c r="N443" i="1" a="1"/>
  <c r="N443" i="1" s="1"/>
  <c r="N460" i="1" a="1"/>
  <c r="N460" i="1" s="1"/>
  <c r="N484" i="1" a="1"/>
  <c r="N484" i="1" s="1"/>
  <c r="N494" i="1" a="1"/>
  <c r="N494" i="1" s="1"/>
  <c r="N510" i="1" a="1"/>
  <c r="N510" i="1" s="1"/>
  <c r="N518" i="1" a="1"/>
  <c r="N518" i="1" s="1"/>
  <c r="N527" i="1" a="1"/>
  <c r="N527" i="1" s="1"/>
  <c r="N549" i="1" a="1"/>
  <c r="N549" i="1" s="1"/>
  <c r="N558" i="1" a="1"/>
  <c r="N558" i="1" s="1"/>
  <c r="N573" i="1" a="1"/>
  <c r="N573" i="1" s="1"/>
  <c r="N581" i="1" a="1"/>
  <c r="N581" i="1" s="1"/>
  <c r="N589" i="1" a="1"/>
  <c r="N589" i="1" s="1"/>
  <c r="N598" i="1" a="1"/>
  <c r="N598" i="1" s="1"/>
  <c r="N606" i="1" a="1"/>
  <c r="N606" i="1" s="1"/>
  <c r="N613" i="1" a="1"/>
  <c r="N613" i="1" s="1"/>
  <c r="N621" i="1" a="1"/>
  <c r="N621" i="1" s="1"/>
  <c r="N630" i="1" a="1"/>
  <c r="N630" i="1" s="1"/>
  <c r="N638" i="1" a="1"/>
  <c r="N638" i="1" s="1"/>
  <c r="N646" i="1" a="1"/>
  <c r="N646" i="1" s="1"/>
  <c r="N655" i="1" a="1"/>
  <c r="N655" i="1" s="1"/>
  <c r="N663" i="1" a="1"/>
  <c r="N663" i="1" s="1"/>
  <c r="N672" i="1" a="1"/>
  <c r="N672" i="1" s="1"/>
  <c r="N687" i="1" a="1"/>
  <c r="N687" i="1" s="1"/>
  <c r="N696" i="1" a="1"/>
  <c r="N696" i="1" s="1"/>
  <c r="N705" i="1" a="1"/>
  <c r="N705" i="1" s="1"/>
  <c r="N3" i="1" a="1"/>
  <c r="N3" i="1" s="1"/>
  <c r="N20" i="1" a="1"/>
  <c r="N20" i="1" s="1"/>
  <c r="N37" i="1" a="1"/>
  <c r="N37" i="1" s="1"/>
  <c r="N45" i="1" a="1"/>
  <c r="N45" i="1" s="1"/>
  <c r="N52" i="1" a="1"/>
  <c r="N52" i="1" s="1"/>
  <c r="N60" i="1" a="1"/>
  <c r="N60" i="1" s="1"/>
  <c r="N78" i="1" a="1"/>
  <c r="N78" i="1" s="1"/>
  <c r="N86" i="1" a="1"/>
  <c r="N86" i="1" s="1"/>
  <c r="N94" i="1" a="1"/>
  <c r="N94" i="1" s="1"/>
  <c r="N103" i="1" a="1"/>
  <c r="N103" i="1" s="1"/>
  <c r="N111" i="1" a="1"/>
  <c r="N111" i="1" s="1"/>
  <c r="N119" i="1" a="1"/>
  <c r="N119" i="1" s="1"/>
  <c r="N127" i="1" a="1"/>
  <c r="N127" i="1" s="1"/>
  <c r="N161" i="1" a="1"/>
  <c r="N161" i="1" s="1"/>
  <c r="N171" i="1" a="1"/>
  <c r="N171" i="1" s="1"/>
  <c r="N179" i="1" a="1"/>
  <c r="N179" i="1" s="1"/>
  <c r="N204" i="1" a="1"/>
  <c r="N204" i="1" s="1"/>
  <c r="N213" i="1" a="1"/>
  <c r="N213" i="1" s="1"/>
  <c r="N221" i="1" a="1"/>
  <c r="N221" i="1" s="1"/>
  <c r="N246" i="1" a="1"/>
  <c r="N246" i="1" s="1"/>
  <c r="N255" i="1" a="1"/>
  <c r="N255" i="1" s="1"/>
  <c r="N273" i="1" a="1"/>
  <c r="N273" i="1" s="1"/>
  <c r="N282" i="1" a="1"/>
  <c r="N282" i="1" s="1"/>
  <c r="N291" i="1" a="1"/>
  <c r="N291" i="1" s="1"/>
  <c r="N299" i="1" a="1"/>
  <c r="N299" i="1" s="1"/>
  <c r="N307" i="1" a="1"/>
  <c r="N307" i="1" s="1"/>
  <c r="N316" i="1" a="1"/>
  <c r="N316" i="1" s="1"/>
  <c r="N324" i="1" a="1"/>
  <c r="N324" i="1" s="1"/>
  <c r="N332" i="1" a="1"/>
  <c r="N332" i="1" s="1"/>
  <c r="N341" i="1" a="1"/>
  <c r="N341" i="1" s="1"/>
  <c r="N350" i="1" a="1"/>
  <c r="N350" i="1" s="1"/>
  <c r="N359" i="1" a="1"/>
  <c r="N359" i="1" s="1"/>
  <c r="N367" i="1" a="1"/>
  <c r="N367" i="1" s="1"/>
  <c r="N376" i="1" a="1"/>
  <c r="N376" i="1" s="1"/>
  <c r="N385" i="1" a="1"/>
  <c r="N385" i="1" s="1"/>
  <c r="N394" i="1" a="1"/>
  <c r="N394" i="1" s="1"/>
  <c r="N402" i="1" a="1"/>
  <c r="N402" i="1" s="1"/>
  <c r="N4" i="1" a="1"/>
  <c r="N4" i="1" s="1"/>
  <c r="N12" i="1" a="1"/>
  <c r="N12" i="1" s="1"/>
  <c r="N21" i="1" a="1"/>
  <c r="N21" i="1" s="1"/>
  <c r="N29" i="1" a="1"/>
  <c r="N29" i="1" s="1"/>
  <c r="N61" i="1" a="1"/>
  <c r="N61" i="1" s="1"/>
  <c r="N70" i="1" a="1"/>
  <c r="N70" i="1" s="1"/>
  <c r="N79" i="1" a="1"/>
  <c r="N79" i="1" s="1"/>
  <c r="N87" i="1" a="1"/>
  <c r="N87" i="1" s="1"/>
  <c r="N95" i="1" a="1"/>
  <c r="N95" i="1" s="1"/>
  <c r="N104" i="1" a="1"/>
  <c r="N104" i="1" s="1"/>
  <c r="N136" i="1" a="1"/>
  <c r="N136" i="1" s="1"/>
  <c r="N144" i="1" a="1"/>
  <c r="N144" i="1" s="1"/>
  <c r="N152" i="1" a="1"/>
  <c r="N152" i="1" s="1"/>
  <c r="N180" i="1" a="1"/>
  <c r="N180" i="1" s="1"/>
  <c r="N188" i="1" a="1"/>
  <c r="N188" i="1" s="1"/>
  <c r="N196" i="1" a="1"/>
  <c r="N196" i="1" s="1"/>
  <c r="N205" i="1" a="1"/>
  <c r="N205" i="1" s="1"/>
  <c r="N214" i="1" a="1"/>
  <c r="N214" i="1" s="1"/>
  <c r="N230" i="1" a="1"/>
  <c r="N230" i="1" s="1"/>
  <c r="N238" i="1" a="1"/>
  <c r="N238" i="1" s="1"/>
  <c r="N247" i="1" a="1"/>
  <c r="N247" i="1" s="1"/>
  <c r="N264" i="1" a="1"/>
  <c r="N264" i="1" s="1"/>
  <c r="N274" i="1" a="1"/>
  <c r="N274" i="1" s="1"/>
  <c r="N283" i="1" a="1"/>
  <c r="N283" i="1" s="1"/>
  <c r="N292" i="1" a="1"/>
  <c r="N292" i="1" s="1"/>
  <c r="N325" i="1" a="1"/>
  <c r="N325" i="1" s="1"/>
  <c r="N333" i="1" a="1"/>
  <c r="N333" i="1" s="1"/>
  <c r="N351" i="1" a="1"/>
  <c r="N351" i="1" s="1"/>
  <c r="N368" i="1" a="1"/>
  <c r="N368" i="1" s="1"/>
  <c r="N377" i="1" a="1"/>
  <c r="N377" i="1" s="1"/>
  <c r="N386" i="1" a="1"/>
  <c r="N386" i="1" s="1"/>
  <c r="N403" i="1" a="1"/>
  <c r="N403" i="1" s="1"/>
  <c r="N411" i="1" a="1"/>
  <c r="N411" i="1" s="1"/>
  <c r="N429" i="1" a="1"/>
  <c r="N429" i="1" s="1"/>
  <c r="N436" i="1" a="1"/>
  <c r="N436" i="1" s="1"/>
  <c r="N13" i="1" a="1"/>
  <c r="N13" i="1" s="1"/>
  <c r="N38" i="1" a="1"/>
  <c r="N38" i="1" s="1"/>
  <c r="N46" i="1" a="1"/>
  <c r="N46" i="1" s="1"/>
  <c r="N53" i="1" a="1"/>
  <c r="N53" i="1" s="1"/>
  <c r="N62" i="1" a="1"/>
  <c r="N62" i="1" s="1"/>
  <c r="N71" i="1" a="1"/>
  <c r="N71" i="1" s="1"/>
  <c r="N80" i="1" a="1"/>
  <c r="N80" i="1" s="1"/>
  <c r="N96" i="1" a="1"/>
  <c r="N96" i="1" s="1"/>
  <c r="N105" i="1" a="1"/>
  <c r="N105" i="1" s="1"/>
  <c r="N112" i="1" a="1"/>
  <c r="N112" i="1" s="1"/>
  <c r="N120" i="1" a="1"/>
  <c r="N120" i="1" s="1"/>
  <c r="N128" i="1" a="1"/>
  <c r="N128" i="1" s="1"/>
  <c r="N145" i="1" a="1"/>
  <c r="N145" i="1" s="1"/>
  <c r="N153" i="1" a="1"/>
  <c r="N153" i="1" s="1"/>
  <c r="N162" i="1" a="1"/>
  <c r="N162" i="1" s="1"/>
  <c r="N172" i="1" a="1"/>
  <c r="N172" i="1" s="1"/>
  <c r="N181" i="1" a="1"/>
  <c r="N181" i="1" s="1"/>
  <c r="N189" i="1" a="1"/>
  <c r="N189" i="1" s="1"/>
  <c r="N197" i="1" a="1"/>
  <c r="N197" i="1" s="1"/>
  <c r="N206" i="1" a="1"/>
  <c r="N206" i="1" s="1"/>
  <c r="N222" i="1" a="1"/>
  <c r="N222" i="1" s="1"/>
  <c r="N231" i="1" a="1"/>
  <c r="N231" i="1" s="1"/>
  <c r="N248" i="1" a="1"/>
  <c r="N248" i="1" s="1"/>
  <c r="N256" i="1" a="1"/>
  <c r="N256" i="1" s="1"/>
  <c r="N265" i="1" a="1"/>
  <c r="N265" i="1" s="1"/>
  <c r="N284" i="1" a="1"/>
  <c r="N284" i="1" s="1"/>
  <c r="N300" i="1" a="1"/>
  <c r="N300" i="1" s="1"/>
  <c r="N308" i="1" a="1"/>
  <c r="N308" i="1" s="1"/>
  <c r="N317" i="1" a="1"/>
  <c r="N317" i="1" s="1"/>
  <c r="N334" i="1" a="1"/>
  <c r="N334" i="1" s="1"/>
  <c r="N342" i="1" a="1"/>
  <c r="N342" i="1" s="1"/>
  <c r="N360" i="1" a="1"/>
  <c r="N360" i="1" s="1"/>
  <c r="N369" i="1" a="1"/>
  <c r="N369" i="1" s="1"/>
  <c r="N378" i="1" a="1"/>
  <c r="N378" i="1" s="1"/>
  <c r="N387" i="1" a="1"/>
  <c r="N387" i="1" s="1"/>
  <c r="N395" i="1" a="1"/>
  <c r="N395" i="1" s="1"/>
  <c r="N419" i="1" a="1"/>
  <c r="N419" i="1" s="1"/>
  <c r="N445" i="1" a="1"/>
  <c r="N445" i="1" s="1"/>
  <c r="N478" i="1" a="1"/>
  <c r="N478" i="1" s="1"/>
  <c r="N487" i="1" a="1"/>
  <c r="N487" i="1" s="1"/>
  <c r="N505" i="1" a="1"/>
  <c r="N505" i="1" s="1"/>
  <c r="N512" i="1" a="1"/>
  <c r="N512" i="1" s="1"/>
  <c r="N520" i="1" a="1"/>
  <c r="N520" i="1" s="1"/>
  <c r="N536" i="1" a="1"/>
  <c r="N536" i="1" s="1"/>
  <c r="N543" i="1" a="1"/>
  <c r="N543" i="1" s="1"/>
  <c r="N560" i="1" a="1"/>
  <c r="N560" i="1" s="1"/>
  <c r="N568" i="1" a="1"/>
  <c r="N568" i="1" s="1"/>
  <c r="N583" i="1" a="1"/>
  <c r="N583" i="1" s="1"/>
  <c r="N591" i="1" a="1"/>
  <c r="N591" i="1" s="1"/>
  <c r="N600" i="1" a="1"/>
  <c r="N600" i="1" s="1"/>
  <c r="N632" i="1" a="1"/>
  <c r="N632" i="1" s="1"/>
  <c r="N641" i="1" a="1"/>
  <c r="N641" i="1" s="1"/>
  <c r="N681" i="1" a="1"/>
  <c r="N681" i="1" s="1"/>
  <c r="N690" i="1" a="1"/>
  <c r="N690" i="1" s="1"/>
  <c r="N5" i="1" a="1"/>
  <c r="N5" i="1" s="1"/>
  <c r="N22" i="1" a="1"/>
  <c r="N22" i="1" s="1"/>
  <c r="N30" i="1" a="1"/>
  <c r="N30" i="1" s="1"/>
  <c r="N39" i="1" a="1"/>
  <c r="N39" i="1" s="1"/>
  <c r="N63" i="1" a="1"/>
  <c r="N63" i="1" s="1"/>
  <c r="N72" i="1" a="1"/>
  <c r="N72" i="1" s="1"/>
  <c r="N81" i="1" a="1"/>
  <c r="N81" i="1" s="1"/>
  <c r="N88" i="1" a="1"/>
  <c r="N88" i="1" s="1"/>
  <c r="N97" i="1" a="1"/>
  <c r="N97" i="1" s="1"/>
  <c r="N121" i="1" a="1"/>
  <c r="N121" i="1" s="1"/>
  <c r="N129" i="1" a="1"/>
  <c r="N129" i="1" s="1"/>
  <c r="N137" i="1" a="1"/>
  <c r="N137" i="1" s="1"/>
  <c r="N154" i="1" a="1"/>
  <c r="N154" i="1" s="1"/>
  <c r="N163" i="1" a="1"/>
  <c r="N163" i="1" s="1"/>
  <c r="N182" i="1" a="1"/>
  <c r="N182" i="1" s="1"/>
  <c r="N190" i="1" a="1"/>
  <c r="N190" i="1" s="1"/>
  <c r="N207" i="1" a="1"/>
  <c r="N207" i="1" s="1"/>
  <c r="N215" i="1" a="1"/>
  <c r="N215" i="1" s="1"/>
  <c r="N223" i="1" a="1"/>
  <c r="N223" i="1" s="1"/>
  <c r="N239" i="1" a="1"/>
  <c r="N239" i="1" s="1"/>
  <c r="N249" i="1" a="1"/>
  <c r="N249" i="1" s="1"/>
  <c r="N266" i="1" a="1"/>
  <c r="N266" i="1" s="1"/>
  <c r="N275" i="1" a="1"/>
  <c r="N275" i="1" s="1"/>
  <c r="N285" i="1" a="1"/>
  <c r="N285" i="1" s="1"/>
  <c r="N293" i="1" a="1"/>
  <c r="N293" i="1" s="1"/>
  <c r="N301" i="1" a="1"/>
  <c r="N301" i="1" s="1"/>
  <c r="N309" i="1" a="1"/>
  <c r="N309" i="1" s="1"/>
  <c r="N326" i="1" a="1"/>
  <c r="N326" i="1" s="1"/>
  <c r="N343" i="1" a="1"/>
  <c r="N343" i="1" s="1"/>
  <c r="N352" i="1" a="1"/>
  <c r="N352" i="1" s="1"/>
  <c r="N361" i="1" a="1"/>
  <c r="N361" i="1" s="1"/>
  <c r="N370" i="1" a="1"/>
  <c r="N370" i="1" s="1"/>
  <c r="N379" i="1" a="1"/>
  <c r="N379" i="1" s="1"/>
  <c r="N404" i="1" a="1"/>
  <c r="N404" i="1" s="1"/>
  <c r="N412" i="1" a="1"/>
  <c r="N412" i="1" s="1"/>
  <c r="N420" i="1" a="1"/>
  <c r="N420" i="1" s="1"/>
  <c r="N430" i="1" a="1"/>
  <c r="N430" i="1" s="1"/>
  <c r="N437" i="1" a="1"/>
  <c r="N437" i="1" s="1"/>
  <c r="N454" i="1" a="1"/>
  <c r="N454" i="1" s="1"/>
  <c r="N462" i="1" a="1"/>
  <c r="N462" i="1" s="1"/>
  <c r="N470" i="1" a="1"/>
  <c r="N470" i="1" s="1"/>
  <c r="N488" i="1" a="1"/>
  <c r="N488" i="1" s="1"/>
  <c r="N497" i="1" a="1"/>
  <c r="N497" i="1" s="1"/>
  <c r="N521" i="1" a="1"/>
  <c r="N521" i="1" s="1"/>
  <c r="N529" i="1" a="1"/>
  <c r="N529" i="1" s="1"/>
  <c r="N544" i="1" a="1"/>
  <c r="N544" i="1" s="1"/>
  <c r="N552" i="1" a="1"/>
  <c r="N552" i="1" s="1"/>
  <c r="N569" i="1" a="1"/>
  <c r="N569" i="1" s="1"/>
  <c r="N576" i="1" a="1"/>
  <c r="N576" i="1" s="1"/>
  <c r="N592" i="1" a="1"/>
  <c r="N592" i="1" s="1"/>
  <c r="N608" i="1" a="1"/>
  <c r="N608" i="1" s="1"/>
  <c r="N615" i="1" a="1"/>
  <c r="N615" i="1" s="1"/>
  <c r="N624" i="1" a="1"/>
  <c r="N624" i="1" s="1"/>
  <c r="N633" i="1" a="1"/>
  <c r="N633" i="1" s="1"/>
  <c r="N649" i="1" a="1"/>
  <c r="N649" i="1" s="1"/>
  <c r="N657" i="1" a="1"/>
  <c r="N657" i="1" s="1"/>
  <c r="N8" i="1" a="1"/>
  <c r="N8" i="1" s="1"/>
  <c r="N17" i="1" a="1"/>
  <c r="N17" i="1" s="1"/>
  <c r="N26" i="1" a="1"/>
  <c r="N26" i="1" s="1"/>
  <c r="N34" i="1" a="1"/>
  <c r="N34" i="1" s="1"/>
  <c r="N42" i="1" a="1"/>
  <c r="N42" i="1" s="1"/>
  <c r="N66" i="1" a="1"/>
  <c r="N66" i="1" s="1"/>
  <c r="N108" i="1" a="1"/>
  <c r="N108" i="1" s="1"/>
  <c r="N124" i="1" a="1"/>
  <c r="N124" i="1" s="1"/>
  <c r="N132" i="1" a="1"/>
  <c r="N132" i="1" s="1"/>
  <c r="N141" i="1" a="1"/>
  <c r="N141" i="1" s="1"/>
  <c r="N158" i="1" a="1"/>
  <c r="N158" i="1" s="1"/>
  <c r="N54" i="1" a="1"/>
  <c r="N54" i="1" s="1"/>
  <c r="N73" i="1" a="1"/>
  <c r="N73" i="1" s="1"/>
  <c r="N89" i="1" a="1"/>
  <c r="N89" i="1" s="1"/>
  <c r="N106" i="1" a="1"/>
  <c r="N106" i="1" s="1"/>
  <c r="N169" i="1" a="1"/>
  <c r="N169" i="1" s="1"/>
  <c r="N185" i="1" a="1"/>
  <c r="N185" i="1" s="1"/>
  <c r="N243" i="1" a="1"/>
  <c r="N243" i="1" s="1"/>
  <c r="N258" i="1" a="1"/>
  <c r="N258" i="1" s="1"/>
  <c r="N303" i="1" a="1"/>
  <c r="N303" i="1" s="1"/>
  <c r="N318" i="1" a="1"/>
  <c r="N318" i="1" s="1"/>
  <c r="N330" i="1" a="1"/>
  <c r="N330" i="1" s="1"/>
  <c r="N346" i="1" a="1"/>
  <c r="N346" i="1" s="1"/>
  <c r="N363" i="1" a="1"/>
  <c r="N363" i="1" s="1"/>
  <c r="N374" i="1" a="1"/>
  <c r="N374" i="1" s="1"/>
  <c r="N390" i="1" a="1"/>
  <c r="N390" i="1" s="1"/>
  <c r="N417" i="1" a="1"/>
  <c r="N417" i="1" s="1"/>
  <c r="N475" i="1" a="1"/>
  <c r="N475" i="1" s="1"/>
  <c r="N489" i="1" a="1"/>
  <c r="N489" i="1" s="1"/>
  <c r="N500" i="1" a="1"/>
  <c r="N500" i="1" s="1"/>
  <c r="N532" i="1" a="1"/>
  <c r="N532" i="1" s="1"/>
  <c r="N541" i="1" a="1"/>
  <c r="N541" i="1" s="1"/>
  <c r="N553" i="1" a="1"/>
  <c r="N553" i="1" s="1"/>
  <c r="N584" i="1" a="1"/>
  <c r="N584" i="1" s="1"/>
  <c r="N616" i="1" a="1"/>
  <c r="N616" i="1" s="1"/>
  <c r="N627" i="1" a="1"/>
  <c r="N627" i="1" s="1"/>
  <c r="N660" i="1" a="1"/>
  <c r="N660" i="1" s="1"/>
  <c r="N671" i="1" a="1"/>
  <c r="N671" i="1" s="1"/>
  <c r="N680" i="1" a="1"/>
  <c r="N680" i="1" s="1"/>
  <c r="N691" i="1" a="1"/>
  <c r="N691" i="1" s="1"/>
  <c r="N701" i="1" a="1"/>
  <c r="N701" i="1" s="1"/>
  <c r="N710" i="1" a="1"/>
  <c r="N710" i="1" s="1"/>
  <c r="N719" i="1" a="1"/>
  <c r="N719" i="1" s="1"/>
  <c r="N734" i="1" a="1"/>
  <c r="N734" i="1" s="1"/>
  <c r="N742" i="1" a="1"/>
  <c r="N742" i="1" s="1"/>
  <c r="N750" i="1" a="1"/>
  <c r="N750" i="1" s="1"/>
  <c r="N6" i="1" a="1"/>
  <c r="N6" i="1" s="1"/>
  <c r="N23" i="1" a="1"/>
  <c r="N23" i="1" s="1"/>
  <c r="N40" i="1" a="1"/>
  <c r="N40" i="1" s="1"/>
  <c r="N55" i="1" a="1"/>
  <c r="N55" i="1" s="1"/>
  <c r="N122" i="1" a="1"/>
  <c r="N122" i="1" s="1"/>
  <c r="N138" i="1" a="1"/>
  <c r="N138" i="1" s="1"/>
  <c r="N155" i="1" a="1"/>
  <c r="N155" i="1" s="1"/>
  <c r="N173" i="1" a="1"/>
  <c r="N173" i="1" s="1"/>
  <c r="N200" i="1" a="1"/>
  <c r="N200" i="1" s="1"/>
  <c r="N216" i="1" a="1"/>
  <c r="N216" i="1" s="1"/>
  <c r="N228" i="1" a="1"/>
  <c r="N228" i="1" s="1"/>
  <c r="N259" i="1" a="1"/>
  <c r="N259" i="1" s="1"/>
  <c r="N276" i="1" a="1"/>
  <c r="N276" i="1" s="1"/>
  <c r="N288" i="1" a="1"/>
  <c r="N288" i="1" s="1"/>
  <c r="N319" i="1" a="1"/>
  <c r="N319" i="1" s="1"/>
  <c r="N331" i="1" a="1"/>
  <c r="N331" i="1" s="1"/>
  <c r="N391" i="1" a="1"/>
  <c r="N391" i="1" s="1"/>
  <c r="N407" i="1" a="1"/>
  <c r="N407" i="1" s="1"/>
  <c r="N418" i="1" a="1"/>
  <c r="N418" i="1" s="1"/>
  <c r="N432" i="1" a="1"/>
  <c r="N432" i="1" s="1"/>
  <c r="N455" i="1" a="1"/>
  <c r="N455" i="1" s="1"/>
  <c r="N466" i="1" a="1"/>
  <c r="N466" i="1" s="1"/>
  <c r="N476" i="1" a="1"/>
  <c r="N476" i="1" s="1"/>
  <c r="N501" i="1" a="1"/>
  <c r="N501" i="1" s="1"/>
  <c r="N511" i="1" a="1"/>
  <c r="N511" i="1" s="1"/>
  <c r="N522" i="1" a="1"/>
  <c r="N522" i="1" s="1"/>
  <c r="N533" i="1" a="1"/>
  <c r="N533" i="1" s="1"/>
  <c r="N542" i="1" a="1"/>
  <c r="N542" i="1" s="1"/>
  <c r="N554" i="1" a="1"/>
  <c r="N554" i="1" s="1"/>
  <c r="N564" i="1" a="1"/>
  <c r="N564" i="1" s="1"/>
  <c r="N574" i="1" a="1"/>
  <c r="N574" i="1" s="1"/>
  <c r="N595" i="1" a="1"/>
  <c r="N595" i="1" s="1"/>
  <c r="N617" i="1" a="1"/>
  <c r="N617" i="1" s="1"/>
  <c r="N628" i="1" a="1"/>
  <c r="N628" i="1" s="1"/>
  <c r="N639" i="1" a="1"/>
  <c r="N639" i="1" s="1"/>
  <c r="N650" i="1" a="1"/>
  <c r="N650" i="1" s="1"/>
  <c r="N661" i="1" a="1"/>
  <c r="N661" i="1" s="1"/>
  <c r="N711" i="1" a="1"/>
  <c r="N711" i="1" s="1"/>
  <c r="N727" i="1" a="1"/>
  <c r="N727" i="1" s="1"/>
  <c r="N735" i="1" a="1"/>
  <c r="N735" i="1" s="1"/>
  <c r="N743" i="1" a="1"/>
  <c r="N743" i="1" s="1"/>
  <c r="N7" i="1" a="1"/>
  <c r="N7" i="1" s="1"/>
  <c r="N24" i="1" a="1"/>
  <c r="N24" i="1" s="1"/>
  <c r="N56" i="1" a="1"/>
  <c r="N56" i="1" s="1"/>
  <c r="N74" i="1" a="1"/>
  <c r="N74" i="1" s="1"/>
  <c r="N90" i="1" a="1"/>
  <c r="N90" i="1" s="1"/>
  <c r="N107" i="1" a="1"/>
  <c r="N107" i="1" s="1"/>
  <c r="N123" i="1" a="1"/>
  <c r="N123" i="1" s="1"/>
  <c r="N139" i="1" a="1"/>
  <c r="N139" i="1" s="1"/>
  <c r="N156" i="1" a="1"/>
  <c r="N156" i="1" s="1"/>
  <c r="N174" i="1" a="1"/>
  <c r="N174" i="1" s="1"/>
  <c r="N186" i="1" a="1"/>
  <c r="N186" i="1" s="1"/>
  <c r="N201" i="1" a="1"/>
  <c r="N201" i="1" s="1"/>
  <c r="N217" i="1" a="1"/>
  <c r="N217" i="1" s="1"/>
  <c r="N232" i="1" a="1"/>
  <c r="N232" i="1" s="1"/>
  <c r="N244" i="1" a="1"/>
  <c r="N244" i="1" s="1"/>
  <c r="N260" i="1" a="1"/>
  <c r="N260" i="1" s="1"/>
  <c r="N277" i="1" a="1"/>
  <c r="N277" i="1" s="1"/>
  <c r="N289" i="1" a="1"/>
  <c r="N289" i="1" s="1"/>
  <c r="N304" i="1" a="1"/>
  <c r="N304" i="1" s="1"/>
  <c r="N320" i="1" a="1"/>
  <c r="N320" i="1" s="1"/>
  <c r="N335" i="1" a="1"/>
  <c r="N335" i="1" s="1"/>
  <c r="N347" i="1" a="1"/>
  <c r="N347" i="1" s="1"/>
  <c r="N364" i="1" a="1"/>
  <c r="N364" i="1" s="1"/>
  <c r="N380" i="1" a="1"/>
  <c r="N380" i="1" s="1"/>
  <c r="N392" i="1" a="1"/>
  <c r="N392" i="1" s="1"/>
  <c r="N421" i="1" a="1"/>
  <c r="N421" i="1" s="1"/>
  <c r="N433" i="1" a="1"/>
  <c r="N433" i="1" s="1"/>
  <c r="N444" i="1" a="1"/>
  <c r="N444" i="1" s="1"/>
  <c r="N456" i="1" a="1"/>
  <c r="N456" i="1" s="1"/>
  <c r="N477" i="1" a="1"/>
  <c r="N477" i="1" s="1"/>
  <c r="N490" i="1" a="1"/>
  <c r="N490" i="1" s="1"/>
  <c r="N575" i="1" a="1"/>
  <c r="N575" i="1" s="1"/>
  <c r="N585" i="1" a="1"/>
  <c r="N585" i="1" s="1"/>
  <c r="N596" i="1" a="1"/>
  <c r="N596" i="1" s="1"/>
  <c r="N607" i="1" a="1"/>
  <c r="N607" i="1" s="1"/>
  <c r="N618" i="1" a="1"/>
  <c r="N618" i="1" s="1"/>
  <c r="N629" i="1" a="1"/>
  <c r="N629" i="1" s="1"/>
  <c r="N640" i="1" a="1"/>
  <c r="N640" i="1" s="1"/>
  <c r="N662" i="1" a="1"/>
  <c r="N662" i="1" s="1"/>
  <c r="N682" i="1" a="1"/>
  <c r="N682" i="1" s="1"/>
  <c r="N692" i="1" a="1"/>
  <c r="N692" i="1" s="1"/>
  <c r="N9" i="1" a="1"/>
  <c r="N9" i="1" s="1"/>
  <c r="N27" i="1" a="1"/>
  <c r="N27" i="1" s="1"/>
  <c r="N43" i="1" a="1"/>
  <c r="N43" i="1" s="1"/>
  <c r="N58" i="1" a="1"/>
  <c r="N58" i="1" s="1"/>
  <c r="N76" i="1" a="1"/>
  <c r="N76" i="1" s="1"/>
  <c r="N92" i="1" a="1"/>
  <c r="N92" i="1" s="1"/>
  <c r="N109" i="1" a="1"/>
  <c r="N109" i="1" s="1"/>
  <c r="N125" i="1" a="1"/>
  <c r="N125" i="1" s="1"/>
  <c r="N159" i="1" a="1"/>
  <c r="N159" i="1" s="1"/>
  <c r="N176" i="1" a="1"/>
  <c r="N176" i="1" s="1"/>
  <c r="N191" i="1" a="1"/>
  <c r="N191" i="1" s="1"/>
  <c r="N202" i="1" a="1"/>
  <c r="N202" i="1" s="1"/>
  <c r="N218" i="1" a="1"/>
  <c r="N218" i="1" s="1"/>
  <c r="N262" i="1" a="1"/>
  <c r="N262" i="1" s="1"/>
  <c r="N279" i="1" a="1"/>
  <c r="N279" i="1" s="1"/>
  <c r="N294" i="1" a="1"/>
  <c r="N294" i="1" s="1"/>
  <c r="N322" i="1" a="1"/>
  <c r="N322" i="1" s="1"/>
  <c r="N336" i="1" a="1"/>
  <c r="N336" i="1" s="1"/>
  <c r="N353" i="1" a="1"/>
  <c r="N353" i="1" s="1"/>
  <c r="N365" i="1" a="1"/>
  <c r="N365" i="1" s="1"/>
  <c r="N397" i="1" a="1"/>
  <c r="N397" i="1" s="1"/>
  <c r="N409" i="1" a="1"/>
  <c r="N409" i="1" s="1"/>
  <c r="N423" i="1" a="1"/>
  <c r="N423" i="1" s="1"/>
  <c r="N434" i="1" a="1"/>
  <c r="N434" i="1" s="1"/>
  <c r="N447" i="1" a="1"/>
  <c r="N447" i="1" s="1"/>
  <c r="N458" i="1" a="1"/>
  <c r="N458" i="1" s="1"/>
  <c r="N468" i="1" a="1"/>
  <c r="N468" i="1" s="1"/>
  <c r="N480" i="1" a="1"/>
  <c r="N480" i="1" s="1"/>
  <c r="N491" i="1" a="1"/>
  <c r="N491" i="1" s="1"/>
  <c r="N503" i="1" a="1"/>
  <c r="N503" i="1" s="1"/>
  <c r="N514" i="1" a="1"/>
  <c r="N514" i="1" s="1"/>
  <c r="N524" i="1" a="1"/>
  <c r="N524" i="1" s="1"/>
  <c r="N535" i="1" a="1"/>
  <c r="N535" i="1" s="1"/>
  <c r="N546" i="1" a="1"/>
  <c r="N546" i="1" s="1"/>
  <c r="N556" i="1" a="1"/>
  <c r="N556" i="1" s="1"/>
  <c r="N566" i="1" a="1"/>
  <c r="N566" i="1" s="1"/>
  <c r="N577" i="1" a="1"/>
  <c r="N577" i="1" s="1"/>
  <c r="N587" i="1" a="1"/>
  <c r="N587" i="1" s="1"/>
  <c r="N599" i="1" a="1"/>
  <c r="N599" i="1" s="1"/>
  <c r="N609" i="1" a="1"/>
  <c r="N609" i="1" s="1"/>
  <c r="N652" i="1" a="1"/>
  <c r="N652" i="1" s="1"/>
  <c r="N664" i="1" a="1"/>
  <c r="N664" i="1" s="1"/>
  <c r="N674" i="1" a="1"/>
  <c r="N674" i="1" s="1"/>
  <c r="N684" i="1" a="1"/>
  <c r="N684" i="1" s="1"/>
  <c r="N693" i="1" a="1"/>
  <c r="N693" i="1" s="1"/>
  <c r="N703" i="1" a="1"/>
  <c r="N703" i="1" s="1"/>
  <c r="N729" i="1" a="1"/>
  <c r="N729" i="1" s="1"/>
  <c r="N33" i="1" a="1"/>
  <c r="N33" i="1" s="1"/>
  <c r="N57" i="1" a="1"/>
  <c r="N57" i="1" s="1"/>
  <c r="N157" i="1" a="1"/>
  <c r="N157" i="1" s="1"/>
  <c r="N183" i="1" a="1"/>
  <c r="N183" i="1" s="1"/>
  <c r="N224" i="1" a="1"/>
  <c r="N224" i="1" s="1"/>
  <c r="N245" i="1" a="1"/>
  <c r="N245" i="1" s="1"/>
  <c r="N269" i="1" a="1"/>
  <c r="N269" i="1" s="1"/>
  <c r="N311" i="1" a="1"/>
  <c r="N311" i="1" s="1"/>
  <c r="N357" i="1" a="1"/>
  <c r="N357" i="1" s="1"/>
  <c r="N381" i="1" a="1"/>
  <c r="N381" i="1" s="1"/>
  <c r="N400" i="1" a="1"/>
  <c r="N400" i="1" s="1"/>
  <c r="N422" i="1" a="1"/>
  <c r="N422" i="1" s="1"/>
  <c r="N439" i="1" a="1"/>
  <c r="N439" i="1" s="1"/>
  <c r="N457" i="1" a="1"/>
  <c r="N457" i="1" s="1"/>
  <c r="N523" i="1" a="1"/>
  <c r="N523" i="1" s="1"/>
  <c r="N539" i="1" a="1"/>
  <c r="N539" i="1" s="1"/>
  <c r="N555" i="1" a="1"/>
  <c r="N555" i="1" s="1"/>
  <c r="N586" i="1" a="1"/>
  <c r="N586" i="1" s="1"/>
  <c r="N602" i="1" a="1"/>
  <c r="N602" i="1" s="1"/>
  <c r="N619" i="1" a="1"/>
  <c r="N619" i="1" s="1"/>
  <c r="N651" i="1" a="1"/>
  <c r="N651" i="1" s="1"/>
  <c r="N667" i="1" a="1"/>
  <c r="N667" i="1" s="1"/>
  <c r="N683" i="1" a="1"/>
  <c r="N683" i="1" s="1"/>
  <c r="N697" i="1" a="1"/>
  <c r="N697" i="1" s="1"/>
  <c r="N722" i="1" a="1"/>
  <c r="N722" i="1" s="1"/>
  <c r="N732" i="1" a="1"/>
  <c r="N732" i="1" s="1"/>
  <c r="N741" i="1" a="1"/>
  <c r="N741" i="1" s="1"/>
  <c r="N10" i="1" a="1"/>
  <c r="N10" i="1" s="1"/>
  <c r="N83" i="1" a="1"/>
  <c r="N83" i="1" s="1"/>
  <c r="N131" i="1" a="1"/>
  <c r="N131" i="1" s="1"/>
  <c r="N225" i="1" a="1"/>
  <c r="N225" i="1" s="1"/>
  <c r="N250" i="1" a="1"/>
  <c r="N250" i="1" s="1"/>
  <c r="N295" i="1" a="1"/>
  <c r="N295" i="1" s="1"/>
  <c r="N312" i="1" a="1"/>
  <c r="N312" i="1" s="1"/>
  <c r="N337" i="1" a="1"/>
  <c r="N337" i="1" s="1"/>
  <c r="N382" i="1" a="1"/>
  <c r="N382" i="1" s="1"/>
  <c r="N401" i="1" a="1"/>
  <c r="N401" i="1" s="1"/>
  <c r="N424" i="1" a="1"/>
  <c r="N424" i="1" s="1"/>
  <c r="N440" i="1" a="1"/>
  <c r="N440" i="1" s="1"/>
  <c r="N459" i="1" a="1"/>
  <c r="N459" i="1" s="1"/>
  <c r="N473" i="1" a="1"/>
  <c r="N473" i="1" s="1"/>
  <c r="N492" i="1" a="1"/>
  <c r="N492" i="1" s="1"/>
  <c r="N508" i="1" a="1"/>
  <c r="N508" i="1" s="1"/>
  <c r="N525" i="1" a="1"/>
  <c r="N525" i="1" s="1"/>
  <c r="N557" i="1" a="1"/>
  <c r="N557" i="1" s="1"/>
  <c r="N571" i="1" a="1"/>
  <c r="N571" i="1" s="1"/>
  <c r="N603" i="1" a="1"/>
  <c r="N603" i="1" s="1"/>
  <c r="N620" i="1" a="1"/>
  <c r="N620" i="1" s="1"/>
  <c r="N636" i="1" a="1"/>
  <c r="N636" i="1" s="1"/>
  <c r="N653" i="1" a="1"/>
  <c r="N653" i="1" s="1"/>
  <c r="N668" i="1" a="1"/>
  <c r="N668" i="1" s="1"/>
  <c r="N698" i="1" a="1"/>
  <c r="N698" i="1" s="1"/>
  <c r="N712" i="1" a="1"/>
  <c r="N712" i="1" s="1"/>
  <c r="N14" i="1" a="1"/>
  <c r="N14" i="1" s="1"/>
  <c r="N35" i="1" a="1"/>
  <c r="N35" i="1" s="1"/>
  <c r="N84" i="1" a="1"/>
  <c r="N84" i="1" s="1"/>
  <c r="N113" i="1" a="1"/>
  <c r="N113" i="1" s="1"/>
  <c r="N133" i="1" a="1"/>
  <c r="N133" i="1" s="1"/>
  <c r="N164" i="1" a="1"/>
  <c r="N164" i="1" s="1"/>
  <c r="N184" i="1" a="1"/>
  <c r="N184" i="1" s="1"/>
  <c r="N208" i="1" a="1"/>
  <c r="N208" i="1" s="1"/>
  <c r="N226" i="1" a="1"/>
  <c r="N226" i="1" s="1"/>
  <c r="N251" i="1" a="1"/>
  <c r="N251" i="1" s="1"/>
  <c r="N270" i="1" a="1"/>
  <c r="N270" i="1" s="1"/>
  <c r="N313" i="1" a="1"/>
  <c r="N313" i="1" s="1"/>
  <c r="N338" i="1" a="1"/>
  <c r="N338" i="1" s="1"/>
  <c r="N358" i="1" a="1"/>
  <c r="N358" i="1" s="1"/>
  <c r="N405" i="1" a="1"/>
  <c r="N405" i="1" s="1"/>
  <c r="N425" i="1" a="1"/>
  <c r="N425" i="1" s="1"/>
  <c r="N441" i="1" a="1"/>
  <c r="N441" i="1" s="1"/>
  <c r="N493" i="1" a="1"/>
  <c r="N493" i="1" s="1"/>
  <c r="N526" i="1" a="1"/>
  <c r="N526" i="1" s="1"/>
  <c r="N540" i="1" a="1"/>
  <c r="N540" i="1" s="1"/>
  <c r="N588" i="1" a="1"/>
  <c r="N588" i="1" s="1"/>
  <c r="N604" i="1" a="1"/>
  <c r="N604" i="1" s="1"/>
  <c r="N654" i="1" a="1"/>
  <c r="N654" i="1" s="1"/>
  <c r="N669" i="1" a="1"/>
  <c r="N669" i="1" s="1"/>
  <c r="N685" i="1" a="1"/>
  <c r="N685" i="1" s="1"/>
  <c r="N699" i="1" a="1"/>
  <c r="N699" i="1" s="1"/>
  <c r="N713" i="1" a="1"/>
  <c r="N713" i="1" s="1"/>
  <c r="N723" i="1" a="1"/>
  <c r="N723" i="1" s="1"/>
  <c r="N733" i="1" a="1"/>
  <c r="N733" i="1" s="1"/>
  <c r="N744" i="1" a="1"/>
  <c r="N744" i="1" s="1"/>
  <c r="N41" i="1" a="1"/>
  <c r="N41" i="1" s="1"/>
  <c r="N65" i="1" a="1"/>
  <c r="N65" i="1" s="1"/>
  <c r="N91" i="1" a="1"/>
  <c r="N91" i="1" s="1"/>
  <c r="N114" i="1" a="1"/>
  <c r="N114" i="1" s="1"/>
  <c r="N140" i="1" a="1"/>
  <c r="N140" i="1" s="1"/>
  <c r="N166" i="1" a="1"/>
  <c r="N166" i="1" s="1"/>
  <c r="N209" i="1" a="1"/>
  <c r="N209" i="1" s="1"/>
  <c r="N233" i="1" a="1"/>
  <c r="N233" i="1" s="1"/>
  <c r="N252" i="1" a="1"/>
  <c r="N252" i="1" s="1"/>
  <c r="N278" i="1" a="1"/>
  <c r="N278" i="1" s="1"/>
  <c r="N297" i="1" a="1"/>
  <c r="N297" i="1" s="1"/>
  <c r="N321" i="1" a="1"/>
  <c r="N321" i="1" s="1"/>
  <c r="N388" i="1" a="1"/>
  <c r="N388" i="1" s="1"/>
  <c r="N408" i="1" a="1"/>
  <c r="N408" i="1" s="1"/>
  <c r="N426" i="1" a="1"/>
  <c r="N426" i="1" s="1"/>
  <c r="N446" i="1" a="1"/>
  <c r="N446" i="1" s="1"/>
  <c r="N461" i="1" a="1"/>
  <c r="N461" i="1" s="1"/>
  <c r="N479" i="1" a="1"/>
  <c r="N479" i="1" s="1"/>
  <c r="N496" i="1" a="1"/>
  <c r="N496" i="1" s="1"/>
  <c r="N513" i="1" a="1"/>
  <c r="N513" i="1" s="1"/>
  <c r="N528" i="1" a="1"/>
  <c r="N528" i="1" s="1"/>
  <c r="N545" i="1" a="1"/>
  <c r="N545" i="1" s="1"/>
  <c r="N559" i="1" a="1"/>
  <c r="N559" i="1" s="1"/>
  <c r="N623" i="1" a="1"/>
  <c r="N623" i="1" s="1"/>
  <c r="N642" i="1" a="1"/>
  <c r="N642" i="1" s="1"/>
  <c r="N656" i="1" a="1"/>
  <c r="N656" i="1" s="1"/>
  <c r="N673" i="1" a="1"/>
  <c r="N673" i="1" s="1"/>
  <c r="N686" i="1" a="1"/>
  <c r="N686" i="1" s="1"/>
  <c r="N702" i="1" a="1"/>
  <c r="N702" i="1" s="1"/>
  <c r="N725" i="1" a="1"/>
  <c r="N725" i="1" s="1"/>
  <c r="N736" i="1" a="1"/>
  <c r="N736" i="1" s="1"/>
  <c r="N16" i="1" a="1"/>
  <c r="N16" i="1" s="1"/>
  <c r="N93" i="1" a="1"/>
  <c r="N93" i="1" s="1"/>
  <c r="N115" i="1" a="1"/>
  <c r="N115" i="1" s="1"/>
  <c r="N142" i="1" a="1"/>
  <c r="N142" i="1" s="1"/>
  <c r="N234" i="1" a="1"/>
  <c r="N234" i="1" s="1"/>
  <c r="N253" i="1" a="1"/>
  <c r="N253" i="1" s="1"/>
  <c r="N298" i="1" a="1"/>
  <c r="N298" i="1" s="1"/>
  <c r="N410" i="1" a="1"/>
  <c r="N410" i="1" s="1"/>
  <c r="N428" i="1" a="1"/>
  <c r="N428" i="1" s="1"/>
  <c r="N448" i="1" a="1"/>
  <c r="N448" i="1" s="1"/>
  <c r="N463" i="1" a="1"/>
  <c r="N463" i="1" s="1"/>
  <c r="N481" i="1" a="1"/>
  <c r="N481" i="1" s="1"/>
  <c r="N515" i="1" a="1"/>
  <c r="N515" i="1" s="1"/>
  <c r="N49" i="1" a="1"/>
  <c r="N49" i="1" s="1"/>
  <c r="N100" i="1" a="1"/>
  <c r="N100" i="1" s="1"/>
  <c r="N148" i="1" a="1"/>
  <c r="N148" i="1" s="1"/>
  <c r="N177" i="1" a="1"/>
  <c r="N177" i="1" s="1"/>
  <c r="N194" i="1" a="1"/>
  <c r="N194" i="1" s="1"/>
  <c r="N219" i="1" a="1"/>
  <c r="N219" i="1" s="1"/>
  <c r="N240" i="1" a="1"/>
  <c r="N240" i="1" s="1"/>
  <c r="N286" i="1" a="1"/>
  <c r="N286" i="1" s="1"/>
  <c r="N328" i="1" a="1"/>
  <c r="N328" i="1" s="1"/>
  <c r="N354" i="1" a="1"/>
  <c r="N354" i="1" s="1"/>
  <c r="N372" i="1" a="1"/>
  <c r="N372" i="1" s="1"/>
  <c r="N415" i="1" a="1"/>
  <c r="N415" i="1" s="1"/>
  <c r="N451" i="1" a="1"/>
  <c r="N451" i="1" s="1"/>
  <c r="N469" i="1" a="1"/>
  <c r="N469" i="1" s="1"/>
  <c r="N504" i="1" a="1"/>
  <c r="N504" i="1" s="1"/>
  <c r="N567" i="1" a="1"/>
  <c r="N567" i="1" s="1"/>
  <c r="N580" i="1" a="1"/>
  <c r="N580" i="1" s="1"/>
  <c r="N631" i="1" a="1"/>
  <c r="N631" i="1" s="1"/>
  <c r="N645" i="1" a="1"/>
  <c r="N645" i="1" s="1"/>
  <c r="N665" i="1" a="1"/>
  <c r="N665" i="1" s="1"/>
  <c r="N678" i="1" a="1"/>
  <c r="N678" i="1" s="1"/>
  <c r="N694" i="1" a="1"/>
  <c r="N694" i="1" s="1"/>
  <c r="N708" i="1" a="1"/>
  <c r="N708" i="1" s="1"/>
  <c r="N718" i="1" a="1"/>
  <c r="N718" i="1" s="1"/>
  <c r="N730" i="1" a="1"/>
  <c r="N730" i="1" s="1"/>
  <c r="N749" i="1" a="1"/>
  <c r="N749" i="1" s="1"/>
  <c r="N737" i="1" a="1"/>
  <c r="N737" i="1" s="1"/>
  <c r="N716" i="1" a="1"/>
  <c r="N716" i="1" s="1"/>
  <c r="N695" i="1" a="1"/>
  <c r="N695" i="1" s="1"/>
  <c r="N670" i="1" a="1"/>
  <c r="N670" i="1" s="1"/>
  <c r="N612" i="1" a="1"/>
  <c r="N612" i="1" s="1"/>
  <c r="N561" i="1" a="1"/>
  <c r="N561" i="1" s="1"/>
  <c r="N530" i="1" a="1"/>
  <c r="N530" i="1" s="1"/>
  <c r="N498" i="1" a="1"/>
  <c r="N498" i="1" s="1"/>
  <c r="N464" i="1" a="1"/>
  <c r="N464" i="1" s="1"/>
  <c r="N389" i="1" a="1"/>
  <c r="N389" i="1" s="1"/>
  <c r="N344" i="1" a="1"/>
  <c r="N344" i="1" s="1"/>
  <c r="N210" i="1" a="1"/>
  <c r="N210" i="1" s="1"/>
  <c r="N167" i="1" a="1"/>
  <c r="N167" i="1" s="1"/>
  <c r="N116" i="1" a="1"/>
  <c r="N116" i="1" s="1"/>
  <c r="N67" i="1" a="1"/>
  <c r="N67" i="1" s="1"/>
  <c r="N18" i="1" a="1"/>
  <c r="N18" i="1" s="1"/>
  <c r="N751" i="1" a="1"/>
  <c r="N751" i="1" s="1"/>
  <c r="N643" i="1" a="1"/>
  <c r="N643" i="1" s="1"/>
  <c r="N582" i="1" a="1"/>
  <c r="N582" i="1" s="1"/>
  <c r="N495" i="1" a="1"/>
  <c r="N495" i="1" s="1"/>
  <c r="N383" i="1" a="1"/>
  <c r="N383" i="1" s="1"/>
  <c r="N339" i="1" a="1"/>
  <c r="N339" i="1" s="1"/>
  <c r="N296" i="1" a="1"/>
  <c r="N296" i="1" s="1"/>
  <c r="N165" i="1" a="1"/>
  <c r="N165" i="1" s="1"/>
  <c r="N64" i="1" a="1"/>
  <c r="N64" i="1" s="1"/>
  <c r="N15" i="1" a="1"/>
  <c r="N15" i="1" s="1"/>
  <c r="R548" i="1" l="1"/>
  <c r="R387" i="1"/>
  <c r="R247" i="1"/>
  <c r="R353" i="1"/>
  <c r="R351" i="1"/>
  <c r="R222" i="1"/>
  <c r="R568" i="1"/>
  <c r="R154" i="1"/>
  <c r="R86" i="1"/>
  <c r="R746" i="1"/>
  <c r="R76" i="1"/>
  <c r="R307" i="1"/>
  <c r="R345" i="1"/>
  <c r="R327" i="1"/>
  <c r="R333" i="1"/>
  <c r="R88" i="1"/>
  <c r="R414" i="1"/>
  <c r="R623" i="1"/>
  <c r="R571" i="1"/>
  <c r="R337" i="1"/>
  <c r="R249" i="1"/>
  <c r="R44" i="1"/>
  <c r="R408" i="1"/>
  <c r="R28" i="1"/>
  <c r="R245" i="1"/>
  <c r="R51" i="1"/>
  <c r="R264" i="1"/>
  <c r="R229" i="1"/>
  <c r="R696" i="1"/>
  <c r="R436" i="1"/>
  <c r="R511" i="1"/>
  <c r="R231" i="1"/>
  <c r="R135" i="1"/>
  <c r="R727" i="1"/>
  <c r="R594" i="1"/>
  <c r="R516" i="1"/>
  <c r="R141" i="1"/>
  <c r="R747" i="1"/>
  <c r="R561" i="1"/>
  <c r="R494" i="1"/>
  <c r="R75" i="1"/>
  <c r="R228" i="1"/>
  <c r="R595" i="1"/>
  <c r="R310" i="1"/>
  <c r="R18" i="1"/>
  <c r="R443" i="1"/>
  <c r="R458" i="1"/>
  <c r="R285" i="1"/>
  <c r="R547" i="1"/>
  <c r="R525" i="1"/>
  <c r="R54" i="1"/>
  <c r="R632" i="1"/>
  <c r="R671" i="1"/>
  <c r="R270" i="1"/>
  <c r="R512" i="1"/>
  <c r="R365" i="1"/>
  <c r="R122" i="1"/>
  <c r="R390" i="1"/>
  <c r="R570" i="1"/>
  <c r="R602" i="1"/>
  <c r="R92" i="1"/>
  <c r="R162" i="1"/>
  <c r="R84" i="1"/>
  <c r="R196" i="1"/>
  <c r="R121" i="1"/>
  <c r="R233" i="1"/>
  <c r="R316" i="1"/>
  <c r="R357" i="1"/>
  <c r="R203" i="1"/>
  <c r="R508" i="1"/>
  <c r="R382" i="1"/>
  <c r="R280" i="1"/>
  <c r="R612" i="1"/>
  <c r="R157" i="1"/>
  <c r="R8" i="1"/>
  <c r="R25" i="1"/>
  <c r="R386" i="1"/>
  <c r="R31" i="1"/>
  <c r="R395" i="1"/>
  <c r="R33" i="1"/>
  <c r="R749" i="1"/>
  <c r="R734" i="1"/>
  <c r="R12" i="1"/>
  <c r="R500" i="1"/>
  <c r="R188" i="1"/>
  <c r="R544" i="1"/>
  <c r="R501" i="1"/>
  <c r="R6" i="1"/>
  <c r="R656" i="1"/>
  <c r="R748" i="1"/>
  <c r="R266" i="1"/>
  <c r="R534" i="1"/>
  <c r="R627" i="1"/>
  <c r="R659" i="1"/>
  <c r="R688" i="1"/>
  <c r="R607" i="1"/>
  <c r="R45" i="1"/>
  <c r="R621" i="1"/>
  <c r="R43" i="1"/>
  <c r="R428" i="1"/>
  <c r="R48" i="1"/>
  <c r="R423" i="1"/>
  <c r="R642" i="1"/>
  <c r="R605" i="1"/>
  <c r="R112" i="1"/>
  <c r="R17" i="1"/>
  <c r="R409" i="1"/>
  <c r="R590" i="1"/>
  <c r="R635" i="1"/>
  <c r="R513" i="1"/>
  <c r="R732" i="1"/>
  <c r="R367" i="1"/>
  <c r="R584" i="1"/>
  <c r="R606" i="1"/>
  <c r="R144" i="1"/>
  <c r="R10" i="1"/>
  <c r="R454" i="1"/>
  <c r="R687" i="1"/>
  <c r="R62" i="1"/>
  <c r="R354" i="1"/>
  <c r="R712" i="1"/>
  <c r="R3" i="1"/>
  <c r="R720" i="1"/>
  <c r="R401" i="1"/>
  <c r="R103" i="1"/>
  <c r="R435" i="1"/>
  <c r="R61" i="1"/>
  <c r="R9" i="1"/>
  <c r="R463" i="1"/>
  <c r="R452" i="1"/>
  <c r="R359" i="1"/>
  <c r="R149" i="1"/>
  <c r="R676" i="1"/>
  <c r="R65" i="1"/>
  <c r="R29" i="1"/>
  <c r="R634" i="1"/>
  <c r="R415" i="1"/>
  <c r="R341" i="1"/>
  <c r="R349" i="1"/>
  <c r="R486" i="1"/>
  <c r="R484" i="1"/>
  <c r="R455" i="1"/>
  <c r="R475" i="1"/>
  <c r="R179" i="1"/>
  <c r="R592" i="1"/>
  <c r="R609" i="1"/>
  <c r="R256" i="1"/>
  <c r="R210" i="1"/>
  <c r="R684" i="1"/>
  <c r="R41" i="1"/>
  <c r="R197" i="1"/>
  <c r="R234" i="1"/>
  <c r="R243" i="1"/>
  <c r="R193" i="1"/>
  <c r="R416" i="1"/>
  <c r="R647" i="1"/>
  <c r="R11" i="1"/>
  <c r="R618" i="1"/>
  <c r="R646" i="1"/>
  <c r="R477" i="1"/>
  <c r="R347" i="1"/>
  <c r="R139" i="1"/>
  <c r="R564" i="1"/>
  <c r="R490" i="1"/>
  <c r="R167" i="1"/>
  <c r="R507" i="1"/>
  <c r="R260" i="1"/>
  <c r="R83" i="1"/>
  <c r="R317" i="1"/>
  <c r="R94" i="1"/>
  <c r="R658" i="1"/>
  <c r="R71" i="1"/>
  <c r="R318" i="1"/>
  <c r="R703" i="1"/>
  <c r="R371" i="1"/>
  <c r="R215" i="1"/>
  <c r="R644" i="1"/>
  <c r="R585" i="1"/>
  <c r="R381" i="1"/>
  <c r="R170" i="1"/>
  <c r="R502" i="1"/>
  <c r="R172" i="1"/>
  <c r="R331" i="1"/>
  <c r="R596" i="1"/>
  <c r="R470" i="1"/>
  <c r="R631" i="1"/>
  <c r="R173" i="1"/>
  <c r="R67" i="1"/>
  <c r="R663" i="1"/>
  <c r="R284" i="1"/>
  <c r="R464" i="1"/>
  <c r="R653" i="1"/>
  <c r="R560" i="1"/>
  <c r="R581" i="1"/>
  <c r="R575" i="1"/>
  <c r="R276" i="1"/>
  <c r="R358" i="1"/>
  <c r="R582" i="1"/>
  <c r="R99" i="1"/>
  <c r="R190" i="1"/>
  <c r="R242" i="1"/>
  <c r="R614" i="1"/>
  <c r="R268" i="1"/>
  <c r="R265" i="1"/>
  <c r="R393" i="1"/>
  <c r="R399" i="1"/>
  <c r="R467" i="1"/>
  <c r="R667" i="1"/>
  <c r="R674" i="1"/>
  <c r="R4" i="1"/>
  <c r="R138" i="1"/>
  <c r="R364" i="1"/>
  <c r="R530" i="1"/>
  <c r="R155" i="1"/>
  <c r="R572" i="1"/>
  <c r="R85" i="1"/>
  <c r="R35" i="1"/>
  <c r="R145" i="1"/>
  <c r="R599" i="1"/>
  <c r="R670" i="1"/>
  <c r="R292" i="1"/>
  <c r="R209" i="1"/>
  <c r="R47" i="1"/>
  <c r="R733" i="1"/>
  <c r="R457" i="1"/>
  <c r="R374" i="1"/>
  <c r="R392" i="1"/>
  <c r="R174" i="1"/>
  <c r="R648" i="1"/>
  <c r="R59" i="1"/>
  <c r="R540" i="1"/>
  <c r="R182" i="1"/>
  <c r="R22" i="1"/>
  <c r="R117" i="1"/>
  <c r="R474" i="1"/>
  <c r="R721" i="1"/>
  <c r="R214" i="1"/>
  <c r="R19" i="1"/>
  <c r="R97" i="1"/>
  <c r="R569" i="1"/>
  <c r="R514" i="1"/>
  <c r="R509" i="1"/>
  <c r="R129" i="1"/>
  <c r="R202" i="1"/>
  <c r="R279" i="1"/>
  <c r="R132" i="1"/>
  <c r="R471" i="1"/>
  <c r="R384" i="1"/>
  <c r="R305" i="1"/>
  <c r="R505" i="1"/>
  <c r="R91" i="1"/>
  <c r="R238" i="1"/>
  <c r="R160" i="1"/>
  <c r="R610" i="1"/>
  <c r="R504" i="1"/>
  <c r="R503" i="1"/>
  <c r="R254" i="1"/>
  <c r="R69" i="1"/>
  <c r="R340" i="1"/>
  <c r="R225" i="1"/>
  <c r="R483" i="1"/>
  <c r="R723" i="1"/>
  <c r="R376" i="1"/>
  <c r="R32" i="1"/>
  <c r="R447" i="1"/>
  <c r="R730" i="1"/>
  <c r="R271" i="1"/>
  <c r="R577" i="1"/>
  <c r="R442" i="1"/>
  <c r="R405" i="1"/>
  <c r="R213" i="1"/>
  <c r="R300" i="1"/>
  <c r="R211" i="1"/>
  <c r="R244" i="1"/>
  <c r="R232" i="1"/>
  <c r="R204" i="1"/>
  <c r="R115" i="1"/>
  <c r="R624" i="1"/>
  <c r="R251" i="1"/>
  <c r="R518" i="1"/>
  <c r="R261" i="1"/>
  <c r="R650" i="1"/>
  <c r="R42" i="1"/>
  <c r="R263" i="1"/>
  <c r="R370" i="1"/>
  <c r="R252" i="1"/>
  <c r="R23" i="1"/>
  <c r="R637" i="1"/>
  <c r="R377" i="1"/>
  <c r="R236" i="1"/>
  <c r="R495" i="1"/>
  <c r="R589" i="1"/>
  <c r="R255" i="1"/>
  <c r="R702" i="1"/>
  <c r="R133" i="1"/>
  <c r="R578" i="1"/>
  <c r="R127" i="1"/>
  <c r="R488" i="1"/>
  <c r="R526" i="1"/>
  <c r="R241" i="1"/>
  <c r="R352" i="1"/>
  <c r="R373" i="1"/>
  <c r="R171" i="1"/>
  <c r="R620" i="1"/>
  <c r="R573" i="1"/>
  <c r="R205" i="1"/>
  <c r="R738" i="1"/>
  <c r="R555" i="1"/>
  <c r="R360" i="1"/>
  <c r="R200" i="1"/>
  <c r="R479" i="1"/>
  <c r="R339" i="1"/>
  <c r="R161" i="1"/>
  <c r="R661" i="1"/>
  <c r="R108" i="1"/>
  <c r="R697" i="1"/>
  <c r="R325" i="1"/>
  <c r="R597" i="1"/>
  <c r="R224" i="1"/>
  <c r="R604" i="1"/>
  <c r="R541" i="1"/>
  <c r="R208" i="1"/>
  <c r="R652" i="1"/>
  <c r="R134" i="1"/>
  <c r="R506" i="1"/>
  <c r="R206" i="1"/>
  <c r="R588" i="1"/>
  <c r="R125" i="1"/>
  <c r="R552" i="1"/>
  <c r="R87" i="1"/>
  <c r="R98" i="1"/>
  <c r="R545" i="1"/>
  <c r="R681" i="1"/>
  <c r="R111" i="1"/>
  <c r="R566" i="1"/>
  <c r="R110" i="1"/>
  <c r="R226" i="1"/>
  <c r="R616" i="1"/>
  <c r="R383" i="1"/>
  <c r="R104" i="1"/>
  <c r="R198" i="1"/>
  <c r="R559" i="1"/>
  <c r="R719" i="1"/>
  <c r="R619" i="1"/>
  <c r="R227" i="1"/>
  <c r="R123" i="1"/>
  <c r="R493" i="1"/>
  <c r="R109" i="1"/>
  <c r="R724" i="1"/>
  <c r="R466" i="1"/>
  <c r="R221" i="1"/>
  <c r="R153" i="1"/>
  <c r="R633" i="1"/>
  <c r="R259" i="1"/>
  <c r="R334" i="1"/>
  <c r="R654" i="1"/>
  <c r="R714" i="1"/>
  <c r="R708" i="1"/>
  <c r="R150" i="1"/>
  <c r="R437" i="1"/>
  <c r="R313" i="1"/>
  <c r="R128" i="1"/>
  <c r="R385" i="1"/>
  <c r="R321" i="1"/>
  <c r="R185" i="1"/>
  <c r="R14" i="1"/>
  <c r="R156" i="1"/>
  <c r="R522" i="1"/>
  <c r="R178" i="1"/>
  <c r="R531" i="1"/>
  <c r="R744" i="1"/>
  <c r="R690" i="1"/>
  <c r="R622" i="1"/>
  <c r="R542" i="1"/>
  <c r="R698" i="1"/>
  <c r="R439" i="1"/>
  <c r="R491" i="1"/>
  <c r="R444" i="1"/>
  <c r="R303" i="1"/>
  <c r="R496" i="1"/>
  <c r="R432" i="1"/>
  <c r="R705" i="1"/>
  <c r="R58" i="1"/>
  <c r="R608" i="1"/>
  <c r="R655" i="1"/>
  <c r="R116" i="1"/>
  <c r="R583" i="1"/>
  <c r="R361" i="1"/>
  <c r="R269" i="1"/>
  <c r="R278" i="1"/>
  <c r="R532" i="1"/>
  <c r="R601" i="1"/>
  <c r="R672" i="1"/>
  <c r="R692" i="1"/>
  <c r="R70" i="1"/>
  <c r="R678" i="1"/>
  <c r="R420" i="1"/>
  <c r="R309" i="1"/>
  <c r="R53" i="1"/>
  <c r="R77" i="1"/>
  <c r="R554" i="1"/>
  <c r="R306" i="1"/>
  <c r="R64" i="1"/>
  <c r="R295" i="1"/>
  <c r="R576" i="1"/>
  <c r="R296" i="1"/>
  <c r="R277" i="1"/>
  <c r="R82" i="1"/>
  <c r="R30" i="1"/>
  <c r="R288" i="1"/>
  <c r="R459" i="1"/>
  <c r="R283" i="1"/>
  <c r="R485" i="1"/>
  <c r="R151" i="1"/>
  <c r="R729" i="1"/>
  <c r="R691" i="1"/>
  <c r="R38" i="1"/>
  <c r="R745" i="1"/>
  <c r="R728" i="1"/>
  <c r="R600" i="1"/>
  <c r="R641" i="1"/>
  <c r="R426" i="1"/>
  <c r="R397" i="1"/>
  <c r="R366" i="1"/>
  <c r="R66" i="1"/>
  <c r="R715" i="1"/>
  <c r="R626" i="1"/>
  <c r="R710" i="1"/>
  <c r="R406" i="1"/>
  <c r="R180" i="1"/>
  <c r="R709" i="1"/>
  <c r="R740" i="1"/>
  <c r="R5" i="1"/>
  <c r="R281" i="1"/>
  <c r="R218" i="1"/>
  <c r="R557" i="1"/>
  <c r="R603" i="1"/>
  <c r="R319" i="1"/>
  <c r="R142" i="1"/>
  <c r="R446" i="1"/>
  <c r="R539" i="1"/>
  <c r="R739" i="1"/>
  <c r="R158" i="1"/>
  <c r="R394" i="1"/>
  <c r="R2" i="1"/>
  <c r="R430" i="1"/>
  <c r="R355" i="1"/>
  <c r="R219" i="1"/>
  <c r="R480" i="1"/>
  <c r="R95" i="1"/>
  <c r="R517" i="1"/>
  <c r="R699" i="1"/>
  <c r="R550" i="1"/>
  <c r="R216" i="1"/>
  <c r="R638" i="1"/>
  <c r="R217" i="1"/>
  <c r="R181" i="1"/>
  <c r="R315" i="1"/>
  <c r="R424" i="1"/>
  <c r="R159" i="1"/>
  <c r="R298" i="1"/>
  <c r="R686" i="1"/>
  <c r="R323" i="1"/>
  <c r="R718" i="1"/>
  <c r="R375" i="1"/>
  <c r="R89" i="1"/>
  <c r="R751" i="1"/>
  <c r="R164" i="1"/>
  <c r="R450" i="1"/>
  <c r="R267" i="1"/>
  <c r="R220" i="1"/>
  <c r="R487" i="1"/>
  <c r="R611" i="1"/>
  <c r="R146" i="1"/>
  <c r="R287" i="1"/>
  <c r="R312" i="1"/>
  <c r="R685" i="1"/>
  <c r="R301" i="1"/>
  <c r="R673" i="1"/>
  <c r="R342" i="1"/>
  <c r="R536" i="1"/>
  <c r="R419" i="1"/>
  <c r="R240" i="1"/>
  <c r="R335" i="1"/>
  <c r="R441" i="1"/>
  <c r="R700" i="1"/>
  <c r="R407" i="1"/>
  <c r="R46" i="1"/>
  <c r="R562" i="1"/>
  <c r="R643" i="1"/>
  <c r="R449" i="1"/>
  <c r="R289" i="1"/>
  <c r="R96" i="1"/>
  <c r="R398" i="1"/>
  <c r="R212" i="1"/>
  <c r="R56" i="1"/>
  <c r="R651" i="1"/>
  <c r="R482" i="1"/>
  <c r="R299" i="1"/>
  <c r="R660" i="1"/>
  <c r="R274" i="1"/>
  <c r="R93" i="1"/>
  <c r="R551" i="1"/>
  <c r="R422" i="1"/>
  <c r="R293" i="1"/>
  <c r="R100" i="1"/>
  <c r="R519" i="1"/>
  <c r="R338" i="1"/>
  <c r="R186" i="1"/>
  <c r="R565" i="1"/>
  <c r="R291" i="1"/>
  <c r="R148" i="1"/>
  <c r="R113" i="1"/>
  <c r="R701" i="1"/>
  <c r="R378" i="1"/>
  <c r="R713" i="1"/>
  <c r="R567" i="1"/>
  <c r="R102" i="1"/>
  <c r="R510" i="1"/>
  <c r="R73" i="1"/>
  <c r="R372" i="1"/>
  <c r="R418" i="1"/>
  <c r="R286" i="1"/>
  <c r="R380" i="1"/>
  <c r="R675" i="1"/>
  <c r="R617" i="1"/>
  <c r="R598" i="1"/>
  <c r="R434" i="1"/>
  <c r="R37" i="1"/>
  <c r="R743" i="1"/>
  <c r="R524" i="1"/>
  <c r="R668" i="1"/>
  <c r="R207" i="1"/>
  <c r="R750" i="1"/>
  <c r="R683" i="1"/>
  <c r="R662" i="1"/>
  <c r="R169" i="1"/>
  <c r="R40" i="1"/>
  <c r="R462" i="1"/>
  <c r="R726" i="1"/>
  <c r="R187" i="1"/>
  <c r="R468" i="1"/>
  <c r="R177" i="1"/>
  <c r="R411" i="1"/>
  <c r="R13" i="1"/>
  <c r="R677" i="1"/>
  <c r="R694" i="1"/>
  <c r="R716" i="1"/>
  <c r="R262" i="1"/>
  <c r="R183" i="1"/>
  <c r="R348" i="1"/>
  <c r="R558" i="1"/>
  <c r="R194" i="1"/>
  <c r="R429" i="1"/>
  <c r="R114" i="1"/>
  <c r="R163" i="1"/>
  <c r="R250" i="1"/>
  <c r="R529" i="1"/>
  <c r="R711" i="1"/>
  <c r="R456" i="1"/>
  <c r="R492" i="1"/>
  <c r="R152" i="1"/>
  <c r="R63" i="1"/>
  <c r="R742" i="1"/>
  <c r="R625" i="1"/>
  <c r="R239" i="1"/>
  <c r="R499" i="1"/>
  <c r="R498" i="1"/>
  <c r="R81" i="1"/>
  <c r="R326" i="1"/>
  <c r="R574" i="1"/>
  <c r="R118" i="1"/>
  <c r="R311" i="1"/>
  <c r="R433" i="1"/>
  <c r="R368" i="1"/>
  <c r="R586" i="1"/>
  <c r="R258" i="1"/>
  <c r="R223" i="1"/>
  <c r="R497" i="1"/>
  <c r="R669" i="1"/>
  <c r="R107" i="1"/>
  <c r="R195" i="1"/>
  <c r="R580" i="1"/>
  <c r="R165" i="1"/>
  <c r="R404" i="1"/>
  <c r="R587" i="1"/>
  <c r="R78" i="1"/>
  <c r="R717" i="1"/>
  <c r="R546" i="1"/>
  <c r="R425" i="1"/>
  <c r="R591" i="1"/>
  <c r="R388" i="1"/>
  <c r="R199" i="1"/>
  <c r="R640" i="1"/>
  <c r="R472" i="1"/>
  <c r="R120" i="1"/>
  <c r="R639" i="1"/>
  <c r="R248" i="1"/>
  <c r="R80" i="1"/>
  <c r="R665" i="1"/>
  <c r="R528" i="1"/>
  <c r="R412" i="1"/>
  <c r="R90" i="1"/>
  <c r="R657" i="1"/>
  <c r="R322" i="1"/>
  <c r="R176" i="1"/>
  <c r="R60" i="1"/>
  <c r="R549" i="1"/>
  <c r="R402" i="1"/>
  <c r="R282" i="1"/>
  <c r="R137" i="1"/>
  <c r="R344" i="1"/>
  <c r="R253" i="1"/>
  <c r="R481" i="1"/>
  <c r="R74" i="1"/>
  <c r="R478" i="1"/>
  <c r="R346" i="1"/>
  <c r="R27" i="1"/>
  <c r="R396" i="1"/>
  <c r="R52" i="1"/>
  <c r="R332" i="1"/>
  <c r="R417" i="1"/>
  <c r="R704" i="1"/>
  <c r="R438" i="1"/>
  <c r="R489" i="1"/>
  <c r="R297" i="1"/>
  <c r="R693" i="1"/>
  <c r="R451" i="1"/>
  <c r="R230" i="1"/>
  <c r="R324" i="1"/>
  <c r="R533" i="1"/>
  <c r="R369" i="1"/>
  <c r="R389" i="1"/>
  <c r="R543" i="1"/>
  <c r="R645" i="1"/>
  <c r="R304" i="1"/>
  <c r="R168" i="1"/>
  <c r="R147" i="1"/>
  <c r="R21" i="1"/>
  <c r="R695" i="1"/>
  <c r="R15" i="1"/>
  <c r="R421" i="1"/>
  <c r="R356" i="1"/>
  <c r="R308" i="1"/>
  <c r="R257" i="1"/>
  <c r="R136" i="1"/>
  <c r="R682" i="1"/>
  <c r="R427" i="1"/>
  <c r="R461" i="1"/>
  <c r="R707" i="1"/>
  <c r="R336" i="1"/>
  <c r="R731" i="1"/>
  <c r="R343" i="1"/>
  <c r="R521" i="1"/>
  <c r="R362" i="1"/>
  <c r="R538" i="1"/>
  <c r="R330" i="1"/>
  <c r="R736" i="1"/>
  <c r="R189" i="1"/>
  <c r="R537" i="1"/>
  <c r="R735" i="1"/>
  <c r="R328" i="1"/>
  <c r="R689" i="1"/>
  <c r="R350" i="1"/>
  <c r="R706" i="1"/>
  <c r="R448" i="1"/>
  <c r="R725" i="1"/>
  <c r="R400" i="1"/>
  <c r="R636" i="1"/>
  <c r="R49" i="1"/>
  <c r="R320" i="1"/>
  <c r="R523" i="1"/>
  <c r="R201" i="1"/>
  <c r="R237" i="1"/>
  <c r="R680" i="1"/>
  <c r="R119" i="1"/>
  <c r="R440" i="1"/>
  <c r="R175" i="1"/>
  <c r="R629" i="1"/>
  <c r="R130" i="1"/>
  <c r="R106" i="1"/>
  <c r="R294" i="1"/>
  <c r="R722" i="1"/>
  <c r="R628" i="1"/>
  <c r="R140" i="1"/>
  <c r="R24" i="1"/>
  <c r="R515" i="1"/>
  <c r="R410" i="1"/>
  <c r="R68" i="1"/>
  <c r="R314" i="1"/>
  <c r="R679" i="1"/>
  <c r="R535" i="1"/>
  <c r="R79" i="1"/>
  <c r="R431" i="1"/>
  <c r="R737" i="1"/>
  <c r="R131" i="1"/>
  <c r="R101" i="1"/>
  <c r="R469" i="1"/>
  <c r="R105" i="1"/>
  <c r="R553" i="1"/>
  <c r="R36" i="1"/>
  <c r="R593" i="1"/>
  <c r="R7" i="1"/>
  <c r="R563" i="1"/>
  <c r="R613" i="1"/>
  <c r="R413" i="1"/>
  <c r="R72" i="1"/>
  <c r="R579" i="1"/>
  <c r="R363" i="1"/>
  <c r="R184" i="1"/>
  <c r="R16" i="1"/>
  <c r="R460" i="1"/>
  <c r="R275" i="1"/>
  <c r="R630" i="1"/>
  <c r="R445" i="1"/>
  <c r="R235" i="1"/>
  <c r="R55" i="1"/>
  <c r="R520" i="1"/>
  <c r="R403" i="1"/>
  <c r="R273" i="1"/>
  <c r="R649" i="1"/>
  <c r="R476" i="1"/>
  <c r="R302" i="1"/>
  <c r="R166" i="1"/>
  <c r="R50" i="1"/>
  <c r="R664" i="1"/>
  <c r="R527" i="1"/>
  <c r="R272" i="1"/>
  <c r="R126" i="1"/>
  <c r="R192" i="1"/>
  <c r="R666" i="1"/>
  <c r="R191" i="1"/>
  <c r="R453" i="1"/>
  <c r="R39" i="1"/>
  <c r="R391" i="1"/>
  <c r="R329" i="1"/>
  <c r="R741" i="1"/>
  <c r="R26" i="1"/>
  <c r="R379" i="1"/>
  <c r="R465" i="1"/>
  <c r="R34" i="1"/>
  <c r="R290" i="1"/>
  <c r="R57" i="1"/>
  <c r="R615" i="1"/>
  <c r="R124" i="1"/>
  <c r="R143" i="1"/>
  <c r="E11" i="2" l="1" a="1"/>
  <c r="E11" i="2" s="1"/>
  <c r="G11" i="2" a="1"/>
  <c r="G11" i="2" s="1"/>
  <c r="H11" i="2" a="1"/>
  <c r="H11" i="2" s="1"/>
  <c r="K11" i="2" a="1"/>
  <c r="K11" i="2" s="1"/>
  <c r="C11" i="2" a="1"/>
  <c r="C11" i="2" s="1"/>
  <c r="F11" i="2" a="1"/>
  <c r="F11" i="2" s="1"/>
  <c r="D11" i="2" a="1"/>
  <c r="D11" i="2" s="1"/>
  <c r="C17" i="3" a="1"/>
  <c r="C17" i="3" s="1"/>
  <c r="E17" i="3" s="1" a="1"/>
  <c r="E17" i="3" s="1"/>
  <c r="C28" i="3" a="1"/>
  <c r="C28" i="3" s="1"/>
  <c r="E28" i="3" s="1" a="1"/>
  <c r="E28" i="3" s="1"/>
  <c r="C5" i="3" a="1"/>
  <c r="C5" i="3" s="1"/>
  <c r="E5" i="3" s="1" a="1"/>
  <c r="E5" i="3" s="1"/>
  <c r="K6" i="2"/>
  <c r="B12" i="6" s="1"/>
  <c r="H6" i="2"/>
  <c r="B6" i="6" s="1"/>
  <c r="G6" i="2"/>
  <c r="B9" i="6" s="1"/>
  <c r="F6" i="2"/>
  <c r="E6" i="2"/>
  <c r="D6" i="2"/>
  <c r="C6" i="2"/>
  <c r="N11" i="2" l="1" a="1"/>
  <c r="N11" i="2" s="1"/>
  <c r="Q11" i="2" a="1"/>
  <c r="Q11" i="2" s="1"/>
  <c r="I11" i="2" a="1"/>
  <c r="I11" i="2" s="1"/>
  <c r="L11" i="2" a="1"/>
  <c r="L11" i="2" s="1"/>
  <c r="J11" i="2" a="1"/>
  <c r="J11" i="2" s="1"/>
  <c r="O11" i="2" a="1"/>
  <c r="O11" i="2" s="1"/>
  <c r="M11" i="2" a="1"/>
  <c r="M11" i="2" s="1"/>
  <c r="J6" i="2"/>
  <c r="B15" i="6" s="1"/>
  <c r="N6" i="2"/>
  <c r="D6" i="6" s="1"/>
  <c r="O6" i="2"/>
  <c r="M6" i="2"/>
  <c r="Q6" i="2"/>
  <c r="D9" i="6" s="1"/>
  <c r="L6" i="2"/>
  <c r="I6" i="2"/>
  <c r="B18" i="6" s="1"/>
  <c r="P11" i="2" l="1" a="1"/>
  <c r="P11" i="2" s="1"/>
  <c r="D15" i="6"/>
  <c r="P6" i="2"/>
  <c r="D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<sst xmlns="http://schemas.openxmlformats.org/spreadsheetml/2006/main" count="4303" uniqueCount="832">
  <si>
    <t>Opportunity ID</t>
  </si>
  <si>
    <t>Created Date</t>
  </si>
  <si>
    <t>Sales Rep</t>
  </si>
  <si>
    <t>Sales Team</t>
  </si>
  <si>
    <t>Lead Source</t>
  </si>
  <si>
    <t>Deal Amount</t>
  </si>
  <si>
    <t>Stage</t>
  </si>
  <si>
    <t>Close Date</t>
  </si>
  <si>
    <t>Loss Reason</t>
  </si>
  <si>
    <t>OPP-0001</t>
  </si>
  <si>
    <t>OPP-0002</t>
  </si>
  <si>
    <t>OPP-0003</t>
  </si>
  <si>
    <t>OPP-0004</t>
  </si>
  <si>
    <t>OPP-0005</t>
  </si>
  <si>
    <t>OPP-0006</t>
  </si>
  <si>
    <t>OPP-0007</t>
  </si>
  <si>
    <t>OPP-0008</t>
  </si>
  <si>
    <t>OPP-0009</t>
  </si>
  <si>
    <t>OPP-0010</t>
  </si>
  <si>
    <t>OPP-0011</t>
  </si>
  <si>
    <t>OPP-0012</t>
  </si>
  <si>
    <t>OPP-0013</t>
  </si>
  <si>
    <t>OPP-0014</t>
  </si>
  <si>
    <t>OPP-0015</t>
  </si>
  <si>
    <t>OPP-0016</t>
  </si>
  <si>
    <t>OPP-0017</t>
  </si>
  <si>
    <t>OPP-0018</t>
  </si>
  <si>
    <t>OPP-0019</t>
  </si>
  <si>
    <t>OPP-0020</t>
  </si>
  <si>
    <t>OPP-0021</t>
  </si>
  <si>
    <t>OPP-0022</t>
  </si>
  <si>
    <t>OPP-0023</t>
  </si>
  <si>
    <t>OPP-0024</t>
  </si>
  <si>
    <t>OPP-0025</t>
  </si>
  <si>
    <t>OPP-0026</t>
  </si>
  <si>
    <t>OPP-0027</t>
  </si>
  <si>
    <t>OPP-0028</t>
  </si>
  <si>
    <t>OPP-0029</t>
  </si>
  <si>
    <t>OPP-0030</t>
  </si>
  <si>
    <t>OPP-0031</t>
  </si>
  <si>
    <t>OPP-0032</t>
  </si>
  <si>
    <t>OPP-0033</t>
  </si>
  <si>
    <t>OPP-0034</t>
  </si>
  <si>
    <t>OPP-0035</t>
  </si>
  <si>
    <t>OPP-0036</t>
  </si>
  <si>
    <t>OPP-0037</t>
  </si>
  <si>
    <t>OPP-0038</t>
  </si>
  <si>
    <t>OPP-0039</t>
  </si>
  <si>
    <t>OPP-0040</t>
  </si>
  <si>
    <t>OPP-0041</t>
  </si>
  <si>
    <t>OPP-0042</t>
  </si>
  <si>
    <t>OPP-0043</t>
  </si>
  <si>
    <t>OPP-0044</t>
  </si>
  <si>
    <t>OPP-0045</t>
  </si>
  <si>
    <t>OPP-0046</t>
  </si>
  <si>
    <t>OPP-0047</t>
  </si>
  <si>
    <t>OPP-0048</t>
  </si>
  <si>
    <t>OPP-0049</t>
  </si>
  <si>
    <t>OPP-0050</t>
  </si>
  <si>
    <t>OPP-0051</t>
  </si>
  <si>
    <t>OPP-0052</t>
  </si>
  <si>
    <t>OPP-0053</t>
  </si>
  <si>
    <t>OPP-0054</t>
  </si>
  <si>
    <t>OPP-0055</t>
  </si>
  <si>
    <t>OPP-0056</t>
  </si>
  <si>
    <t>OPP-0057</t>
  </si>
  <si>
    <t>OPP-0058</t>
  </si>
  <si>
    <t>OPP-0059</t>
  </si>
  <si>
    <t>OPP-0060</t>
  </si>
  <si>
    <t>OPP-0061</t>
  </si>
  <si>
    <t>OPP-0062</t>
  </si>
  <si>
    <t>OPP-0063</t>
  </si>
  <si>
    <t>OPP-0064</t>
  </si>
  <si>
    <t>OPP-0065</t>
  </si>
  <si>
    <t>OPP-0066</t>
  </si>
  <si>
    <t>OPP-0067</t>
  </si>
  <si>
    <t>OPP-0068</t>
  </si>
  <si>
    <t>OPP-0069</t>
  </si>
  <si>
    <t>OPP-0070</t>
  </si>
  <si>
    <t>OPP-0071</t>
  </si>
  <si>
    <t>OPP-0072</t>
  </si>
  <si>
    <t>OPP-0073</t>
  </si>
  <si>
    <t>OPP-0074</t>
  </si>
  <si>
    <t>OPP-0075</t>
  </si>
  <si>
    <t>OPP-0076</t>
  </si>
  <si>
    <t>OPP-0077</t>
  </si>
  <si>
    <t>OPP-0078</t>
  </si>
  <si>
    <t>OPP-0079</t>
  </si>
  <si>
    <t>OPP-0080</t>
  </si>
  <si>
    <t>OPP-0081</t>
  </si>
  <si>
    <t>OPP-0082</t>
  </si>
  <si>
    <t>OPP-0083</t>
  </si>
  <si>
    <t>OPP-0084</t>
  </si>
  <si>
    <t>OPP-0085</t>
  </si>
  <si>
    <t>OPP-0086</t>
  </si>
  <si>
    <t>OPP-0087</t>
  </si>
  <si>
    <t>OPP-0088</t>
  </si>
  <si>
    <t>OPP-0089</t>
  </si>
  <si>
    <t>OPP-0090</t>
  </si>
  <si>
    <t>OPP-0091</t>
  </si>
  <si>
    <t>OPP-0092</t>
  </si>
  <si>
    <t>OPP-0093</t>
  </si>
  <si>
    <t>OPP-0094</t>
  </si>
  <si>
    <t>OPP-0095</t>
  </si>
  <si>
    <t>OPP-0096</t>
  </si>
  <si>
    <t>OPP-0097</t>
  </si>
  <si>
    <t>OPP-0098</t>
  </si>
  <si>
    <t>OPP-0099</t>
  </si>
  <si>
    <t>OPP-0100</t>
  </si>
  <si>
    <t>OPP-0101</t>
  </si>
  <si>
    <t>OPP-0102</t>
  </si>
  <si>
    <t>OPP-0103</t>
  </si>
  <si>
    <t>OPP-0104</t>
  </si>
  <si>
    <t>OPP-0105</t>
  </si>
  <si>
    <t>OPP-0106</t>
  </si>
  <si>
    <t>OPP-0107</t>
  </si>
  <si>
    <t>OPP-0108</t>
  </si>
  <si>
    <t>OPP-0109</t>
  </si>
  <si>
    <t>OPP-0110</t>
  </si>
  <si>
    <t>OPP-0111</t>
  </si>
  <si>
    <t>OPP-0112</t>
  </si>
  <si>
    <t>OPP-0113</t>
  </si>
  <si>
    <t>OPP-0114</t>
  </si>
  <si>
    <t>OPP-0115</t>
  </si>
  <si>
    <t>OPP-0116</t>
  </si>
  <si>
    <t>OPP-0117</t>
  </si>
  <si>
    <t>OPP-0118</t>
  </si>
  <si>
    <t>OPP-0119</t>
  </si>
  <si>
    <t>OPP-0120</t>
  </si>
  <si>
    <t>OPP-0121</t>
  </si>
  <si>
    <t>OPP-0122</t>
  </si>
  <si>
    <t>OPP-0123</t>
  </si>
  <si>
    <t>OPP-0124</t>
  </si>
  <si>
    <t>OPP-0125</t>
  </si>
  <si>
    <t>OPP-0126</t>
  </si>
  <si>
    <t>OPP-0127</t>
  </si>
  <si>
    <t>OPP-0128</t>
  </si>
  <si>
    <t>OPP-0129</t>
  </si>
  <si>
    <t>OPP-0130</t>
  </si>
  <si>
    <t>OPP-0131</t>
  </si>
  <si>
    <t>OPP-0132</t>
  </si>
  <si>
    <t>OPP-0133</t>
  </si>
  <si>
    <t>OPP-0134</t>
  </si>
  <si>
    <t>OPP-0135</t>
  </si>
  <si>
    <t>OPP-0136</t>
  </si>
  <si>
    <t>OPP-0137</t>
  </si>
  <si>
    <t>OPP-0138</t>
  </si>
  <si>
    <t>OPP-0139</t>
  </si>
  <si>
    <t>OPP-0140</t>
  </si>
  <si>
    <t>OPP-0141</t>
  </si>
  <si>
    <t>OPP-0142</t>
  </si>
  <si>
    <t>OPP-0143</t>
  </si>
  <si>
    <t>OPP-0144</t>
  </si>
  <si>
    <t>OPP-0145</t>
  </si>
  <si>
    <t>OPP-0146</t>
  </si>
  <si>
    <t>OPP-0147</t>
  </si>
  <si>
    <t>OPP-0148</t>
  </si>
  <si>
    <t>OPP-0149</t>
  </si>
  <si>
    <t>OPP-0150</t>
  </si>
  <si>
    <t>OPP-0151</t>
  </si>
  <si>
    <t>OPP-0152</t>
  </si>
  <si>
    <t>OPP-0153</t>
  </si>
  <si>
    <t>OPP-0154</t>
  </si>
  <si>
    <t>OPP-0155</t>
  </si>
  <si>
    <t>OPP-0156</t>
  </si>
  <si>
    <t>OPP-0157</t>
  </si>
  <si>
    <t>OPP-0158</t>
  </si>
  <si>
    <t>OPP-0159</t>
  </si>
  <si>
    <t>OPP-0160</t>
  </si>
  <si>
    <t>OPP-0161</t>
  </si>
  <si>
    <t>OPP-0162</t>
  </si>
  <si>
    <t>OPP-0163</t>
  </si>
  <si>
    <t>OPP-0164</t>
  </si>
  <si>
    <t>OPP-0165</t>
  </si>
  <si>
    <t>OPP-0166</t>
  </si>
  <si>
    <t>OPP-0167</t>
  </si>
  <si>
    <t>OPP-0168</t>
  </si>
  <si>
    <t>OPP-0169</t>
  </si>
  <si>
    <t>OPP-0170</t>
  </si>
  <si>
    <t>OPP-0171</t>
  </si>
  <si>
    <t>OPP-0172</t>
  </si>
  <si>
    <t>OPP-0173</t>
  </si>
  <si>
    <t>OPP-0174</t>
  </si>
  <si>
    <t>OPP-0175</t>
  </si>
  <si>
    <t>OPP-0176</t>
  </si>
  <si>
    <t>OPP-0177</t>
  </si>
  <si>
    <t>OPP-0178</t>
  </si>
  <si>
    <t>OPP-0179</t>
  </si>
  <si>
    <t>OPP-0180</t>
  </si>
  <si>
    <t>OPP-0181</t>
  </si>
  <si>
    <t>OPP-0182</t>
  </si>
  <si>
    <t>OPP-0183</t>
  </si>
  <si>
    <t>OPP-0184</t>
  </si>
  <si>
    <t>OPP-0185</t>
  </si>
  <si>
    <t>OPP-0186</t>
  </si>
  <si>
    <t>OPP-0187</t>
  </si>
  <si>
    <t>OPP-0188</t>
  </si>
  <si>
    <t>OPP-0189</t>
  </si>
  <si>
    <t>OPP-0190</t>
  </si>
  <si>
    <t>OPP-0191</t>
  </si>
  <si>
    <t>OPP-0192</t>
  </si>
  <si>
    <t>OPP-0193</t>
  </si>
  <si>
    <t>OPP-0194</t>
  </si>
  <si>
    <t>OPP-0195</t>
  </si>
  <si>
    <t>OPP-0196</t>
  </si>
  <si>
    <t>OPP-0197</t>
  </si>
  <si>
    <t>OPP-0198</t>
  </si>
  <si>
    <t>OPP-0199</t>
  </si>
  <si>
    <t>OPP-0200</t>
  </si>
  <si>
    <t>OPP-0201</t>
  </si>
  <si>
    <t>OPP-0202</t>
  </si>
  <si>
    <t>OPP-0203</t>
  </si>
  <si>
    <t>OPP-0204</t>
  </si>
  <si>
    <t>OPP-0205</t>
  </si>
  <si>
    <t>OPP-0206</t>
  </si>
  <si>
    <t>OPP-0207</t>
  </si>
  <si>
    <t>OPP-0208</t>
  </si>
  <si>
    <t>OPP-0209</t>
  </si>
  <si>
    <t>OPP-0210</t>
  </si>
  <si>
    <t>OPP-0211</t>
  </si>
  <si>
    <t>OPP-0212</t>
  </si>
  <si>
    <t>OPP-0213</t>
  </si>
  <si>
    <t>OPP-0214</t>
  </si>
  <si>
    <t>OPP-0215</t>
  </si>
  <si>
    <t>OPP-0216</t>
  </si>
  <si>
    <t>OPP-0217</t>
  </si>
  <si>
    <t>OPP-0218</t>
  </si>
  <si>
    <t>OPP-0219</t>
  </si>
  <si>
    <t>OPP-0220</t>
  </si>
  <si>
    <t>OPP-0221</t>
  </si>
  <si>
    <t>OPP-0222</t>
  </si>
  <si>
    <t>OPP-0223</t>
  </si>
  <si>
    <t>OPP-0224</t>
  </si>
  <si>
    <t>OPP-0225</t>
  </si>
  <si>
    <t>OPP-0226</t>
  </si>
  <si>
    <t>OPP-0227</t>
  </si>
  <si>
    <t>OPP-0228</t>
  </si>
  <si>
    <t>OPP-0229</t>
  </si>
  <si>
    <t>OPP-0230</t>
  </si>
  <si>
    <t>OPP-0231</t>
  </si>
  <si>
    <t>OPP-0232</t>
  </si>
  <si>
    <t>OPP-0233</t>
  </si>
  <si>
    <t>OPP-0234</t>
  </si>
  <si>
    <t>OPP-0235</t>
  </si>
  <si>
    <t>OPP-0236</t>
  </si>
  <si>
    <t>OPP-0237</t>
  </si>
  <si>
    <t>OPP-0238</t>
  </si>
  <si>
    <t>OPP-0239</t>
  </si>
  <si>
    <t>OPP-0240</t>
  </si>
  <si>
    <t>OPP-0241</t>
  </si>
  <si>
    <t>OPP-0242</t>
  </si>
  <si>
    <t>OPP-0243</t>
  </si>
  <si>
    <t>OPP-0244</t>
  </si>
  <si>
    <t>OPP-0245</t>
  </si>
  <si>
    <t>OPP-0246</t>
  </si>
  <si>
    <t>OPP-0247</t>
  </si>
  <si>
    <t>OPP-0248</t>
  </si>
  <si>
    <t>OPP-0249</t>
  </si>
  <si>
    <t>OPP-0250</t>
  </si>
  <si>
    <t>OPP-0251</t>
  </si>
  <si>
    <t>OPP-0252</t>
  </si>
  <si>
    <t>OPP-0253</t>
  </si>
  <si>
    <t>OPP-0254</t>
  </si>
  <si>
    <t>OPP-0255</t>
  </si>
  <si>
    <t>OPP-0256</t>
  </si>
  <si>
    <t>OPP-0257</t>
  </si>
  <si>
    <t>OPP-0258</t>
  </si>
  <si>
    <t>OPP-0259</t>
  </si>
  <si>
    <t>OPP-0260</t>
  </si>
  <si>
    <t>OPP-0261</t>
  </si>
  <si>
    <t>OPP-0262</t>
  </si>
  <si>
    <t>OPP-0263</t>
  </si>
  <si>
    <t>OPP-0264</t>
  </si>
  <si>
    <t>OPP-0265</t>
  </si>
  <si>
    <t>OPP-0266</t>
  </si>
  <si>
    <t>OPP-0267</t>
  </si>
  <si>
    <t>OPP-0268</t>
  </si>
  <si>
    <t>OPP-0269</t>
  </si>
  <si>
    <t>OPP-0270</t>
  </si>
  <si>
    <t>OPP-0271</t>
  </si>
  <si>
    <t>OPP-0272</t>
  </si>
  <si>
    <t>OPP-0273</t>
  </si>
  <si>
    <t>OPP-0274</t>
  </si>
  <si>
    <t>OPP-0275</t>
  </si>
  <si>
    <t>OPP-0276</t>
  </si>
  <si>
    <t>OPP-0277</t>
  </si>
  <si>
    <t>OPP-0278</t>
  </si>
  <si>
    <t>OPP-0279</t>
  </si>
  <si>
    <t>OPP-0280</t>
  </si>
  <si>
    <t>OPP-0281</t>
  </si>
  <si>
    <t>OPP-0282</t>
  </si>
  <si>
    <t>OPP-0283</t>
  </si>
  <si>
    <t>OPP-0284</t>
  </si>
  <si>
    <t>OPP-0285</t>
  </si>
  <si>
    <t>OPP-0286</t>
  </si>
  <si>
    <t>OPP-0287</t>
  </si>
  <si>
    <t>OPP-0288</t>
  </si>
  <si>
    <t>OPP-0289</t>
  </si>
  <si>
    <t>OPP-0290</t>
  </si>
  <si>
    <t>OPP-0291</t>
  </si>
  <si>
    <t>OPP-0292</t>
  </si>
  <si>
    <t>OPP-0293</t>
  </si>
  <si>
    <t>OPP-0294</t>
  </si>
  <si>
    <t>OPP-0295</t>
  </si>
  <si>
    <t>OPP-0296</t>
  </si>
  <si>
    <t>OPP-0297</t>
  </si>
  <si>
    <t>OPP-0298</t>
  </si>
  <si>
    <t>OPP-0299</t>
  </si>
  <si>
    <t>OPP-0300</t>
  </si>
  <si>
    <t>OPP-0301</t>
  </si>
  <si>
    <t>OPP-0302</t>
  </si>
  <si>
    <t>OPP-0303</t>
  </si>
  <si>
    <t>OPP-0304</t>
  </si>
  <si>
    <t>OPP-0305</t>
  </si>
  <si>
    <t>OPP-0306</t>
  </si>
  <si>
    <t>OPP-0307</t>
  </si>
  <si>
    <t>OPP-0308</t>
  </si>
  <si>
    <t>OPP-0309</t>
  </si>
  <si>
    <t>OPP-0310</t>
  </si>
  <si>
    <t>OPP-0311</t>
  </si>
  <si>
    <t>OPP-0312</t>
  </si>
  <si>
    <t>OPP-0313</t>
  </si>
  <si>
    <t>OPP-0314</t>
  </si>
  <si>
    <t>OPP-0315</t>
  </si>
  <si>
    <t>OPP-0316</t>
  </si>
  <si>
    <t>OPP-0317</t>
  </si>
  <si>
    <t>OPP-0318</t>
  </si>
  <si>
    <t>OPP-0319</t>
  </si>
  <si>
    <t>OPP-0320</t>
  </si>
  <si>
    <t>OPP-0321</t>
  </si>
  <si>
    <t>OPP-0322</t>
  </si>
  <si>
    <t>OPP-0323</t>
  </si>
  <si>
    <t>OPP-0324</t>
  </si>
  <si>
    <t>OPP-0325</t>
  </si>
  <si>
    <t>OPP-0326</t>
  </si>
  <si>
    <t>OPP-0327</t>
  </si>
  <si>
    <t>OPP-0328</t>
  </si>
  <si>
    <t>OPP-0329</t>
  </si>
  <si>
    <t>OPP-0330</t>
  </si>
  <si>
    <t>OPP-0331</t>
  </si>
  <si>
    <t>OPP-0332</t>
  </si>
  <si>
    <t>OPP-0333</t>
  </si>
  <si>
    <t>OPP-0334</t>
  </si>
  <si>
    <t>OPP-0335</t>
  </si>
  <si>
    <t>OPP-0336</t>
  </si>
  <si>
    <t>OPP-0337</t>
  </si>
  <si>
    <t>OPP-0338</t>
  </si>
  <si>
    <t>OPP-0339</t>
  </si>
  <si>
    <t>OPP-0340</t>
  </si>
  <si>
    <t>OPP-0341</t>
  </si>
  <si>
    <t>OPP-0342</t>
  </si>
  <si>
    <t>OPP-0343</t>
  </si>
  <si>
    <t>OPP-0344</t>
  </si>
  <si>
    <t>OPP-0345</t>
  </si>
  <si>
    <t>OPP-0346</t>
  </si>
  <si>
    <t>OPP-0347</t>
  </si>
  <si>
    <t>OPP-0348</t>
  </si>
  <si>
    <t>OPP-0349</t>
  </si>
  <si>
    <t>OPP-0350</t>
  </si>
  <si>
    <t>OPP-0351</t>
  </si>
  <si>
    <t>OPP-0352</t>
  </si>
  <si>
    <t>OPP-0353</t>
  </si>
  <si>
    <t>OPP-0354</t>
  </si>
  <si>
    <t>OPP-0355</t>
  </si>
  <si>
    <t>OPP-0356</t>
  </si>
  <si>
    <t>OPP-0357</t>
  </si>
  <si>
    <t>OPP-0358</t>
  </si>
  <si>
    <t>OPP-0359</t>
  </si>
  <si>
    <t>OPP-0360</t>
  </si>
  <si>
    <t>OPP-0361</t>
  </si>
  <si>
    <t>OPP-0362</t>
  </si>
  <si>
    <t>OPP-0363</t>
  </si>
  <si>
    <t>OPP-0364</t>
  </si>
  <si>
    <t>OPP-0365</t>
  </si>
  <si>
    <t>OPP-0366</t>
  </si>
  <si>
    <t>OPP-0367</t>
  </si>
  <si>
    <t>OPP-0368</t>
  </si>
  <si>
    <t>OPP-0369</t>
  </si>
  <si>
    <t>OPP-0370</t>
  </si>
  <si>
    <t>OPP-0371</t>
  </si>
  <si>
    <t>OPP-0372</t>
  </si>
  <si>
    <t>OPP-0373</t>
  </si>
  <si>
    <t>OPP-0374</t>
  </si>
  <si>
    <t>OPP-0375</t>
  </si>
  <si>
    <t>OPP-0376</t>
  </si>
  <si>
    <t>OPP-0377</t>
  </si>
  <si>
    <t>OPP-0378</t>
  </si>
  <si>
    <t>OPP-0379</t>
  </si>
  <si>
    <t>OPP-0380</t>
  </si>
  <si>
    <t>OPP-0381</t>
  </si>
  <si>
    <t>OPP-0382</t>
  </si>
  <si>
    <t>OPP-0383</t>
  </si>
  <si>
    <t>OPP-0384</t>
  </si>
  <si>
    <t>OPP-0385</t>
  </si>
  <si>
    <t>OPP-0386</t>
  </si>
  <si>
    <t>OPP-0387</t>
  </si>
  <si>
    <t>OPP-0388</t>
  </si>
  <si>
    <t>OPP-0389</t>
  </si>
  <si>
    <t>OPP-0390</t>
  </si>
  <si>
    <t>OPP-0391</t>
  </si>
  <si>
    <t>OPP-0392</t>
  </si>
  <si>
    <t>OPP-0393</t>
  </si>
  <si>
    <t>OPP-0394</t>
  </si>
  <si>
    <t>OPP-0395</t>
  </si>
  <si>
    <t>OPP-0396</t>
  </si>
  <si>
    <t>OPP-0397</t>
  </si>
  <si>
    <t>OPP-0398</t>
  </si>
  <si>
    <t>OPP-0399</t>
  </si>
  <si>
    <t>OPP-0400</t>
  </si>
  <si>
    <t>OPP-0401</t>
  </si>
  <si>
    <t>OPP-0402</t>
  </si>
  <si>
    <t>OPP-0403</t>
  </si>
  <si>
    <t>OPP-0404</t>
  </si>
  <si>
    <t>OPP-0405</t>
  </si>
  <si>
    <t>OPP-0406</t>
  </si>
  <si>
    <t>OPP-0407</t>
  </si>
  <si>
    <t>OPP-0408</t>
  </si>
  <si>
    <t>OPP-0409</t>
  </si>
  <si>
    <t>OPP-0410</t>
  </si>
  <si>
    <t>OPP-0411</t>
  </si>
  <si>
    <t>OPP-0412</t>
  </si>
  <si>
    <t>OPP-0413</t>
  </si>
  <si>
    <t>OPP-0414</t>
  </si>
  <si>
    <t>OPP-0415</t>
  </si>
  <si>
    <t>OPP-0416</t>
  </si>
  <si>
    <t>OPP-0417</t>
  </si>
  <si>
    <t>OPP-0418</t>
  </si>
  <si>
    <t>OPP-0419</t>
  </si>
  <si>
    <t>OPP-0420</t>
  </si>
  <si>
    <t>OPP-0421</t>
  </si>
  <si>
    <t>OPP-0422</t>
  </si>
  <si>
    <t>OPP-0423</t>
  </si>
  <si>
    <t>OPP-0424</t>
  </si>
  <si>
    <t>OPP-0425</t>
  </si>
  <si>
    <t>OPP-0426</t>
  </si>
  <si>
    <t>OPP-0427</t>
  </si>
  <si>
    <t>OPP-0428</t>
  </si>
  <si>
    <t>OPP-0429</t>
  </si>
  <si>
    <t>OPP-0430</t>
  </si>
  <si>
    <t>OPP-0431</t>
  </si>
  <si>
    <t>OPP-0432</t>
  </si>
  <si>
    <t>OPP-0433</t>
  </si>
  <si>
    <t>OPP-0434</t>
  </si>
  <si>
    <t>OPP-0435</t>
  </si>
  <si>
    <t>OPP-0436</t>
  </si>
  <si>
    <t>OPP-0437</t>
  </si>
  <si>
    <t>OPP-0438</t>
  </si>
  <si>
    <t>OPP-0439</t>
  </si>
  <si>
    <t>OPP-0440</t>
  </si>
  <si>
    <t>OPP-0441</t>
  </si>
  <si>
    <t>OPP-0442</t>
  </si>
  <si>
    <t>OPP-0443</t>
  </si>
  <si>
    <t>OPP-0444</t>
  </si>
  <si>
    <t>OPP-0445</t>
  </si>
  <si>
    <t>OPP-0446</t>
  </si>
  <si>
    <t>OPP-0447</t>
  </si>
  <si>
    <t>OPP-0448</t>
  </si>
  <si>
    <t>OPP-0449</t>
  </si>
  <si>
    <t>OPP-0450</t>
  </si>
  <si>
    <t>OPP-0451</t>
  </si>
  <si>
    <t>OPP-0452</t>
  </si>
  <si>
    <t>OPP-0453</t>
  </si>
  <si>
    <t>OPP-0454</t>
  </si>
  <si>
    <t>OPP-0455</t>
  </si>
  <si>
    <t>OPP-0456</t>
  </si>
  <si>
    <t>OPP-0457</t>
  </si>
  <si>
    <t>OPP-0458</t>
  </si>
  <si>
    <t>OPP-0459</t>
  </si>
  <si>
    <t>OPP-0460</t>
  </si>
  <si>
    <t>OPP-0461</t>
  </si>
  <si>
    <t>OPP-0462</t>
  </si>
  <si>
    <t>OPP-0463</t>
  </si>
  <si>
    <t>OPP-0464</t>
  </si>
  <si>
    <t>OPP-0465</t>
  </si>
  <si>
    <t>OPP-0466</t>
  </si>
  <si>
    <t>OPP-0467</t>
  </si>
  <si>
    <t>OPP-0468</t>
  </si>
  <si>
    <t>OPP-0469</t>
  </si>
  <si>
    <t>OPP-0470</t>
  </si>
  <si>
    <t>OPP-0471</t>
  </si>
  <si>
    <t>OPP-0472</t>
  </si>
  <si>
    <t>OPP-0473</t>
  </si>
  <si>
    <t>OPP-0474</t>
  </si>
  <si>
    <t>OPP-0475</t>
  </si>
  <si>
    <t>OPP-0476</t>
  </si>
  <si>
    <t>OPP-0477</t>
  </si>
  <si>
    <t>OPP-0478</t>
  </si>
  <si>
    <t>OPP-0479</t>
  </si>
  <si>
    <t>OPP-0480</t>
  </si>
  <si>
    <t>OPP-0481</t>
  </si>
  <si>
    <t>OPP-0482</t>
  </si>
  <si>
    <t>OPP-0483</t>
  </si>
  <si>
    <t>OPP-0484</t>
  </si>
  <si>
    <t>OPP-0485</t>
  </si>
  <si>
    <t>OPP-0486</t>
  </si>
  <si>
    <t>OPP-0487</t>
  </si>
  <si>
    <t>OPP-0488</t>
  </si>
  <si>
    <t>OPP-0489</t>
  </si>
  <si>
    <t>OPP-0490</t>
  </si>
  <si>
    <t>OPP-0491</t>
  </si>
  <si>
    <t>OPP-0492</t>
  </si>
  <si>
    <t>OPP-0493</t>
  </si>
  <si>
    <t>OPP-0494</t>
  </si>
  <si>
    <t>OPP-0495</t>
  </si>
  <si>
    <t>OPP-0496</t>
  </si>
  <si>
    <t>OPP-0497</t>
  </si>
  <si>
    <t>OPP-0498</t>
  </si>
  <si>
    <t>OPP-0499</t>
  </si>
  <si>
    <t>OPP-0500</t>
  </si>
  <si>
    <t>OPP-0501</t>
  </si>
  <si>
    <t>OPP-0502</t>
  </si>
  <si>
    <t>OPP-0503</t>
  </si>
  <si>
    <t>OPP-0504</t>
  </si>
  <si>
    <t>OPP-0505</t>
  </si>
  <si>
    <t>OPP-0506</t>
  </si>
  <si>
    <t>OPP-0507</t>
  </si>
  <si>
    <t>OPP-0508</t>
  </si>
  <si>
    <t>OPP-0509</t>
  </si>
  <si>
    <t>OPP-0510</t>
  </si>
  <si>
    <t>OPP-0511</t>
  </si>
  <si>
    <t>OPP-0512</t>
  </si>
  <si>
    <t>OPP-0513</t>
  </si>
  <si>
    <t>OPP-0514</t>
  </si>
  <si>
    <t>OPP-0515</t>
  </si>
  <si>
    <t>OPP-0516</t>
  </si>
  <si>
    <t>OPP-0517</t>
  </si>
  <si>
    <t>OPP-0518</t>
  </si>
  <si>
    <t>OPP-0519</t>
  </si>
  <si>
    <t>OPP-0520</t>
  </si>
  <si>
    <t>OPP-0521</t>
  </si>
  <si>
    <t>OPP-0522</t>
  </si>
  <si>
    <t>OPP-0523</t>
  </si>
  <si>
    <t>OPP-0524</t>
  </si>
  <si>
    <t>OPP-0525</t>
  </si>
  <si>
    <t>OPP-0526</t>
  </si>
  <si>
    <t>OPP-0527</t>
  </si>
  <si>
    <t>OPP-0528</t>
  </si>
  <si>
    <t>OPP-0529</t>
  </si>
  <si>
    <t>OPP-0530</t>
  </si>
  <si>
    <t>OPP-0531</t>
  </si>
  <si>
    <t>OPP-0532</t>
  </si>
  <si>
    <t>OPP-0533</t>
  </si>
  <si>
    <t>OPP-0534</t>
  </si>
  <si>
    <t>OPP-0535</t>
  </si>
  <si>
    <t>OPP-0536</t>
  </si>
  <si>
    <t>OPP-0537</t>
  </si>
  <si>
    <t>OPP-0538</t>
  </si>
  <si>
    <t>OPP-0539</t>
  </si>
  <si>
    <t>OPP-0540</t>
  </si>
  <si>
    <t>OPP-0541</t>
  </si>
  <si>
    <t>OPP-0542</t>
  </si>
  <si>
    <t>OPP-0543</t>
  </si>
  <si>
    <t>OPP-0544</t>
  </si>
  <si>
    <t>OPP-0545</t>
  </si>
  <si>
    <t>OPP-0546</t>
  </si>
  <si>
    <t>OPP-0547</t>
  </si>
  <si>
    <t>OPP-0548</t>
  </si>
  <si>
    <t>OPP-0549</t>
  </si>
  <si>
    <t>OPP-0550</t>
  </si>
  <si>
    <t>OPP-0551</t>
  </si>
  <si>
    <t>OPP-0552</t>
  </si>
  <si>
    <t>OPP-0553</t>
  </si>
  <si>
    <t>OPP-0554</t>
  </si>
  <si>
    <t>OPP-0555</t>
  </si>
  <si>
    <t>OPP-0556</t>
  </si>
  <si>
    <t>OPP-0557</t>
  </si>
  <si>
    <t>OPP-0558</t>
  </si>
  <si>
    <t>OPP-0559</t>
  </si>
  <si>
    <t>OPP-0560</t>
  </si>
  <si>
    <t>OPP-0561</t>
  </si>
  <si>
    <t>OPP-0562</t>
  </si>
  <si>
    <t>OPP-0563</t>
  </si>
  <si>
    <t>OPP-0564</t>
  </si>
  <si>
    <t>OPP-0565</t>
  </si>
  <si>
    <t>OPP-0566</t>
  </si>
  <si>
    <t>OPP-0567</t>
  </si>
  <si>
    <t>OPP-0568</t>
  </si>
  <si>
    <t>OPP-0569</t>
  </si>
  <si>
    <t>OPP-0570</t>
  </si>
  <si>
    <t>OPP-0571</t>
  </si>
  <si>
    <t>OPP-0572</t>
  </si>
  <si>
    <t>OPP-0573</t>
  </si>
  <si>
    <t>OPP-0574</t>
  </si>
  <si>
    <t>OPP-0575</t>
  </si>
  <si>
    <t>OPP-0576</t>
  </si>
  <si>
    <t>OPP-0577</t>
  </si>
  <si>
    <t>OPP-0578</t>
  </si>
  <si>
    <t>OPP-0579</t>
  </si>
  <si>
    <t>OPP-0580</t>
  </si>
  <si>
    <t>OPP-0581</t>
  </si>
  <si>
    <t>OPP-0582</t>
  </si>
  <si>
    <t>OPP-0583</t>
  </si>
  <si>
    <t>OPP-0584</t>
  </si>
  <si>
    <t>OPP-0585</t>
  </si>
  <si>
    <t>OPP-0586</t>
  </si>
  <si>
    <t>OPP-0587</t>
  </si>
  <si>
    <t>OPP-0588</t>
  </si>
  <si>
    <t>OPP-0589</t>
  </si>
  <si>
    <t>OPP-0590</t>
  </si>
  <si>
    <t>OPP-0591</t>
  </si>
  <si>
    <t>OPP-0592</t>
  </si>
  <si>
    <t>OPP-0593</t>
  </si>
  <si>
    <t>OPP-0594</t>
  </si>
  <si>
    <t>OPP-0595</t>
  </si>
  <si>
    <t>OPP-0596</t>
  </si>
  <si>
    <t>OPP-0597</t>
  </si>
  <si>
    <t>OPP-0598</t>
  </si>
  <si>
    <t>OPP-0599</t>
  </si>
  <si>
    <t>OPP-0600</t>
  </si>
  <si>
    <t>OPP-0601</t>
  </si>
  <si>
    <t>OPP-0602</t>
  </si>
  <si>
    <t>OPP-0603</t>
  </si>
  <si>
    <t>OPP-0604</t>
  </si>
  <si>
    <t>OPP-0605</t>
  </si>
  <si>
    <t>OPP-0606</t>
  </si>
  <si>
    <t>OPP-0607</t>
  </si>
  <si>
    <t>OPP-0608</t>
  </si>
  <si>
    <t>OPP-0609</t>
  </si>
  <si>
    <t>OPP-0610</t>
  </si>
  <si>
    <t>OPP-0611</t>
  </si>
  <si>
    <t>OPP-0612</t>
  </si>
  <si>
    <t>OPP-0613</t>
  </si>
  <si>
    <t>OPP-0614</t>
  </si>
  <si>
    <t>OPP-0615</t>
  </si>
  <si>
    <t>OPP-0616</t>
  </si>
  <si>
    <t>OPP-0617</t>
  </si>
  <si>
    <t>OPP-0618</t>
  </si>
  <si>
    <t>OPP-0619</t>
  </si>
  <si>
    <t>OPP-0620</t>
  </si>
  <si>
    <t>OPP-0621</t>
  </si>
  <si>
    <t>OPP-0622</t>
  </si>
  <si>
    <t>OPP-0623</t>
  </si>
  <si>
    <t>OPP-0624</t>
  </si>
  <si>
    <t>OPP-0625</t>
  </si>
  <si>
    <t>OPP-0626</t>
  </si>
  <si>
    <t>OPP-0627</t>
  </si>
  <si>
    <t>OPP-0628</t>
  </si>
  <si>
    <t>OPP-0629</t>
  </si>
  <si>
    <t>OPP-0630</t>
  </si>
  <si>
    <t>OPP-0631</t>
  </si>
  <si>
    <t>OPP-0632</t>
  </si>
  <si>
    <t>OPP-0633</t>
  </si>
  <si>
    <t>OPP-0634</t>
  </si>
  <si>
    <t>OPP-0635</t>
  </si>
  <si>
    <t>OPP-0636</t>
  </si>
  <si>
    <t>OPP-0637</t>
  </si>
  <si>
    <t>OPP-0638</t>
  </si>
  <si>
    <t>OPP-0639</t>
  </si>
  <si>
    <t>OPP-0640</t>
  </si>
  <si>
    <t>OPP-0641</t>
  </si>
  <si>
    <t>OPP-0642</t>
  </si>
  <si>
    <t>OPP-0643</t>
  </si>
  <si>
    <t>OPP-0644</t>
  </si>
  <si>
    <t>OPP-0645</t>
  </si>
  <si>
    <t>OPP-0646</t>
  </si>
  <si>
    <t>OPP-0647</t>
  </si>
  <si>
    <t>OPP-0648</t>
  </si>
  <si>
    <t>OPP-0649</t>
  </si>
  <si>
    <t>OPP-0650</t>
  </si>
  <si>
    <t>OPP-0651</t>
  </si>
  <si>
    <t>OPP-0652</t>
  </si>
  <si>
    <t>OPP-0653</t>
  </si>
  <si>
    <t>OPP-0654</t>
  </si>
  <si>
    <t>OPP-0655</t>
  </si>
  <si>
    <t>OPP-0656</t>
  </si>
  <si>
    <t>OPP-0657</t>
  </si>
  <si>
    <t>OPP-0658</t>
  </si>
  <si>
    <t>OPP-0659</t>
  </si>
  <si>
    <t>OPP-0660</t>
  </si>
  <si>
    <t>OPP-0661</t>
  </si>
  <si>
    <t>OPP-0662</t>
  </si>
  <si>
    <t>OPP-0663</t>
  </si>
  <si>
    <t>OPP-0664</t>
  </si>
  <si>
    <t>OPP-0665</t>
  </si>
  <si>
    <t>OPP-0666</t>
  </si>
  <si>
    <t>OPP-0667</t>
  </si>
  <si>
    <t>OPP-0668</t>
  </si>
  <si>
    <t>OPP-0669</t>
  </si>
  <si>
    <t>OPP-0670</t>
  </si>
  <si>
    <t>OPP-0671</t>
  </si>
  <si>
    <t>OPP-0672</t>
  </si>
  <si>
    <t>OPP-0673</t>
  </si>
  <si>
    <t>OPP-0674</t>
  </si>
  <si>
    <t>OPP-0675</t>
  </si>
  <si>
    <t>OPP-0676</t>
  </si>
  <si>
    <t>OPP-0677</t>
  </si>
  <si>
    <t>OPP-0678</t>
  </si>
  <si>
    <t>OPP-0679</t>
  </si>
  <si>
    <t>OPP-0680</t>
  </si>
  <si>
    <t>OPP-0681</t>
  </si>
  <si>
    <t>OPP-0682</t>
  </si>
  <si>
    <t>OPP-0683</t>
  </si>
  <si>
    <t>OPP-0684</t>
  </si>
  <si>
    <t>OPP-0685</t>
  </si>
  <si>
    <t>OPP-0686</t>
  </si>
  <si>
    <t>OPP-0687</t>
  </si>
  <si>
    <t>OPP-0688</t>
  </si>
  <si>
    <t>OPP-0689</t>
  </si>
  <si>
    <t>OPP-0690</t>
  </si>
  <si>
    <t>OPP-0691</t>
  </si>
  <si>
    <t>OPP-0692</t>
  </si>
  <si>
    <t>OPP-0693</t>
  </si>
  <si>
    <t>OPP-0694</t>
  </si>
  <si>
    <t>OPP-0695</t>
  </si>
  <si>
    <t>OPP-0696</t>
  </si>
  <si>
    <t>OPP-0697</t>
  </si>
  <si>
    <t>OPP-0698</t>
  </si>
  <si>
    <t>OPP-0699</t>
  </si>
  <si>
    <t>OPP-0700</t>
  </si>
  <si>
    <t>OPP-0701</t>
  </si>
  <si>
    <t>OPP-0702</t>
  </si>
  <si>
    <t>OPP-0703</t>
  </si>
  <si>
    <t>OPP-0704</t>
  </si>
  <si>
    <t>OPP-0705</t>
  </si>
  <si>
    <t>OPP-0706</t>
  </si>
  <si>
    <t>OPP-0707</t>
  </si>
  <si>
    <t>OPP-0708</t>
  </si>
  <si>
    <t>OPP-0709</t>
  </si>
  <si>
    <t>OPP-0710</t>
  </si>
  <si>
    <t>OPP-0711</t>
  </si>
  <si>
    <t>OPP-0712</t>
  </si>
  <si>
    <t>OPP-0713</t>
  </si>
  <si>
    <t>OPP-0714</t>
  </si>
  <si>
    <t>OPP-0715</t>
  </si>
  <si>
    <t>OPP-0716</t>
  </si>
  <si>
    <t>OPP-0717</t>
  </si>
  <si>
    <t>OPP-0718</t>
  </si>
  <si>
    <t>OPP-0719</t>
  </si>
  <si>
    <t>OPP-0720</t>
  </si>
  <si>
    <t>OPP-0721</t>
  </si>
  <si>
    <t>OPP-0722</t>
  </si>
  <si>
    <t>OPP-0723</t>
  </si>
  <si>
    <t>OPP-0724</t>
  </si>
  <si>
    <t>OPP-0725</t>
  </si>
  <si>
    <t>OPP-0726</t>
  </si>
  <si>
    <t>OPP-0727</t>
  </si>
  <si>
    <t>OPP-0728</t>
  </si>
  <si>
    <t>OPP-0729</t>
  </si>
  <si>
    <t>OPP-0730</t>
  </si>
  <si>
    <t>OPP-0731</t>
  </si>
  <si>
    <t>OPP-0732</t>
  </si>
  <si>
    <t>OPP-0733</t>
  </si>
  <si>
    <t>OPP-0734</t>
  </si>
  <si>
    <t>OPP-0735</t>
  </si>
  <si>
    <t>OPP-0736</t>
  </si>
  <si>
    <t>OPP-0737</t>
  </si>
  <si>
    <t>OPP-0738</t>
  </si>
  <si>
    <t>OPP-0739</t>
  </si>
  <si>
    <t>OPP-0740</t>
  </si>
  <si>
    <t>OPP-0741</t>
  </si>
  <si>
    <t>OPP-0742</t>
  </si>
  <si>
    <t>OPP-0743</t>
  </si>
  <si>
    <t>OPP-0744</t>
  </si>
  <si>
    <t>OPP-0745</t>
  </si>
  <si>
    <t>OPP-0746</t>
  </si>
  <si>
    <t>OPP-0747</t>
  </si>
  <si>
    <t>OPP-0748</t>
  </si>
  <si>
    <t>OPP-0749</t>
  </si>
  <si>
    <t>OPP-0750</t>
  </si>
  <si>
    <t>David Lee</t>
  </si>
  <si>
    <t>Emma Davis</t>
  </si>
  <si>
    <t>Charlie Brown</t>
  </si>
  <si>
    <t>Alice Johnson</t>
  </si>
  <si>
    <t>Bob Smith</t>
  </si>
  <si>
    <t>Outbound</t>
  </si>
  <si>
    <t>Inbound</t>
  </si>
  <si>
    <t>Cold Outreach</t>
  </si>
  <si>
    <t>Event</t>
  </si>
  <si>
    <t>SDR</t>
  </si>
  <si>
    <t>Referral</t>
  </si>
  <si>
    <t>Inbound Marketing</t>
  </si>
  <si>
    <t>Qualification</t>
  </si>
  <si>
    <t>Negotiation</t>
  </si>
  <si>
    <t>Proposal</t>
  </si>
  <si>
    <t>Prospecting</t>
  </si>
  <si>
    <t>No Decision</t>
  </si>
  <si>
    <t>Price</t>
  </si>
  <si>
    <t>Competition</t>
  </si>
  <si>
    <t>Budget</t>
  </si>
  <si>
    <t>Timing</t>
  </si>
  <si>
    <t>Closed Won</t>
  </si>
  <si>
    <t>Closed Lost</t>
  </si>
  <si>
    <t>Calculation Engine of Measures and Metrics from Sales Data</t>
  </si>
  <si>
    <t>Measures</t>
  </si>
  <si>
    <t>Total Opps</t>
  </si>
  <si>
    <t>Total value</t>
  </si>
  <si>
    <t>Closed Opps</t>
  </si>
  <si>
    <t>Closed Value</t>
  </si>
  <si>
    <t>Won Opps</t>
  </si>
  <si>
    <t>Won Value</t>
  </si>
  <si>
    <t>Open Opps</t>
  </si>
  <si>
    <t>Open Value</t>
  </si>
  <si>
    <t>Time to close</t>
  </si>
  <si>
    <t>Open/Closed</t>
  </si>
  <si>
    <t>Time to Close</t>
  </si>
  <si>
    <t>Metrics</t>
  </si>
  <si>
    <t>Total ACV</t>
  </si>
  <si>
    <t>Closed ACV</t>
  </si>
  <si>
    <t>Won ACV</t>
  </si>
  <si>
    <t>Open ACV</t>
  </si>
  <si>
    <t>Win Rate</t>
  </si>
  <si>
    <t>Lost ACV</t>
  </si>
  <si>
    <t>Calculation Engine of Ranked Charts</t>
  </si>
  <si>
    <t>Total Bookings</t>
  </si>
  <si>
    <t>Sales Rep Rankings</t>
  </si>
  <si>
    <t>Lost reasons rank</t>
  </si>
  <si>
    <t>Count</t>
  </si>
  <si>
    <t>Lead Source Rank</t>
  </si>
  <si>
    <t>Report Parameters</t>
  </si>
  <si>
    <t>Report Date</t>
  </si>
  <si>
    <t>Lookback Months</t>
  </si>
  <si>
    <t>Teams</t>
  </si>
  <si>
    <t>Sales Reps</t>
  </si>
  <si>
    <t>Report End</t>
  </si>
  <si>
    <t>Report Start</t>
  </si>
  <si>
    <t>Lookback</t>
  </si>
  <si>
    <t>Dates</t>
  </si>
  <si>
    <t>EoM Created</t>
  </si>
  <si>
    <t>Date inc</t>
  </si>
  <si>
    <t>Team Inc</t>
  </si>
  <si>
    <t>Rep Inc</t>
  </si>
  <si>
    <t>Stage Inc</t>
  </si>
  <si>
    <t>Source Inc</t>
  </si>
  <si>
    <t>Master Inc</t>
  </si>
  <si>
    <t>Bookings</t>
  </si>
  <si>
    <t>Closed-Won Deals</t>
  </si>
  <si>
    <t>Pipeline Value</t>
  </si>
  <si>
    <t>Open Opportunities</t>
  </si>
  <si>
    <t>Pipeline ACV</t>
  </si>
  <si>
    <t>Estimate to close</t>
  </si>
  <si>
    <t>CRM Min Date</t>
  </si>
  <si>
    <t>CRM Max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</si>
</sst>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;;;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6" xfId="0" applyBorder="1"/>
    <xf numFmtId="166" fontId="5" fillId="2" borderId="0" xfId="1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9" fontId="5" fillId="2" borderId="0" xfId="0" applyNumberFormat="1" applyFont="1" applyFill="1" applyAlignment="1">
      <alignment horizontal="center"/>
    </xf>
    <xf numFmtId="0" fontId="0" fillId="0" borderId="7" xfId="0" applyBorder="1"/>
    <xf numFmtId="165" fontId="0" fillId="0" borderId="8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14" fontId="4" fillId="3" borderId="0" xfId="0" applyNumberFormat="1" applyFont="1" applyFill="1" applyAlignment="1">
      <alignment horizontal="center"/>
    </xf>
    <xf numFmtId="0" fontId="3" fillId="3" borderId="1" xfId="0" applyFont="1" applyFill="1" applyBorder="1"/>
    <xf numFmtId="0" fontId="4" fillId="3" borderId="0" xfId="0" applyFont="1" applyFill="1" applyAlignment="1">
      <alignment horizontal="centerContinuous"/>
    </xf>
    <xf numFmtId="0" fontId="4" fillId="4" borderId="0" xfId="0" applyFont="1" applyFill="1" applyAlignment="1">
      <alignment horizontal="centerContinuous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_ * #,##0_ ;_ * \-#,##0_ ;_ * &quot;-&quot;??_ ;_ @_ "/>
    </dxf>
    <dxf>
      <numFmt numFmtId="19" formatCode="dd/mm/yyyy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Bookings</a:t>
            </a:r>
            <a:r>
              <a:rPr lang="en-IN" b="1" baseline="0"/>
              <a:t> by Sales Rep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'Rank Rollup'!$F$4</c:f>
              <c:strCache>
                <c:ptCount val="1"/>
                <c:pt idx="0">
                  <c:v>Total Bookings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'Rank Rollup'!$E$5:$E$9</c:f>
              <c:strCache>
                <c:ptCount val="5"/>
                <c:pt idx="0">
                  <c:v>Emma Davis</c:v>
                </c:pt>
                <c:pt idx="1">
                  <c:v>Alice Johnson</c:v>
                </c:pt>
                <c:pt idx="2">
                  <c:v>Charlie Brown</c:v>
                </c:pt>
                <c:pt idx="3">
                  <c:v>Bob Smith</c:v>
                </c:pt>
                <c:pt idx="4">
                  <c:v>David Lee</c:v>
                </c:pt>
              </c:strCache>
            </c:strRef>
          </c:cat>
          <c:val>
            <c:numRef>
              <c:f>'Rank Rollup'!$F$5:$F$9</c:f>
              <c:numCache>
                <c:formatCode>General</c:formatCode>
                <c:ptCount val="5"/>
                <c:pt idx="0">
                  <c:v>1472300</c:v>
                </c:pt>
                <c:pt idx="1">
                  <c:v>1414500</c:v>
                </c:pt>
                <c:pt idx="2">
                  <c:v>1341400</c:v>
                </c:pt>
                <c:pt idx="3">
                  <c:v>1328100</c:v>
                </c:pt>
                <c:pt idx="4">
                  <c:v>1275800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5-426E-A648-D1383D99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1922928"/>
        <c:axId val="661927728"/>
      </c:barChart>
      <c:catAx>
        <c:axId val="661922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927728"/>
        <c:crosses val="autoZero"/>
        <c:auto val="1"/>
        <c:lblAlgn val="ctr"/>
        <c:lblOffset val="100"/>
        <c:noMultiLvlLbl val="0"/>
      </c:catAx>
      <c:valAx>
        <c:axId val="6619277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92292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Loss Reasons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'Rank Rollup'!$F$16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'Rank Rollup'!$E$17:$E$21</c:f>
              <c:strCache>
                <c:ptCount val="5"/>
                <c:pt idx="0">
                  <c:v>Price</c:v>
                </c:pt>
                <c:pt idx="1">
                  <c:v>Timing</c:v>
                </c:pt>
                <c:pt idx="2">
                  <c:v>Budget</c:v>
                </c:pt>
                <c:pt idx="3">
                  <c:v>Competition</c:v>
                </c:pt>
                <c:pt idx="4">
                  <c:v>No Decision</c:v>
                </c:pt>
              </c:strCache>
            </c:strRef>
          </c:cat>
          <c:val>
            <c:numRef>
              <c:f>'Rank Rollup'!$F$17:$F$21</c:f>
              <c:numCache>
                <c:formatCode>General</c:formatCode>
                <c:ptCount val="5"/>
                <c:pt idx="0">
                  <c:v>76</c:v>
                </c:pt>
                <c:pt idx="1">
                  <c:v>73</c:v>
                </c:pt>
                <c:pt idx="2">
                  <c:v>67</c:v>
                </c:pt>
                <c:pt idx="3">
                  <c:v>64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E-46BF-9B3B-86BFCEC00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1192544"/>
        <c:axId val="1241196864"/>
      </c:barChart>
      <c:catAx>
        <c:axId val="124119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96864"/>
        <c:crosses val="autoZero"/>
        <c:auto val="1"/>
        <c:lblAlgn val="ctr"/>
        <c:lblOffset val="100"/>
        <c:noMultiLvlLbl val="0"/>
      </c:catAx>
      <c:valAx>
        <c:axId val="12411968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9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Bookings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'Data Rollup'!$H$10</c:f>
              <c:strCache>
                <c:ptCount val="1"/>
                <c:pt idx="0">
                  <c:v>Won Value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Rollup'!$B$11:$B$34</c:f>
              <c:numCache>
                <c:formatCode>m/d/yyyy</c:formatCode>
                <c:ptCount val="24"/>
                <c:pt idx="0">
                  <c:v>45838</c:v>
                </c:pt>
                <c:pt idx="1">
                  <c:v>45808</c:v>
                </c:pt>
                <c:pt idx="2">
                  <c:v>45777</c:v>
                </c:pt>
                <c:pt idx="3">
                  <c:v>45747</c:v>
                </c:pt>
                <c:pt idx="4">
                  <c:v>45716</c:v>
                </c:pt>
                <c:pt idx="5">
                  <c:v>45688</c:v>
                </c:pt>
                <c:pt idx="6">
                  <c:v>45657</c:v>
                </c:pt>
                <c:pt idx="7">
                  <c:v>45626</c:v>
                </c:pt>
                <c:pt idx="8">
                  <c:v>45596</c:v>
                </c:pt>
                <c:pt idx="9">
                  <c:v>45565</c:v>
                </c:pt>
                <c:pt idx="10">
                  <c:v>45535</c:v>
                </c:pt>
                <c:pt idx="11">
                  <c:v>45504</c:v>
                </c:pt>
                <c:pt idx="12">
                  <c:v>45473</c:v>
                </c:pt>
                <c:pt idx="13">
                  <c:v>45443</c:v>
                </c:pt>
                <c:pt idx="14">
                  <c:v>45412</c:v>
                </c:pt>
                <c:pt idx="15">
                  <c:v>45382</c:v>
                </c:pt>
                <c:pt idx="16">
                  <c:v>45351</c:v>
                </c:pt>
                <c:pt idx="17">
                  <c:v>45322</c:v>
                </c:pt>
                <c:pt idx="18">
                  <c:v>45291</c:v>
                </c:pt>
                <c:pt idx="19">
                  <c:v>45260</c:v>
                </c:pt>
                <c:pt idx="20">
                  <c:v>45230</c:v>
                </c:pt>
                <c:pt idx="21">
                  <c:v>45199</c:v>
                </c:pt>
                <c:pt idx="22">
                  <c:v>45169</c:v>
                </c:pt>
                <c:pt idx="23">
                  <c:v>45138</c:v>
                </c:pt>
              </c:numCache>
            </c:numRef>
          </c:cat>
          <c:val>
            <c:numRef>
              <c:f>'Data Rollup'!$H$11:$H$34</c:f>
              <c:numCache>
                <c:formatCode>_ * #,##0_ ;_ * \-#,##0_ ;_ * "-"??_ ;_ @_ </c:formatCode>
                <c:ptCount val="24"/>
                <c:pt idx="0">
                  <c:v>149900</c:v>
                </c:pt>
                <c:pt idx="1">
                  <c:v>44000</c:v>
                </c:pt>
                <c:pt idx="2">
                  <c:v>115100</c:v>
                </c:pt>
                <c:pt idx="3">
                  <c:v>299100</c:v>
                </c:pt>
                <c:pt idx="4">
                  <c:v>157900</c:v>
                </c:pt>
                <c:pt idx="5">
                  <c:v>347300</c:v>
                </c:pt>
                <c:pt idx="6">
                  <c:v>409500</c:v>
                </c:pt>
                <c:pt idx="7">
                  <c:v>276000</c:v>
                </c:pt>
                <c:pt idx="8">
                  <c:v>289500</c:v>
                </c:pt>
                <c:pt idx="9">
                  <c:v>344000</c:v>
                </c:pt>
                <c:pt idx="10">
                  <c:v>304900</c:v>
                </c:pt>
                <c:pt idx="11">
                  <c:v>441600</c:v>
                </c:pt>
                <c:pt idx="12">
                  <c:v>445100</c:v>
                </c:pt>
                <c:pt idx="13">
                  <c:v>320700</c:v>
                </c:pt>
                <c:pt idx="14">
                  <c:v>365400</c:v>
                </c:pt>
                <c:pt idx="15">
                  <c:v>153500</c:v>
                </c:pt>
                <c:pt idx="16">
                  <c:v>641200</c:v>
                </c:pt>
                <c:pt idx="17">
                  <c:v>189400</c:v>
                </c:pt>
                <c:pt idx="18">
                  <c:v>155600</c:v>
                </c:pt>
                <c:pt idx="19">
                  <c:v>297500</c:v>
                </c:pt>
                <c:pt idx="20">
                  <c:v>301600</c:v>
                </c:pt>
                <c:pt idx="21">
                  <c:v>380400</c:v>
                </c:pt>
                <c:pt idx="22">
                  <c:v>217900</c:v>
                </c:pt>
                <c:pt idx="23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71-4ABB-963C-BCFA5F5CD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216544"/>
        <c:axId val="1241217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Rollup'!$C$10</c15:sqref>
                        </c15:formulaRef>
                      </c:ext>
                    </c:extLst>
                    <c:strCache>
                      <c:ptCount val="1"/>
                      <c:pt idx="0">
                        <c:v>Total Opps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Rollup'!$C$11:$C$34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28</c:v>
                      </c:pt>
                      <c:pt idx="1">
                        <c:v>20</c:v>
                      </c:pt>
                      <c:pt idx="2">
                        <c:v>36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29</c:v>
                      </c:pt>
                      <c:pt idx="6">
                        <c:v>17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28</c:v>
                      </c:pt>
                      <c:pt idx="10">
                        <c:v>23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23</c:v>
                      </c:pt>
                      <c:pt idx="14">
                        <c:v>26</c:v>
                      </c:pt>
                      <c:pt idx="15">
                        <c:v>24</c:v>
                      </c:pt>
                      <c:pt idx="16">
                        <c:v>33</c:v>
                      </c:pt>
                      <c:pt idx="17">
                        <c:v>15</c:v>
                      </c:pt>
                      <c:pt idx="18">
                        <c:v>20</c:v>
                      </c:pt>
                      <c:pt idx="19">
                        <c:v>24</c:v>
                      </c:pt>
                      <c:pt idx="20">
                        <c:v>16</c:v>
                      </c:pt>
                      <c:pt idx="21">
                        <c:v>26</c:v>
                      </c:pt>
                      <c:pt idx="22">
                        <c:v>27</c:v>
                      </c:pt>
                      <c:pt idx="23">
                        <c:v>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71-4ABB-963C-BCFA5F5CD45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Rollup'!$D$10</c15:sqref>
                        </c15:formulaRef>
                      </c:ext>
                    </c:extLst>
                    <c:strCache>
                      <c:ptCount val="1"/>
                      <c:pt idx="0">
                        <c:v>Total value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Rollup'!$D$11:$D$34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1126500</c:v>
                      </c:pt>
                      <c:pt idx="1">
                        <c:v>773400</c:v>
                      </c:pt>
                      <c:pt idx="2">
                        <c:v>1383800</c:v>
                      </c:pt>
                      <c:pt idx="3">
                        <c:v>528100</c:v>
                      </c:pt>
                      <c:pt idx="4">
                        <c:v>669700</c:v>
                      </c:pt>
                      <c:pt idx="5">
                        <c:v>1052300</c:v>
                      </c:pt>
                      <c:pt idx="6">
                        <c:v>648900</c:v>
                      </c:pt>
                      <c:pt idx="7">
                        <c:v>1017900</c:v>
                      </c:pt>
                      <c:pt idx="8">
                        <c:v>1032500</c:v>
                      </c:pt>
                      <c:pt idx="9">
                        <c:v>1107000</c:v>
                      </c:pt>
                      <c:pt idx="10">
                        <c:v>898600</c:v>
                      </c:pt>
                      <c:pt idx="11">
                        <c:v>809200</c:v>
                      </c:pt>
                      <c:pt idx="12">
                        <c:v>1248500</c:v>
                      </c:pt>
                      <c:pt idx="13">
                        <c:v>890700</c:v>
                      </c:pt>
                      <c:pt idx="14">
                        <c:v>1106100</c:v>
                      </c:pt>
                      <c:pt idx="15">
                        <c:v>920200</c:v>
                      </c:pt>
                      <c:pt idx="16">
                        <c:v>1334400</c:v>
                      </c:pt>
                      <c:pt idx="17">
                        <c:v>692800</c:v>
                      </c:pt>
                      <c:pt idx="18">
                        <c:v>791500</c:v>
                      </c:pt>
                      <c:pt idx="19">
                        <c:v>1014000</c:v>
                      </c:pt>
                      <c:pt idx="20">
                        <c:v>662400</c:v>
                      </c:pt>
                      <c:pt idx="21">
                        <c:v>1037100</c:v>
                      </c:pt>
                      <c:pt idx="22">
                        <c:v>1110900</c:v>
                      </c:pt>
                      <c:pt idx="23">
                        <c:v>825400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71-4ABB-963C-BCFA5F5CD45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Rollup'!$E$10</c15:sqref>
                        </c15:formulaRef>
                      </c:ext>
                    </c:extLst>
                    <c:strCache>
                      <c:ptCount val="1"/>
                      <c:pt idx="0">
                        <c:v>Closed Opps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Rollup'!$E$11:$E$34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9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29</c:v>
                      </c:pt>
                      <c:pt idx="6">
                        <c:v>17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28</c:v>
                      </c:pt>
                      <c:pt idx="10">
                        <c:v>23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23</c:v>
                      </c:pt>
                      <c:pt idx="14">
                        <c:v>26</c:v>
                      </c:pt>
                      <c:pt idx="15">
                        <c:v>24</c:v>
                      </c:pt>
                      <c:pt idx="16">
                        <c:v>33</c:v>
                      </c:pt>
                      <c:pt idx="17">
                        <c:v>15</c:v>
                      </c:pt>
                      <c:pt idx="18">
                        <c:v>20</c:v>
                      </c:pt>
                      <c:pt idx="19">
                        <c:v>24</c:v>
                      </c:pt>
                      <c:pt idx="20">
                        <c:v>16</c:v>
                      </c:pt>
                      <c:pt idx="21">
                        <c:v>26</c:v>
                      </c:pt>
                      <c:pt idx="22">
                        <c:v>27</c:v>
                      </c:pt>
                      <c:pt idx="23">
                        <c:v>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71-4ABB-963C-BCFA5F5CD45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Rollup'!$F$10</c15:sqref>
                        </c15:formulaRef>
                      </c:ext>
                    </c:extLst>
                    <c:strCache>
                      <c:ptCount val="1"/>
                      <c:pt idx="0">
                        <c:v>Closed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Rollup'!$F$11:$F$34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338800</c:v>
                      </c:pt>
                      <c:pt idx="1">
                        <c:v>232700</c:v>
                      </c:pt>
                      <c:pt idx="2">
                        <c:v>431400</c:v>
                      </c:pt>
                      <c:pt idx="3">
                        <c:v>528100</c:v>
                      </c:pt>
                      <c:pt idx="4">
                        <c:v>669700</c:v>
                      </c:pt>
                      <c:pt idx="5">
                        <c:v>1052300</c:v>
                      </c:pt>
                      <c:pt idx="6">
                        <c:v>648900</c:v>
                      </c:pt>
                      <c:pt idx="7">
                        <c:v>1017900</c:v>
                      </c:pt>
                      <c:pt idx="8">
                        <c:v>1032500</c:v>
                      </c:pt>
                      <c:pt idx="9">
                        <c:v>1107000</c:v>
                      </c:pt>
                      <c:pt idx="10">
                        <c:v>898600</c:v>
                      </c:pt>
                      <c:pt idx="11">
                        <c:v>809200</c:v>
                      </c:pt>
                      <c:pt idx="12">
                        <c:v>1248500</c:v>
                      </c:pt>
                      <c:pt idx="13">
                        <c:v>890700</c:v>
                      </c:pt>
                      <c:pt idx="14">
                        <c:v>1106100</c:v>
                      </c:pt>
                      <c:pt idx="15">
                        <c:v>920200</c:v>
                      </c:pt>
                      <c:pt idx="16">
                        <c:v>1334400</c:v>
                      </c:pt>
                      <c:pt idx="17">
                        <c:v>692800</c:v>
                      </c:pt>
                      <c:pt idx="18">
                        <c:v>791500</c:v>
                      </c:pt>
                      <c:pt idx="19">
                        <c:v>1014000</c:v>
                      </c:pt>
                      <c:pt idx="20">
                        <c:v>662400</c:v>
                      </c:pt>
                      <c:pt idx="21">
                        <c:v>1037100</c:v>
                      </c:pt>
                      <c:pt idx="22">
                        <c:v>1110900</c:v>
                      </c:pt>
                      <c:pt idx="23">
                        <c:v>825400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71-4ABB-963C-BCFA5F5CD45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Rollup'!$G$10</c15:sqref>
                        </c15:formulaRef>
                      </c:ext>
                    </c:extLst>
                    <c:strCache>
                      <c:ptCount val="1"/>
                      <c:pt idx="0">
                        <c:v>Won Opps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Rollup'!$G$11:$G$34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4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7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9</c:v>
                      </c:pt>
                      <c:pt idx="10">
                        <c:v>8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8</c:v>
                      </c:pt>
                      <c:pt idx="14">
                        <c:v>9</c:v>
                      </c:pt>
                      <c:pt idx="15">
                        <c:v>5</c:v>
                      </c:pt>
                      <c:pt idx="16">
                        <c:v>15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9</c:v>
                      </c:pt>
                      <c:pt idx="22">
                        <c:v>5</c:v>
                      </c:pt>
                      <c:pt idx="23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71-4ABB-963C-BCFA5F5CD45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Rollup'!$I$10</c15:sqref>
                        </c15:formulaRef>
                      </c:ext>
                    </c:extLst>
                    <c:strCache>
                      <c:ptCount val="1"/>
                      <c:pt idx="0">
                        <c:v>Open Opps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Rollup'!$I$11:$I$34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19</c:v>
                      </c:pt>
                      <c:pt idx="1">
                        <c:v>15</c:v>
                      </c:pt>
                      <c:pt idx="2">
                        <c:v>26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71-4ABB-963C-BCFA5F5CD45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Rollup'!$J$10</c15:sqref>
                        </c15:formulaRef>
                      </c:ext>
                    </c:extLst>
                    <c:strCache>
                      <c:ptCount val="1"/>
                      <c:pt idx="0">
                        <c:v>Open Value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Rollup'!$J$11:$J$34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787700</c:v>
                      </c:pt>
                      <c:pt idx="1">
                        <c:v>540700</c:v>
                      </c:pt>
                      <c:pt idx="2">
                        <c:v>952400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71-4ABB-963C-BCFA5F5CD45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Rollup'!$K$10</c15:sqref>
                        </c15:formulaRef>
                      </c:ext>
                    </c:extLst>
                    <c:strCache>
                      <c:ptCount val="1"/>
                      <c:pt idx="0">
                        <c:v>Time to close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Rollup'!$K$11:$K$34</c15:sqref>
                        </c15:formulaRef>
                      </c:ext>
                    </c:extLst>
                    <c:numCache>
                      <c:formatCode>0</c:formatCode>
                      <c:ptCount val="24"/>
                      <c:pt idx="0">
                        <c:v>72.333333333333329</c:v>
                      </c:pt>
                      <c:pt idx="1">
                        <c:v>74.599999999999994</c:v>
                      </c:pt>
                      <c:pt idx="2">
                        <c:v>74.599999999999994</c:v>
                      </c:pt>
                      <c:pt idx="3">
                        <c:v>76.083333333333329</c:v>
                      </c:pt>
                      <c:pt idx="4">
                        <c:v>74.578947368421055</c:v>
                      </c:pt>
                      <c:pt idx="5">
                        <c:v>75.068965517241381</c:v>
                      </c:pt>
                      <c:pt idx="6">
                        <c:v>76.705882352941174</c:v>
                      </c:pt>
                      <c:pt idx="7">
                        <c:v>73.769230769230774</c:v>
                      </c:pt>
                      <c:pt idx="8">
                        <c:v>74.15384615384616</c:v>
                      </c:pt>
                      <c:pt idx="9">
                        <c:v>73.714285714285708</c:v>
                      </c:pt>
                      <c:pt idx="10">
                        <c:v>78.695652173913047</c:v>
                      </c:pt>
                      <c:pt idx="11">
                        <c:v>71.80952380952381</c:v>
                      </c:pt>
                      <c:pt idx="12">
                        <c:v>71.766666666666666</c:v>
                      </c:pt>
                      <c:pt idx="13">
                        <c:v>74.217391304347828</c:v>
                      </c:pt>
                      <c:pt idx="14">
                        <c:v>74.42307692307692</c:v>
                      </c:pt>
                      <c:pt idx="15">
                        <c:v>74.958333333333329</c:v>
                      </c:pt>
                      <c:pt idx="16">
                        <c:v>73.242424242424249</c:v>
                      </c:pt>
                      <c:pt idx="17">
                        <c:v>73.266666666666666</c:v>
                      </c:pt>
                      <c:pt idx="18">
                        <c:v>75.95</c:v>
                      </c:pt>
                      <c:pt idx="19">
                        <c:v>74.833333333333329</c:v>
                      </c:pt>
                      <c:pt idx="20">
                        <c:v>74.125</c:v>
                      </c:pt>
                      <c:pt idx="21">
                        <c:v>75</c:v>
                      </c:pt>
                      <c:pt idx="22">
                        <c:v>76.925925925925924</c:v>
                      </c:pt>
                      <c:pt idx="23">
                        <c:v>75.13636363636364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71-4ABB-963C-BCFA5F5CD45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Rollup'!$L$10</c15:sqref>
                        </c15:formulaRef>
                      </c:ext>
                    </c:extLst>
                    <c:strCache>
                      <c:ptCount val="1"/>
                      <c:pt idx="0">
                        <c:v>Total ACV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Rollup'!$L$11:$L$34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40232.142857142855</c:v>
                      </c:pt>
                      <c:pt idx="1">
                        <c:v>38670</c:v>
                      </c:pt>
                      <c:pt idx="2">
                        <c:v>38438.888888888891</c:v>
                      </c:pt>
                      <c:pt idx="3">
                        <c:v>44008.333333333336</c:v>
                      </c:pt>
                      <c:pt idx="4">
                        <c:v>35247.368421052633</c:v>
                      </c:pt>
                      <c:pt idx="5">
                        <c:v>36286.206896551725</c:v>
                      </c:pt>
                      <c:pt idx="6">
                        <c:v>38170.588235294119</c:v>
                      </c:pt>
                      <c:pt idx="7">
                        <c:v>39150</c:v>
                      </c:pt>
                      <c:pt idx="8">
                        <c:v>39711.538461538461</c:v>
                      </c:pt>
                      <c:pt idx="9">
                        <c:v>39535.714285714283</c:v>
                      </c:pt>
                      <c:pt idx="10">
                        <c:v>39069.565217391304</c:v>
                      </c:pt>
                      <c:pt idx="11">
                        <c:v>38533.333333333336</c:v>
                      </c:pt>
                      <c:pt idx="12">
                        <c:v>41616.666666666664</c:v>
                      </c:pt>
                      <c:pt idx="13">
                        <c:v>38726.086956521736</c:v>
                      </c:pt>
                      <c:pt idx="14">
                        <c:v>42542.307692307695</c:v>
                      </c:pt>
                      <c:pt idx="15">
                        <c:v>38341.666666666664</c:v>
                      </c:pt>
                      <c:pt idx="16">
                        <c:v>40436.36363636364</c:v>
                      </c:pt>
                      <c:pt idx="17">
                        <c:v>46186.666666666664</c:v>
                      </c:pt>
                      <c:pt idx="18">
                        <c:v>39575</c:v>
                      </c:pt>
                      <c:pt idx="19">
                        <c:v>42250</c:v>
                      </c:pt>
                      <c:pt idx="20">
                        <c:v>41400</c:v>
                      </c:pt>
                      <c:pt idx="21">
                        <c:v>39888.461538461539</c:v>
                      </c:pt>
                      <c:pt idx="22">
                        <c:v>41144.444444444445</c:v>
                      </c:pt>
                      <c:pt idx="23">
                        <c:v>37518.181818181816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71-4ABB-963C-BCFA5F5CD45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Rollup'!$M$10</c15:sqref>
                        </c15:formulaRef>
                      </c:ext>
                    </c:extLst>
                    <c:strCache>
                      <c:ptCount val="1"/>
                      <c:pt idx="0">
                        <c:v>Closed ACV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Rollup'!$M$11:$M$34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37644.444444444445</c:v>
                      </c:pt>
                      <c:pt idx="1">
                        <c:v>46540</c:v>
                      </c:pt>
                      <c:pt idx="2">
                        <c:v>43140</c:v>
                      </c:pt>
                      <c:pt idx="3">
                        <c:v>44008.333333333336</c:v>
                      </c:pt>
                      <c:pt idx="4">
                        <c:v>35247.368421052633</c:v>
                      </c:pt>
                      <c:pt idx="5">
                        <c:v>36286.206896551725</c:v>
                      </c:pt>
                      <c:pt idx="6">
                        <c:v>38170.588235294119</c:v>
                      </c:pt>
                      <c:pt idx="7">
                        <c:v>39150</c:v>
                      </c:pt>
                      <c:pt idx="8">
                        <c:v>39711.538461538461</c:v>
                      </c:pt>
                      <c:pt idx="9">
                        <c:v>39535.714285714283</c:v>
                      </c:pt>
                      <c:pt idx="10">
                        <c:v>39069.565217391304</c:v>
                      </c:pt>
                      <c:pt idx="11">
                        <c:v>38533.333333333336</c:v>
                      </c:pt>
                      <c:pt idx="12">
                        <c:v>41616.666666666664</c:v>
                      </c:pt>
                      <c:pt idx="13">
                        <c:v>38726.086956521736</c:v>
                      </c:pt>
                      <c:pt idx="14">
                        <c:v>42542.307692307695</c:v>
                      </c:pt>
                      <c:pt idx="15">
                        <c:v>38341.666666666664</c:v>
                      </c:pt>
                      <c:pt idx="16">
                        <c:v>40436.36363636364</c:v>
                      </c:pt>
                      <c:pt idx="17">
                        <c:v>46186.666666666664</c:v>
                      </c:pt>
                      <c:pt idx="18">
                        <c:v>39575</c:v>
                      </c:pt>
                      <c:pt idx="19">
                        <c:v>42250</c:v>
                      </c:pt>
                      <c:pt idx="20">
                        <c:v>41400</c:v>
                      </c:pt>
                      <c:pt idx="21">
                        <c:v>39888.461538461539</c:v>
                      </c:pt>
                      <c:pt idx="22">
                        <c:v>41144.444444444445</c:v>
                      </c:pt>
                      <c:pt idx="23">
                        <c:v>37518.181818181816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71-4ABB-963C-BCFA5F5CD45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Rollup'!$N$10</c15:sqref>
                        </c15:formulaRef>
                      </c:ext>
                    </c:extLst>
                    <c:strCache>
                      <c:ptCount val="1"/>
                      <c:pt idx="0">
                        <c:v>Won ACV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Rollup'!$N$11:$N$34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37475</c:v>
                      </c:pt>
                      <c:pt idx="1">
                        <c:v>44000</c:v>
                      </c:pt>
                      <c:pt idx="2">
                        <c:v>57550</c:v>
                      </c:pt>
                      <c:pt idx="3">
                        <c:v>42728.571428571428</c:v>
                      </c:pt>
                      <c:pt idx="4">
                        <c:v>31580</c:v>
                      </c:pt>
                      <c:pt idx="5">
                        <c:v>38588.888888888891</c:v>
                      </c:pt>
                      <c:pt idx="6">
                        <c:v>40950</c:v>
                      </c:pt>
                      <c:pt idx="7">
                        <c:v>39428.571428571428</c:v>
                      </c:pt>
                      <c:pt idx="8">
                        <c:v>41357.142857142855</c:v>
                      </c:pt>
                      <c:pt idx="9">
                        <c:v>38222.222222222219</c:v>
                      </c:pt>
                      <c:pt idx="10">
                        <c:v>38112.5</c:v>
                      </c:pt>
                      <c:pt idx="11">
                        <c:v>40145.454545454544</c:v>
                      </c:pt>
                      <c:pt idx="12">
                        <c:v>40463.63636363636</c:v>
                      </c:pt>
                      <c:pt idx="13">
                        <c:v>40087.5</c:v>
                      </c:pt>
                      <c:pt idx="14">
                        <c:v>40600</c:v>
                      </c:pt>
                      <c:pt idx="15">
                        <c:v>30700</c:v>
                      </c:pt>
                      <c:pt idx="16">
                        <c:v>42746.666666666664</c:v>
                      </c:pt>
                      <c:pt idx="17">
                        <c:v>47350</c:v>
                      </c:pt>
                      <c:pt idx="18">
                        <c:v>38900</c:v>
                      </c:pt>
                      <c:pt idx="19">
                        <c:v>42500</c:v>
                      </c:pt>
                      <c:pt idx="20">
                        <c:v>43085.714285714283</c:v>
                      </c:pt>
                      <c:pt idx="21">
                        <c:v>42266.666666666664</c:v>
                      </c:pt>
                      <c:pt idx="22">
                        <c:v>43580</c:v>
                      </c:pt>
                      <c:pt idx="23">
                        <c:v>30833.333333333332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71-4ABB-963C-BCFA5F5CD45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Rollup'!$O$10</c15:sqref>
                        </c15:formulaRef>
                      </c:ext>
                    </c:extLst>
                    <c:strCache>
                      <c:ptCount val="1"/>
                      <c:pt idx="0">
                        <c:v>Lost ACV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Rollup'!$O$11:$O$34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37780</c:v>
                      </c:pt>
                      <c:pt idx="1">
                        <c:v>47175</c:v>
                      </c:pt>
                      <c:pt idx="2">
                        <c:v>39537.5</c:v>
                      </c:pt>
                      <c:pt idx="3">
                        <c:v>45800</c:v>
                      </c:pt>
                      <c:pt idx="4">
                        <c:v>36557.142857142855</c:v>
                      </c:pt>
                      <c:pt idx="5">
                        <c:v>35250</c:v>
                      </c:pt>
                      <c:pt idx="6">
                        <c:v>34200</c:v>
                      </c:pt>
                      <c:pt idx="7">
                        <c:v>39047.368421052633</c:v>
                      </c:pt>
                      <c:pt idx="8">
                        <c:v>39105.26315789474</c:v>
                      </c:pt>
                      <c:pt idx="9">
                        <c:v>40157.894736842107</c:v>
                      </c:pt>
                      <c:pt idx="10">
                        <c:v>39580</c:v>
                      </c:pt>
                      <c:pt idx="11">
                        <c:v>36760</c:v>
                      </c:pt>
                      <c:pt idx="12">
                        <c:v>42284.210526315786</c:v>
                      </c:pt>
                      <c:pt idx="13">
                        <c:v>38000</c:v>
                      </c:pt>
                      <c:pt idx="14">
                        <c:v>43570.588235294119</c:v>
                      </c:pt>
                      <c:pt idx="15">
                        <c:v>40352.631578947367</c:v>
                      </c:pt>
                      <c:pt idx="16">
                        <c:v>38511.111111111109</c:v>
                      </c:pt>
                      <c:pt idx="17">
                        <c:v>45763.63636363636</c:v>
                      </c:pt>
                      <c:pt idx="18">
                        <c:v>39743.75</c:v>
                      </c:pt>
                      <c:pt idx="19">
                        <c:v>42147.058823529413</c:v>
                      </c:pt>
                      <c:pt idx="20">
                        <c:v>40088.888888888891</c:v>
                      </c:pt>
                      <c:pt idx="21">
                        <c:v>38629.411764705881</c:v>
                      </c:pt>
                      <c:pt idx="22">
                        <c:v>40590.909090909088</c:v>
                      </c:pt>
                      <c:pt idx="23">
                        <c:v>40025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F71-4ABB-963C-BCFA5F5CD45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Rollup'!$P$10</c15:sqref>
                        </c15:formulaRef>
                      </c:ext>
                    </c:extLst>
                    <c:strCache>
                      <c:ptCount val="1"/>
                      <c:pt idx="0">
                        <c:v>Open ACV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Rollup'!$P$11:$P$34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41457.894736842107</c:v>
                      </c:pt>
                      <c:pt idx="1">
                        <c:v>36046.666666666664</c:v>
                      </c:pt>
                      <c:pt idx="2">
                        <c:v>36630.769230769234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F71-4ABB-963C-BCFA5F5CD45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Rollup'!$Q$10</c15:sqref>
                        </c15:formulaRef>
                      </c:ext>
                    </c:extLst>
                    <c:strCache>
                      <c:ptCount val="1"/>
                      <c:pt idx="0">
                        <c:v>Win Rate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Rollup'!$Q$11:$Q$34</c15:sqref>
                        </c15:formulaRef>
                      </c:ext>
                    </c:extLst>
                    <c:numCache>
                      <c:formatCode>0%</c:formatCode>
                      <c:ptCount val="24"/>
                      <c:pt idx="0">
                        <c:v>0.44444444444444442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0.58333333333333337</c:v>
                      </c:pt>
                      <c:pt idx="4">
                        <c:v>0.26315789473684209</c:v>
                      </c:pt>
                      <c:pt idx="5">
                        <c:v>0.31034482758620691</c:v>
                      </c:pt>
                      <c:pt idx="6">
                        <c:v>0.58823529411764708</c:v>
                      </c:pt>
                      <c:pt idx="7">
                        <c:v>0.26923076923076922</c:v>
                      </c:pt>
                      <c:pt idx="8">
                        <c:v>0.26923076923076922</c:v>
                      </c:pt>
                      <c:pt idx="9">
                        <c:v>0.32142857142857145</c:v>
                      </c:pt>
                      <c:pt idx="10">
                        <c:v>0.34782608695652173</c:v>
                      </c:pt>
                      <c:pt idx="11">
                        <c:v>0.52380952380952384</c:v>
                      </c:pt>
                      <c:pt idx="12">
                        <c:v>0.36666666666666664</c:v>
                      </c:pt>
                      <c:pt idx="13">
                        <c:v>0.34782608695652173</c:v>
                      </c:pt>
                      <c:pt idx="14">
                        <c:v>0.34615384615384615</c:v>
                      </c:pt>
                      <c:pt idx="15">
                        <c:v>0.20833333333333334</c:v>
                      </c:pt>
                      <c:pt idx="16">
                        <c:v>0.45454545454545453</c:v>
                      </c:pt>
                      <c:pt idx="17">
                        <c:v>0.26666666666666666</c:v>
                      </c:pt>
                      <c:pt idx="18">
                        <c:v>0.2</c:v>
                      </c:pt>
                      <c:pt idx="19">
                        <c:v>0.29166666666666669</c:v>
                      </c:pt>
                      <c:pt idx="20">
                        <c:v>0.4375</c:v>
                      </c:pt>
                      <c:pt idx="21">
                        <c:v>0.34615384615384615</c:v>
                      </c:pt>
                      <c:pt idx="22">
                        <c:v>0.18518518518518517</c:v>
                      </c:pt>
                      <c:pt idx="23">
                        <c:v>0.27272727272727271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71-4ABB-963C-BCFA5F5CD457}"/>
                  </c:ext>
                </c:extLst>
              </c15:ser>
            </c15:filteredBarSeries>
          </c:ext>
        </c:extLst>
      </c:barChart>
      <c:dateAx>
        <c:axId val="1241216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17984"/>
        <c:crosses val="autoZero"/>
        <c:auto val="1"/>
        <c:lblOffset val="100"/>
        <c:baseTimeUnit val="months"/>
      </c:dateAx>
      <c:valAx>
        <c:axId val="12412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1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Win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4"/>
          <c:order val="14"/>
          <c:tx>
            <c:strRef>
              <c:f>'Data Rollup'!$Q$10</c:f>
              <c:strCache>
                <c:ptCount val="1"/>
                <c:pt idx="0">
                  <c:v>Win Rate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Rollup'!$B$11:$B$34</c:f>
              <c:numCache>
                <c:formatCode>m/d/yyyy</c:formatCode>
                <c:ptCount val="24"/>
                <c:pt idx="0">
                  <c:v>45838</c:v>
                </c:pt>
                <c:pt idx="1">
                  <c:v>45808</c:v>
                </c:pt>
                <c:pt idx="2">
                  <c:v>45777</c:v>
                </c:pt>
                <c:pt idx="3">
                  <c:v>45747</c:v>
                </c:pt>
                <c:pt idx="4">
                  <c:v>45716</c:v>
                </c:pt>
                <c:pt idx="5">
                  <c:v>45688</c:v>
                </c:pt>
                <c:pt idx="6">
                  <c:v>45657</c:v>
                </c:pt>
                <c:pt idx="7">
                  <c:v>45626</c:v>
                </c:pt>
                <c:pt idx="8">
                  <c:v>45596</c:v>
                </c:pt>
                <c:pt idx="9">
                  <c:v>45565</c:v>
                </c:pt>
                <c:pt idx="10">
                  <c:v>45535</c:v>
                </c:pt>
                <c:pt idx="11">
                  <c:v>45504</c:v>
                </c:pt>
                <c:pt idx="12">
                  <c:v>45473</c:v>
                </c:pt>
                <c:pt idx="13">
                  <c:v>45443</c:v>
                </c:pt>
                <c:pt idx="14">
                  <c:v>45412</c:v>
                </c:pt>
                <c:pt idx="15">
                  <c:v>45382</c:v>
                </c:pt>
                <c:pt idx="16">
                  <c:v>45351</c:v>
                </c:pt>
                <c:pt idx="17">
                  <c:v>45322</c:v>
                </c:pt>
                <c:pt idx="18">
                  <c:v>45291</c:v>
                </c:pt>
                <c:pt idx="19">
                  <c:v>45260</c:v>
                </c:pt>
                <c:pt idx="20">
                  <c:v>45230</c:v>
                </c:pt>
                <c:pt idx="21">
                  <c:v>45199</c:v>
                </c:pt>
                <c:pt idx="22">
                  <c:v>45169</c:v>
                </c:pt>
                <c:pt idx="23">
                  <c:v>45138</c:v>
                </c:pt>
              </c:numCache>
              <c:extLst xmlns:c15="http://schemas.microsoft.com/office/drawing/2012/chart"/>
            </c:numRef>
          </c:cat>
          <c:val>
            <c:numRef>
              <c:f>'Data Rollup'!$Q$11:$Q$34</c:f>
              <c:numCache>
                <c:formatCode>0%</c:formatCode>
                <c:ptCount val="24"/>
                <c:pt idx="0">
                  <c:v>0.44444444444444442</c:v>
                </c:pt>
                <c:pt idx="1">
                  <c:v>0.2</c:v>
                </c:pt>
                <c:pt idx="2">
                  <c:v>0.2</c:v>
                </c:pt>
                <c:pt idx="3">
                  <c:v>0.58333333333333337</c:v>
                </c:pt>
                <c:pt idx="4">
                  <c:v>0.26315789473684209</c:v>
                </c:pt>
                <c:pt idx="5">
                  <c:v>0.31034482758620691</c:v>
                </c:pt>
                <c:pt idx="6">
                  <c:v>0.58823529411764708</c:v>
                </c:pt>
                <c:pt idx="7">
                  <c:v>0.26923076923076922</c:v>
                </c:pt>
                <c:pt idx="8">
                  <c:v>0.26923076923076922</c:v>
                </c:pt>
                <c:pt idx="9">
                  <c:v>0.32142857142857145</c:v>
                </c:pt>
                <c:pt idx="10">
                  <c:v>0.34782608695652173</c:v>
                </c:pt>
                <c:pt idx="11">
                  <c:v>0.52380952380952384</c:v>
                </c:pt>
                <c:pt idx="12">
                  <c:v>0.36666666666666664</c:v>
                </c:pt>
                <c:pt idx="13">
                  <c:v>0.34782608695652173</c:v>
                </c:pt>
                <c:pt idx="14">
                  <c:v>0.34615384615384615</c:v>
                </c:pt>
                <c:pt idx="15">
                  <c:v>0.20833333333333334</c:v>
                </c:pt>
                <c:pt idx="16">
                  <c:v>0.45454545454545453</c:v>
                </c:pt>
                <c:pt idx="17">
                  <c:v>0.26666666666666666</c:v>
                </c:pt>
                <c:pt idx="18">
                  <c:v>0.2</c:v>
                </c:pt>
                <c:pt idx="19">
                  <c:v>0.29166666666666669</c:v>
                </c:pt>
                <c:pt idx="20">
                  <c:v>0.4375</c:v>
                </c:pt>
                <c:pt idx="21">
                  <c:v>0.34615384615384615</c:v>
                </c:pt>
                <c:pt idx="22">
                  <c:v>0.18518518518518517</c:v>
                </c:pt>
                <c:pt idx="23">
                  <c:v>0.27272727272727271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E-9090-455A-A412-CD5DB14F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216544"/>
        <c:axId val="1241217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Rollup'!$C$10</c15:sqref>
                        </c15:formulaRef>
                      </c:ext>
                    </c:extLst>
                    <c:strCache>
                      <c:ptCount val="1"/>
                      <c:pt idx="0">
                        <c:v>Total Opps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Rollup'!$C$11:$C$34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28</c:v>
                      </c:pt>
                      <c:pt idx="1">
                        <c:v>20</c:v>
                      </c:pt>
                      <c:pt idx="2">
                        <c:v>36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29</c:v>
                      </c:pt>
                      <c:pt idx="6">
                        <c:v>17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28</c:v>
                      </c:pt>
                      <c:pt idx="10">
                        <c:v>23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23</c:v>
                      </c:pt>
                      <c:pt idx="14">
                        <c:v>26</c:v>
                      </c:pt>
                      <c:pt idx="15">
                        <c:v>24</c:v>
                      </c:pt>
                      <c:pt idx="16">
                        <c:v>33</c:v>
                      </c:pt>
                      <c:pt idx="17">
                        <c:v>15</c:v>
                      </c:pt>
                      <c:pt idx="18">
                        <c:v>20</c:v>
                      </c:pt>
                      <c:pt idx="19">
                        <c:v>24</c:v>
                      </c:pt>
                      <c:pt idx="20">
                        <c:v>16</c:v>
                      </c:pt>
                      <c:pt idx="21">
                        <c:v>26</c:v>
                      </c:pt>
                      <c:pt idx="22">
                        <c:v>27</c:v>
                      </c:pt>
                      <c:pt idx="2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090-455A-A412-CD5DB14FC06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Rollup'!$D$10</c15:sqref>
                        </c15:formulaRef>
                      </c:ext>
                    </c:extLst>
                    <c:strCache>
                      <c:ptCount val="1"/>
                      <c:pt idx="0">
                        <c:v>Total value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Rollup'!$D$11:$D$34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1126500</c:v>
                      </c:pt>
                      <c:pt idx="1">
                        <c:v>773400</c:v>
                      </c:pt>
                      <c:pt idx="2">
                        <c:v>1383800</c:v>
                      </c:pt>
                      <c:pt idx="3">
                        <c:v>528100</c:v>
                      </c:pt>
                      <c:pt idx="4">
                        <c:v>669700</c:v>
                      </c:pt>
                      <c:pt idx="5">
                        <c:v>1052300</c:v>
                      </c:pt>
                      <c:pt idx="6">
                        <c:v>648900</c:v>
                      </c:pt>
                      <c:pt idx="7">
                        <c:v>1017900</c:v>
                      </c:pt>
                      <c:pt idx="8">
                        <c:v>1032500</c:v>
                      </c:pt>
                      <c:pt idx="9">
                        <c:v>1107000</c:v>
                      </c:pt>
                      <c:pt idx="10">
                        <c:v>898600</c:v>
                      </c:pt>
                      <c:pt idx="11">
                        <c:v>809200</c:v>
                      </c:pt>
                      <c:pt idx="12">
                        <c:v>1248500</c:v>
                      </c:pt>
                      <c:pt idx="13">
                        <c:v>890700</c:v>
                      </c:pt>
                      <c:pt idx="14">
                        <c:v>1106100</c:v>
                      </c:pt>
                      <c:pt idx="15">
                        <c:v>920200</c:v>
                      </c:pt>
                      <c:pt idx="16">
                        <c:v>1334400</c:v>
                      </c:pt>
                      <c:pt idx="17">
                        <c:v>692800</c:v>
                      </c:pt>
                      <c:pt idx="18">
                        <c:v>791500</c:v>
                      </c:pt>
                      <c:pt idx="19">
                        <c:v>1014000</c:v>
                      </c:pt>
                      <c:pt idx="20">
                        <c:v>662400</c:v>
                      </c:pt>
                      <c:pt idx="21">
                        <c:v>1037100</c:v>
                      </c:pt>
                      <c:pt idx="22">
                        <c:v>1110900</c:v>
                      </c:pt>
                      <c:pt idx="23">
                        <c:v>825400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090-455A-A412-CD5DB14FC06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Rollup'!$E$10</c15:sqref>
                        </c15:formulaRef>
                      </c:ext>
                    </c:extLst>
                    <c:strCache>
                      <c:ptCount val="1"/>
                      <c:pt idx="0">
                        <c:v>Closed Opps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Rollup'!$E$11:$E$34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9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29</c:v>
                      </c:pt>
                      <c:pt idx="6">
                        <c:v>17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28</c:v>
                      </c:pt>
                      <c:pt idx="10">
                        <c:v>23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23</c:v>
                      </c:pt>
                      <c:pt idx="14">
                        <c:v>26</c:v>
                      </c:pt>
                      <c:pt idx="15">
                        <c:v>24</c:v>
                      </c:pt>
                      <c:pt idx="16">
                        <c:v>33</c:v>
                      </c:pt>
                      <c:pt idx="17">
                        <c:v>15</c:v>
                      </c:pt>
                      <c:pt idx="18">
                        <c:v>20</c:v>
                      </c:pt>
                      <c:pt idx="19">
                        <c:v>24</c:v>
                      </c:pt>
                      <c:pt idx="20">
                        <c:v>16</c:v>
                      </c:pt>
                      <c:pt idx="21">
                        <c:v>26</c:v>
                      </c:pt>
                      <c:pt idx="22">
                        <c:v>27</c:v>
                      </c:pt>
                      <c:pt idx="23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090-455A-A412-CD5DB14FC06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Rollup'!$F$10</c15:sqref>
                        </c15:formulaRef>
                      </c:ext>
                    </c:extLst>
                    <c:strCache>
                      <c:ptCount val="1"/>
                      <c:pt idx="0">
                        <c:v>Closed Value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Rollup'!$F$11:$F$34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338800</c:v>
                      </c:pt>
                      <c:pt idx="1">
                        <c:v>232700</c:v>
                      </c:pt>
                      <c:pt idx="2">
                        <c:v>431400</c:v>
                      </c:pt>
                      <c:pt idx="3">
                        <c:v>528100</c:v>
                      </c:pt>
                      <c:pt idx="4">
                        <c:v>669700</c:v>
                      </c:pt>
                      <c:pt idx="5">
                        <c:v>1052300</c:v>
                      </c:pt>
                      <c:pt idx="6">
                        <c:v>648900</c:v>
                      </c:pt>
                      <c:pt idx="7">
                        <c:v>1017900</c:v>
                      </c:pt>
                      <c:pt idx="8">
                        <c:v>1032500</c:v>
                      </c:pt>
                      <c:pt idx="9">
                        <c:v>1107000</c:v>
                      </c:pt>
                      <c:pt idx="10">
                        <c:v>898600</c:v>
                      </c:pt>
                      <c:pt idx="11">
                        <c:v>809200</c:v>
                      </c:pt>
                      <c:pt idx="12">
                        <c:v>1248500</c:v>
                      </c:pt>
                      <c:pt idx="13">
                        <c:v>890700</c:v>
                      </c:pt>
                      <c:pt idx="14">
                        <c:v>1106100</c:v>
                      </c:pt>
                      <c:pt idx="15">
                        <c:v>920200</c:v>
                      </c:pt>
                      <c:pt idx="16">
                        <c:v>1334400</c:v>
                      </c:pt>
                      <c:pt idx="17">
                        <c:v>692800</c:v>
                      </c:pt>
                      <c:pt idx="18">
                        <c:v>791500</c:v>
                      </c:pt>
                      <c:pt idx="19">
                        <c:v>1014000</c:v>
                      </c:pt>
                      <c:pt idx="20">
                        <c:v>662400</c:v>
                      </c:pt>
                      <c:pt idx="21">
                        <c:v>1037100</c:v>
                      </c:pt>
                      <c:pt idx="22">
                        <c:v>1110900</c:v>
                      </c:pt>
                      <c:pt idx="23">
                        <c:v>825400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090-455A-A412-CD5DB14FC06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Rollup'!$G$10</c15:sqref>
                        </c15:formulaRef>
                      </c:ext>
                    </c:extLst>
                    <c:strCache>
                      <c:ptCount val="1"/>
                      <c:pt idx="0">
                        <c:v>Won Opps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Rollup'!$G$11:$G$34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4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7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9</c:v>
                      </c:pt>
                      <c:pt idx="10">
                        <c:v>8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8</c:v>
                      </c:pt>
                      <c:pt idx="14">
                        <c:v>9</c:v>
                      </c:pt>
                      <c:pt idx="15">
                        <c:v>5</c:v>
                      </c:pt>
                      <c:pt idx="16">
                        <c:v>15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9</c:v>
                      </c:pt>
                      <c:pt idx="22">
                        <c:v>5</c:v>
                      </c:pt>
                      <c:pt idx="2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090-455A-A412-CD5DB14FC06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Rollup'!$H$10</c15:sqref>
                        </c15:formulaRef>
                      </c:ext>
                    </c:extLst>
                    <c:strCache>
                      <c:ptCount val="1"/>
                      <c:pt idx="0">
                        <c:v>Won Value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Rollup'!$H$11:$H$34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149900</c:v>
                      </c:pt>
                      <c:pt idx="1">
                        <c:v>44000</c:v>
                      </c:pt>
                      <c:pt idx="2">
                        <c:v>115100</c:v>
                      </c:pt>
                      <c:pt idx="3">
                        <c:v>299100</c:v>
                      </c:pt>
                      <c:pt idx="4">
                        <c:v>157900</c:v>
                      </c:pt>
                      <c:pt idx="5">
                        <c:v>347300</c:v>
                      </c:pt>
                      <c:pt idx="6">
                        <c:v>409500</c:v>
                      </c:pt>
                      <c:pt idx="7">
                        <c:v>276000</c:v>
                      </c:pt>
                      <c:pt idx="8">
                        <c:v>289500</c:v>
                      </c:pt>
                      <c:pt idx="9">
                        <c:v>344000</c:v>
                      </c:pt>
                      <c:pt idx="10">
                        <c:v>304900</c:v>
                      </c:pt>
                      <c:pt idx="11">
                        <c:v>441600</c:v>
                      </c:pt>
                      <c:pt idx="12">
                        <c:v>445100</c:v>
                      </c:pt>
                      <c:pt idx="13">
                        <c:v>320700</c:v>
                      </c:pt>
                      <c:pt idx="14">
                        <c:v>365400</c:v>
                      </c:pt>
                      <c:pt idx="15">
                        <c:v>153500</c:v>
                      </c:pt>
                      <c:pt idx="16">
                        <c:v>641200</c:v>
                      </c:pt>
                      <c:pt idx="17">
                        <c:v>189400</c:v>
                      </c:pt>
                      <c:pt idx="18">
                        <c:v>155600</c:v>
                      </c:pt>
                      <c:pt idx="19">
                        <c:v>297500</c:v>
                      </c:pt>
                      <c:pt idx="20">
                        <c:v>301600</c:v>
                      </c:pt>
                      <c:pt idx="21">
                        <c:v>380400</c:v>
                      </c:pt>
                      <c:pt idx="22">
                        <c:v>217900</c:v>
                      </c:pt>
                      <c:pt idx="23">
                        <c:v>185000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90-455A-A412-CD5DB14FC06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Rollup'!$I$10</c15:sqref>
                        </c15:formulaRef>
                      </c:ext>
                    </c:extLst>
                    <c:strCache>
                      <c:ptCount val="1"/>
                      <c:pt idx="0">
                        <c:v>Open Opps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Rollup'!$I$11:$I$34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19</c:v>
                      </c:pt>
                      <c:pt idx="1">
                        <c:v>15</c:v>
                      </c:pt>
                      <c:pt idx="2">
                        <c:v>26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090-455A-A412-CD5DB14FC06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Rollup'!$J$10</c15:sqref>
                        </c15:formulaRef>
                      </c:ext>
                    </c:extLst>
                    <c:strCache>
                      <c:ptCount val="1"/>
                      <c:pt idx="0">
                        <c:v>Open Value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Rollup'!$J$11:$J$34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787700</c:v>
                      </c:pt>
                      <c:pt idx="1">
                        <c:v>540700</c:v>
                      </c:pt>
                      <c:pt idx="2">
                        <c:v>952400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090-455A-A412-CD5DB14FC06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Rollup'!$K$10</c15:sqref>
                        </c15:formulaRef>
                      </c:ext>
                    </c:extLst>
                    <c:strCache>
                      <c:ptCount val="1"/>
                      <c:pt idx="0">
                        <c:v>Time to close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Rollup'!$K$11:$K$34</c15:sqref>
                        </c15:formulaRef>
                      </c:ext>
                    </c:extLst>
                    <c:numCache>
                      <c:formatCode>0</c:formatCode>
                      <c:ptCount val="24"/>
                      <c:pt idx="0">
                        <c:v>72.333333333333329</c:v>
                      </c:pt>
                      <c:pt idx="1">
                        <c:v>74.599999999999994</c:v>
                      </c:pt>
                      <c:pt idx="2">
                        <c:v>74.599999999999994</c:v>
                      </c:pt>
                      <c:pt idx="3">
                        <c:v>76.083333333333329</c:v>
                      </c:pt>
                      <c:pt idx="4">
                        <c:v>74.578947368421055</c:v>
                      </c:pt>
                      <c:pt idx="5">
                        <c:v>75.068965517241381</c:v>
                      </c:pt>
                      <c:pt idx="6">
                        <c:v>76.705882352941174</c:v>
                      </c:pt>
                      <c:pt idx="7">
                        <c:v>73.769230769230774</c:v>
                      </c:pt>
                      <c:pt idx="8">
                        <c:v>74.15384615384616</c:v>
                      </c:pt>
                      <c:pt idx="9">
                        <c:v>73.714285714285708</c:v>
                      </c:pt>
                      <c:pt idx="10">
                        <c:v>78.695652173913047</c:v>
                      </c:pt>
                      <c:pt idx="11">
                        <c:v>71.80952380952381</c:v>
                      </c:pt>
                      <c:pt idx="12">
                        <c:v>71.766666666666666</c:v>
                      </c:pt>
                      <c:pt idx="13">
                        <c:v>74.217391304347828</c:v>
                      </c:pt>
                      <c:pt idx="14">
                        <c:v>74.42307692307692</c:v>
                      </c:pt>
                      <c:pt idx="15">
                        <c:v>74.958333333333329</c:v>
                      </c:pt>
                      <c:pt idx="16">
                        <c:v>73.242424242424249</c:v>
                      </c:pt>
                      <c:pt idx="17">
                        <c:v>73.266666666666666</c:v>
                      </c:pt>
                      <c:pt idx="18">
                        <c:v>75.95</c:v>
                      </c:pt>
                      <c:pt idx="19">
                        <c:v>74.833333333333329</c:v>
                      </c:pt>
                      <c:pt idx="20">
                        <c:v>74.125</c:v>
                      </c:pt>
                      <c:pt idx="21">
                        <c:v>75</c:v>
                      </c:pt>
                      <c:pt idx="22">
                        <c:v>76.925925925925924</c:v>
                      </c:pt>
                      <c:pt idx="23">
                        <c:v>75.13636363636364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090-455A-A412-CD5DB14FC06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Rollup'!$L$10</c15:sqref>
                        </c15:formulaRef>
                      </c:ext>
                    </c:extLst>
                    <c:strCache>
                      <c:ptCount val="1"/>
                      <c:pt idx="0">
                        <c:v>Total ACV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Rollup'!$L$11:$L$34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40232.142857142855</c:v>
                      </c:pt>
                      <c:pt idx="1">
                        <c:v>38670</c:v>
                      </c:pt>
                      <c:pt idx="2">
                        <c:v>38438.888888888891</c:v>
                      </c:pt>
                      <c:pt idx="3">
                        <c:v>44008.333333333336</c:v>
                      </c:pt>
                      <c:pt idx="4">
                        <c:v>35247.368421052633</c:v>
                      </c:pt>
                      <c:pt idx="5">
                        <c:v>36286.206896551725</c:v>
                      </c:pt>
                      <c:pt idx="6">
                        <c:v>38170.588235294119</c:v>
                      </c:pt>
                      <c:pt idx="7">
                        <c:v>39150</c:v>
                      </c:pt>
                      <c:pt idx="8">
                        <c:v>39711.538461538461</c:v>
                      </c:pt>
                      <c:pt idx="9">
                        <c:v>39535.714285714283</c:v>
                      </c:pt>
                      <c:pt idx="10">
                        <c:v>39069.565217391304</c:v>
                      </c:pt>
                      <c:pt idx="11">
                        <c:v>38533.333333333336</c:v>
                      </c:pt>
                      <c:pt idx="12">
                        <c:v>41616.666666666664</c:v>
                      </c:pt>
                      <c:pt idx="13">
                        <c:v>38726.086956521736</c:v>
                      </c:pt>
                      <c:pt idx="14">
                        <c:v>42542.307692307695</c:v>
                      </c:pt>
                      <c:pt idx="15">
                        <c:v>38341.666666666664</c:v>
                      </c:pt>
                      <c:pt idx="16">
                        <c:v>40436.36363636364</c:v>
                      </c:pt>
                      <c:pt idx="17">
                        <c:v>46186.666666666664</c:v>
                      </c:pt>
                      <c:pt idx="18">
                        <c:v>39575</c:v>
                      </c:pt>
                      <c:pt idx="19">
                        <c:v>42250</c:v>
                      </c:pt>
                      <c:pt idx="20">
                        <c:v>41400</c:v>
                      </c:pt>
                      <c:pt idx="21">
                        <c:v>39888.461538461539</c:v>
                      </c:pt>
                      <c:pt idx="22">
                        <c:v>41144.444444444445</c:v>
                      </c:pt>
                      <c:pt idx="23">
                        <c:v>37518.181818181816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090-455A-A412-CD5DB14FC06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Rollup'!$M$10</c15:sqref>
                        </c15:formulaRef>
                      </c:ext>
                    </c:extLst>
                    <c:strCache>
                      <c:ptCount val="1"/>
                      <c:pt idx="0">
                        <c:v>Closed ACV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Rollup'!$M$11:$M$34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37644.444444444445</c:v>
                      </c:pt>
                      <c:pt idx="1">
                        <c:v>46540</c:v>
                      </c:pt>
                      <c:pt idx="2">
                        <c:v>43140</c:v>
                      </c:pt>
                      <c:pt idx="3">
                        <c:v>44008.333333333336</c:v>
                      </c:pt>
                      <c:pt idx="4">
                        <c:v>35247.368421052633</c:v>
                      </c:pt>
                      <c:pt idx="5">
                        <c:v>36286.206896551725</c:v>
                      </c:pt>
                      <c:pt idx="6">
                        <c:v>38170.588235294119</c:v>
                      </c:pt>
                      <c:pt idx="7">
                        <c:v>39150</c:v>
                      </c:pt>
                      <c:pt idx="8">
                        <c:v>39711.538461538461</c:v>
                      </c:pt>
                      <c:pt idx="9">
                        <c:v>39535.714285714283</c:v>
                      </c:pt>
                      <c:pt idx="10">
                        <c:v>39069.565217391304</c:v>
                      </c:pt>
                      <c:pt idx="11">
                        <c:v>38533.333333333336</c:v>
                      </c:pt>
                      <c:pt idx="12">
                        <c:v>41616.666666666664</c:v>
                      </c:pt>
                      <c:pt idx="13">
                        <c:v>38726.086956521736</c:v>
                      </c:pt>
                      <c:pt idx="14">
                        <c:v>42542.307692307695</c:v>
                      </c:pt>
                      <c:pt idx="15">
                        <c:v>38341.666666666664</c:v>
                      </c:pt>
                      <c:pt idx="16">
                        <c:v>40436.36363636364</c:v>
                      </c:pt>
                      <c:pt idx="17">
                        <c:v>46186.666666666664</c:v>
                      </c:pt>
                      <c:pt idx="18">
                        <c:v>39575</c:v>
                      </c:pt>
                      <c:pt idx="19">
                        <c:v>42250</c:v>
                      </c:pt>
                      <c:pt idx="20">
                        <c:v>41400</c:v>
                      </c:pt>
                      <c:pt idx="21">
                        <c:v>39888.461538461539</c:v>
                      </c:pt>
                      <c:pt idx="22">
                        <c:v>41144.444444444445</c:v>
                      </c:pt>
                      <c:pt idx="23">
                        <c:v>37518.181818181816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090-455A-A412-CD5DB14FC06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Rollup'!$N$10</c15:sqref>
                        </c15:formulaRef>
                      </c:ext>
                    </c:extLst>
                    <c:strCache>
                      <c:ptCount val="1"/>
                      <c:pt idx="0">
                        <c:v>Won ACV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Rollup'!$N$11:$N$34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37475</c:v>
                      </c:pt>
                      <c:pt idx="1">
                        <c:v>44000</c:v>
                      </c:pt>
                      <c:pt idx="2">
                        <c:v>57550</c:v>
                      </c:pt>
                      <c:pt idx="3">
                        <c:v>42728.571428571428</c:v>
                      </c:pt>
                      <c:pt idx="4">
                        <c:v>31580</c:v>
                      </c:pt>
                      <c:pt idx="5">
                        <c:v>38588.888888888891</c:v>
                      </c:pt>
                      <c:pt idx="6">
                        <c:v>40950</c:v>
                      </c:pt>
                      <c:pt idx="7">
                        <c:v>39428.571428571428</c:v>
                      </c:pt>
                      <c:pt idx="8">
                        <c:v>41357.142857142855</c:v>
                      </c:pt>
                      <c:pt idx="9">
                        <c:v>38222.222222222219</c:v>
                      </c:pt>
                      <c:pt idx="10">
                        <c:v>38112.5</c:v>
                      </c:pt>
                      <c:pt idx="11">
                        <c:v>40145.454545454544</c:v>
                      </c:pt>
                      <c:pt idx="12">
                        <c:v>40463.63636363636</c:v>
                      </c:pt>
                      <c:pt idx="13">
                        <c:v>40087.5</c:v>
                      </c:pt>
                      <c:pt idx="14">
                        <c:v>40600</c:v>
                      </c:pt>
                      <c:pt idx="15">
                        <c:v>30700</c:v>
                      </c:pt>
                      <c:pt idx="16">
                        <c:v>42746.666666666664</c:v>
                      </c:pt>
                      <c:pt idx="17">
                        <c:v>47350</c:v>
                      </c:pt>
                      <c:pt idx="18">
                        <c:v>38900</c:v>
                      </c:pt>
                      <c:pt idx="19">
                        <c:v>42500</c:v>
                      </c:pt>
                      <c:pt idx="20">
                        <c:v>43085.714285714283</c:v>
                      </c:pt>
                      <c:pt idx="21">
                        <c:v>42266.666666666664</c:v>
                      </c:pt>
                      <c:pt idx="22">
                        <c:v>43580</c:v>
                      </c:pt>
                      <c:pt idx="23">
                        <c:v>30833.333333333332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090-455A-A412-CD5DB14FC06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Rollup'!$O$10</c15:sqref>
                        </c15:formulaRef>
                      </c:ext>
                    </c:extLst>
                    <c:strCache>
                      <c:ptCount val="1"/>
                      <c:pt idx="0">
                        <c:v>Lost ACV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Rollup'!$O$11:$O$34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37780</c:v>
                      </c:pt>
                      <c:pt idx="1">
                        <c:v>47175</c:v>
                      </c:pt>
                      <c:pt idx="2">
                        <c:v>39537.5</c:v>
                      </c:pt>
                      <c:pt idx="3">
                        <c:v>45800</c:v>
                      </c:pt>
                      <c:pt idx="4">
                        <c:v>36557.142857142855</c:v>
                      </c:pt>
                      <c:pt idx="5">
                        <c:v>35250</c:v>
                      </c:pt>
                      <c:pt idx="6">
                        <c:v>34200</c:v>
                      </c:pt>
                      <c:pt idx="7">
                        <c:v>39047.368421052633</c:v>
                      </c:pt>
                      <c:pt idx="8">
                        <c:v>39105.26315789474</c:v>
                      </c:pt>
                      <c:pt idx="9">
                        <c:v>40157.894736842107</c:v>
                      </c:pt>
                      <c:pt idx="10">
                        <c:v>39580</c:v>
                      </c:pt>
                      <c:pt idx="11">
                        <c:v>36760</c:v>
                      </c:pt>
                      <c:pt idx="12">
                        <c:v>42284.210526315786</c:v>
                      </c:pt>
                      <c:pt idx="13">
                        <c:v>38000</c:v>
                      </c:pt>
                      <c:pt idx="14">
                        <c:v>43570.588235294119</c:v>
                      </c:pt>
                      <c:pt idx="15">
                        <c:v>40352.631578947367</c:v>
                      </c:pt>
                      <c:pt idx="16">
                        <c:v>38511.111111111109</c:v>
                      </c:pt>
                      <c:pt idx="17">
                        <c:v>45763.63636363636</c:v>
                      </c:pt>
                      <c:pt idx="18">
                        <c:v>39743.75</c:v>
                      </c:pt>
                      <c:pt idx="19">
                        <c:v>42147.058823529413</c:v>
                      </c:pt>
                      <c:pt idx="20">
                        <c:v>40088.888888888891</c:v>
                      </c:pt>
                      <c:pt idx="21">
                        <c:v>38629.411764705881</c:v>
                      </c:pt>
                      <c:pt idx="22">
                        <c:v>40590.909090909088</c:v>
                      </c:pt>
                      <c:pt idx="23">
                        <c:v>40025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090-455A-A412-CD5DB14FC06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Rollup'!$P$10</c15:sqref>
                        </c15:formulaRef>
                      </c:ext>
                    </c:extLst>
                    <c:strCache>
                      <c:ptCount val="1"/>
                      <c:pt idx="0">
                        <c:v>Open ACV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Rollup'!$B$11:$B$34</c15:sqref>
                        </c15:formulaRef>
                      </c:ext>
                    </c:extLst>
                    <c:numCache>
                      <c:formatCode>m/d/yyyy</c:formatCode>
                      <c:ptCount val="24"/>
                      <c:pt idx="0">
                        <c:v>45838</c:v>
                      </c:pt>
                      <c:pt idx="1">
                        <c:v>45808</c:v>
                      </c:pt>
                      <c:pt idx="2">
                        <c:v>45777</c:v>
                      </c:pt>
                      <c:pt idx="3">
                        <c:v>45747</c:v>
                      </c:pt>
                      <c:pt idx="4">
                        <c:v>45716</c:v>
                      </c:pt>
                      <c:pt idx="5">
                        <c:v>45688</c:v>
                      </c:pt>
                      <c:pt idx="6">
                        <c:v>45657</c:v>
                      </c:pt>
                      <c:pt idx="7">
                        <c:v>45626</c:v>
                      </c:pt>
                      <c:pt idx="8">
                        <c:v>45596</c:v>
                      </c:pt>
                      <c:pt idx="9">
                        <c:v>45565</c:v>
                      </c:pt>
                      <c:pt idx="10">
                        <c:v>45535</c:v>
                      </c:pt>
                      <c:pt idx="11">
                        <c:v>45504</c:v>
                      </c:pt>
                      <c:pt idx="12">
                        <c:v>45473</c:v>
                      </c:pt>
                      <c:pt idx="13">
                        <c:v>45443</c:v>
                      </c:pt>
                      <c:pt idx="14">
                        <c:v>45412</c:v>
                      </c:pt>
                      <c:pt idx="15">
                        <c:v>45382</c:v>
                      </c:pt>
                      <c:pt idx="16">
                        <c:v>45351</c:v>
                      </c:pt>
                      <c:pt idx="17">
                        <c:v>45322</c:v>
                      </c:pt>
                      <c:pt idx="18">
                        <c:v>45291</c:v>
                      </c:pt>
                      <c:pt idx="19">
                        <c:v>45260</c:v>
                      </c:pt>
                      <c:pt idx="20">
                        <c:v>45230</c:v>
                      </c:pt>
                      <c:pt idx="21">
                        <c:v>45199</c:v>
                      </c:pt>
                      <c:pt idx="22">
                        <c:v>45169</c:v>
                      </c:pt>
                      <c:pt idx="23">
                        <c:v>45138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Rollup'!$P$11:$P$34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24"/>
                      <c:pt idx="0">
                        <c:v>41457.894736842107</c:v>
                      </c:pt>
                      <c:pt idx="1">
                        <c:v>36046.666666666664</c:v>
                      </c:pt>
                      <c:pt idx="2">
                        <c:v>36630.769230769234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090-455A-A412-CD5DB14FC069}"/>
                  </c:ext>
                </c:extLst>
              </c15:ser>
            </c15:filteredLineSeries>
          </c:ext>
        </c:extLst>
      </c:lineChart>
      <c:dateAx>
        <c:axId val="1241216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17984"/>
        <c:crosses val="autoZero"/>
        <c:auto val="1"/>
        <c:lblOffset val="100"/>
        <c:baseTimeUnit val="months"/>
      </c:dateAx>
      <c:valAx>
        <c:axId val="12412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1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#REF!" lockText="1" noThreeD="1"/>
</file>

<file path=xl/ctrlProps/ctrlProp2.xml><?xml version="1.0" encoding="utf-8"?>
<formControlPr xmlns="http://schemas.microsoft.com/office/spreadsheetml/2009/9/main" objectType="CheckBox" checked="Checked" fmlaLink="$D$10" lockText="1" noThreeD="1"/>
</file>

<file path=xl/ctrlProps/ctrlProp3.xml><?xml version="1.0" encoding="utf-8"?>
<formControlPr xmlns="http://schemas.microsoft.com/office/spreadsheetml/2009/9/main" objectType="CheckBox" checked="Checked" fmlaLink="$D$13" lockText="1" noThreeD="1"/>
</file>

<file path=xl/ctrlProps/ctrlProp4.xml><?xml version="1.0" encoding="utf-8"?>
<formControlPr xmlns="http://schemas.microsoft.com/office/spreadsheetml/2009/9/main" objectType="CheckBox" checked="Checked" fmlaLink="$D$14" lockText="1" noThreeD="1"/>
</file>

<file path=xl/ctrlProps/ctrlProp5.xml><?xml version="1.0" encoding="utf-8"?>
<formControlPr xmlns="http://schemas.microsoft.com/office/spreadsheetml/2009/9/main" objectType="CheckBox" checked="Checked" fmlaLink="$D$15" lockText="1" noThreeD="1"/>
</file>

<file path=xl/ctrlProps/ctrlProp6.xml><?xml version="1.0" encoding="utf-8"?>
<formControlPr xmlns="http://schemas.microsoft.com/office/spreadsheetml/2009/9/main" objectType="CheckBox" checked="Checked" fmlaLink="$D$16" lockText="1" noThreeD="1"/>
</file>

<file path=xl/ctrlProps/ctrlProp7.xml><?xml version="1.0" encoding="utf-8"?>
<formControlPr xmlns="http://schemas.microsoft.com/office/spreadsheetml/2009/9/main" objectType="CheckBox" checked="Checked" fmlaLink="$D$20" lockText="1" noThreeD="1"/>
</file>

<file path=xl/ctrlProps/ctrlProp8.xml><?xml version="1.0" encoding="utf-8"?>
<formControlPr xmlns="http://schemas.microsoft.com/office/spreadsheetml/2009/9/main" objectType="CheckBox" checked="Checked" fmlaLink="$D$21" lockText="1" noThreeD="1"/>
</file>

<file path=xl/ctrlProps/ctrlProp9.xml><?xml version="1.0" encoding="utf-8"?>
<formControlPr xmlns="http://schemas.microsoft.com/office/spreadsheetml/2009/9/main" objectType="CheckBox" checked="Checked" fmlaLink="$D$22" lockText="1" noThreeD="1"/>
</file>

<file path=xl/ctrlProps/ctrlProp10.xml><?xml version="1.0" encoding="utf-8"?>
<formControlPr xmlns="http://schemas.microsoft.com/office/spreadsheetml/2009/9/main" objectType="CheckBox" checked="Checked" fmlaLink="$D$23" lockText="1" noThreeD="1"/>
</file>

<file path=xl/ctrlProps/ctrlProp11.xml><?xml version="1.0" encoding="utf-8"?>
<formControlPr xmlns="http://schemas.microsoft.com/office/spreadsheetml/2009/9/main" objectType="CheckBox" checked="Checked" fmlaLink="$D$24" lockText="1" noThreeD="1"/>
</file>

<file path=xl/ctrlProps/ctrlProp12.xml><?xml version="1.0" encoding="utf-8"?>
<formControlPr xmlns="http://schemas.microsoft.com/office/spreadsheetml/2009/9/main" objectType="CheckBox" checked="Checked" fmlaLink="$D$25" lockText="1" noThreeD="1"/>
</file>

<file path=xl/ctrlProps/ctrlProp13.xml><?xml version="1.0" encoding="utf-8"?>
<formControlPr xmlns="http://schemas.microsoft.com/office/spreadsheetml/2009/9/main" objectType="CheckBox" checked="Checked" fmlaLink="$D$28" lockText="1" noThreeD="1"/>
</file>

<file path=xl/ctrlProps/ctrlProp14.xml><?xml version="1.0" encoding="utf-8"?>
<formControlPr xmlns="http://schemas.microsoft.com/office/spreadsheetml/2009/9/main" objectType="CheckBox" checked="Checked" fmlaLink="$D$29" lockText="1" noThreeD="1"/>
</file>

<file path=xl/ctrlProps/ctrlProp15.xml><?xml version="1.0" encoding="utf-8"?>
<formControlPr xmlns="http://schemas.microsoft.com/office/spreadsheetml/2009/9/main" objectType="CheckBox" checked="Checked" fmlaLink="$D$30" lockText="1" noThreeD="1"/>
</file>

<file path=xl/ctrlProps/ctrlProp16.xml><?xml version="1.0" encoding="utf-8"?>
<formControlPr xmlns="http://schemas.microsoft.com/office/spreadsheetml/2009/9/main" objectType="CheckBox" checked="Checked" fmlaLink="$D$31" lockText="1" noThreeD="1"/>
</file>

<file path=xl/ctrlProps/ctrlProp17.xml><?xml version="1.0" encoding="utf-8"?>
<formControlPr xmlns="http://schemas.microsoft.com/office/spreadsheetml/2009/9/main" objectType="CheckBox" checked="Checked" fmlaLink="$D$32" lockText="1" noThreeD="1"/>
</file>

<file path=xl/ctrlProps/ctrlProp18.xml><?xml version="1.0" encoding="utf-8"?>
<formControlPr xmlns="http://schemas.microsoft.com/office/spreadsheetml/2009/9/main" objectType="CheckBox" checked="Checked" fmlaLink="$D$17" lockText="1" noThreeD="1"/>
</file>

<file path=xl/ctrlProps/ctrlProp19.xml><?xml version="1.0" encoding="utf-8"?>
<formControlPr xmlns="http://schemas.microsoft.com/office/spreadsheetml/2009/9/main" objectType="CheckBox" checked="Checked" fmlaLink="$D$9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chart" Target="../charts/chart4.xml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chart" Target="../charts/chart3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chart" Target="../charts/chart2.xml"/><Relationship Id="rId5" Type="http://schemas.openxmlformats.org/officeDocument/2006/relationships/image" Target="../media/image5.emf"/><Relationship Id="rId10" Type="http://schemas.openxmlformats.org/officeDocument/2006/relationships/chart" Target="../charts/chart1.xml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image" Target="../media/image12.emf"/><Relationship Id="rId7" Type="http://schemas.openxmlformats.org/officeDocument/2006/relationships/image" Target="../media/image16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Relationship Id="rId9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220980</xdr:colOff>
          <xdr:row>9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220980</xdr:colOff>
          <xdr:row>10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220980</xdr:colOff>
          <xdr:row>13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220980</xdr:colOff>
          <xdr:row>14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220980</xdr:colOff>
          <xdr:row>15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220980</xdr:colOff>
          <xdr:row>16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220980</xdr:colOff>
          <xdr:row>20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220980</xdr:colOff>
          <xdr:row>21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220980</xdr:colOff>
          <xdr:row>22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220980</xdr:colOff>
          <xdr:row>23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220980</xdr:colOff>
          <xdr:row>24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220980</xdr:colOff>
          <xdr:row>25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220980</xdr:colOff>
          <xdr:row>28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220980</xdr:colOff>
          <xdr:row>29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220980</xdr:colOff>
          <xdr:row>30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220980</xdr:colOff>
          <xdr:row>31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220980</xdr:colOff>
          <xdr:row>32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220980</xdr:colOff>
          <xdr:row>17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220980</xdr:colOff>
          <xdr:row>9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304800</xdr:colOff>
      <xdr:row>0</xdr:row>
      <xdr:rowOff>121920</xdr:rowOff>
    </xdr:from>
    <xdr:to>
      <xdr:col>18</xdr:col>
      <xdr:colOff>45720</xdr:colOff>
      <xdr:row>34</xdr:row>
      <xdr:rowOff>45720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F8128103-EC76-6FF5-1C3F-218DA8B36709}"/>
            </a:ext>
          </a:extLst>
        </xdr:cNvPr>
        <xdr:cNvSpPr/>
      </xdr:nvSpPr>
      <xdr:spPr>
        <a:xfrm>
          <a:off x="2903220" y="121920"/>
          <a:ext cx="8275320" cy="6141720"/>
        </a:xfrm>
        <a:prstGeom prst="roundRect">
          <a:avLst>
            <a:gd name="adj" fmla="val 5210"/>
          </a:avLst>
        </a:prstGeom>
        <a:solidFill>
          <a:schemeClr val="accent3"/>
        </a:solidFill>
        <a:ln>
          <a:noFill/>
        </a:ln>
        <a:effectLst>
          <a:outerShdw blurRad="63500" sx="101000" sy="101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bg1"/>
              </a:solidFill>
            </a:rPr>
            <a:t>Sales</a:t>
          </a:r>
          <a:r>
            <a:rPr lang="en-IN" sz="1800" b="1" baseline="0">
              <a:solidFill>
                <a:schemeClr val="bg1"/>
              </a:solidFill>
            </a:rPr>
            <a:t> Performance Overview</a:t>
          </a:r>
          <a:endParaRPr lang="en-IN" sz="18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510540</xdr:colOff>
          <xdr:row>3</xdr:row>
          <xdr:rowOff>129540</xdr:rowOff>
        </xdr:from>
        <xdr:to>
          <xdr:col>6</xdr:col>
          <xdr:colOff>533400</xdr:colOff>
          <xdr:row>6</xdr:row>
          <xdr:rowOff>60960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A7A14F0-1A62-D35E-FA96-33B160D1DE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6:$B$7" spid="_x0000_s13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08960" y="678180"/>
              <a:ext cx="1242060" cy="4800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195060</xdr:colOff>
          <xdr:row>23</xdr:row>
          <xdr:rowOff>83820</xdr:rowOff>
        </xdr:from>
        <xdr:to>
          <xdr:col>12</xdr:col>
          <xdr:colOff>118860</xdr:colOff>
          <xdr:row>26</xdr:row>
          <xdr:rowOff>22860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C86CE5F6-4A48-6D87-1C2B-FEB88507112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D$6:$D$7" spid="_x0000_s130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451080" y="4290060"/>
              <a:ext cx="1143000" cy="48768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328035</xdr:colOff>
          <xdr:row>3</xdr:row>
          <xdr:rowOff>129540</xdr:rowOff>
        </xdr:from>
        <xdr:to>
          <xdr:col>9</xdr:col>
          <xdr:colOff>350895</xdr:colOff>
          <xdr:row>6</xdr:row>
          <xdr:rowOff>60960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5643519A-1BBD-63A3-68E0-31A95FD36C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9:$B$10" spid="_x0000_s130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755255" y="678180"/>
              <a:ext cx="1242060" cy="48006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145530</xdr:colOff>
          <xdr:row>3</xdr:row>
          <xdr:rowOff>129540</xdr:rowOff>
        </xdr:from>
        <xdr:to>
          <xdr:col>12</xdr:col>
          <xdr:colOff>168390</xdr:colOff>
          <xdr:row>6</xdr:row>
          <xdr:rowOff>60960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32D02E4-965A-B6D6-F07F-350A2084E2C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2:$B$13" spid="_x0000_s130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401550" y="678180"/>
              <a:ext cx="1242060" cy="48006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572625</xdr:colOff>
          <xdr:row>3</xdr:row>
          <xdr:rowOff>129540</xdr:rowOff>
        </xdr:from>
        <xdr:to>
          <xdr:col>14</xdr:col>
          <xdr:colOff>595485</xdr:colOff>
          <xdr:row>6</xdr:row>
          <xdr:rowOff>60960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9C2D8C13-6B5B-A8C9-18B3-D43EFD39A4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5:$B$16" spid="_x0000_s130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8047845" y="678180"/>
              <a:ext cx="1242060" cy="48006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390120</xdr:colOff>
          <xdr:row>3</xdr:row>
          <xdr:rowOff>129540</xdr:rowOff>
        </xdr:from>
        <xdr:to>
          <xdr:col>17</xdr:col>
          <xdr:colOff>412980</xdr:colOff>
          <xdr:row>6</xdr:row>
          <xdr:rowOff>60960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37A4B8EE-061F-368C-FC77-BBE60CF3586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8:$B$19" spid="_x0000_s130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694140" y="678180"/>
              <a:ext cx="1242060" cy="48006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195060</xdr:colOff>
          <xdr:row>20</xdr:row>
          <xdr:rowOff>53340</xdr:rowOff>
        </xdr:from>
        <xdr:to>
          <xdr:col>12</xdr:col>
          <xdr:colOff>118860</xdr:colOff>
          <xdr:row>22</xdr:row>
          <xdr:rowOff>175260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9061900A-39BD-5BB5-FC5D-9CA47458E77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D$9:$D$10" spid="_x0000_s130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451080" y="3710940"/>
              <a:ext cx="1143000" cy="48768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195060</xdr:colOff>
          <xdr:row>26</xdr:row>
          <xdr:rowOff>137160</xdr:rowOff>
        </xdr:from>
        <xdr:to>
          <xdr:col>12</xdr:col>
          <xdr:colOff>118860</xdr:colOff>
          <xdr:row>29</xdr:row>
          <xdr:rowOff>76200</xdr:rowOff>
        </xdr:to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CED5C2D1-8FA0-0774-8809-E3B7D0116E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D$12:$D$13" spid="_x0000_s1310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451080" y="4892040"/>
              <a:ext cx="1143000" cy="48768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195060</xdr:colOff>
          <xdr:row>30</xdr:row>
          <xdr:rowOff>15240</xdr:rowOff>
        </xdr:from>
        <xdr:to>
          <xdr:col>12</xdr:col>
          <xdr:colOff>118860</xdr:colOff>
          <xdr:row>32</xdr:row>
          <xdr:rowOff>137160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E3752B70-728F-5B95-DF05-032901438D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D$15:$D$16" spid="_x0000_s1311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6451080" y="5501640"/>
              <a:ext cx="1143000" cy="48768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510540</xdr:colOff>
      <xdr:row>7</xdr:row>
      <xdr:rowOff>45720</xdr:rowOff>
    </xdr:from>
    <xdr:to>
      <xdr:col>11</xdr:col>
      <xdr:colOff>76200</xdr:colOff>
      <xdr:row>19</xdr:row>
      <xdr:rowOff>121920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D86E4E3-5F8B-44C6-A06B-804678814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236580</xdr:colOff>
      <xdr:row>7</xdr:row>
      <xdr:rowOff>45720</xdr:rowOff>
    </xdr:from>
    <xdr:to>
      <xdr:col>17</xdr:col>
      <xdr:colOff>412980</xdr:colOff>
      <xdr:row>19</xdr:row>
      <xdr:rowOff>122760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325B15B-0DE6-445F-9AAB-8E495A8A7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510540</xdr:colOff>
      <xdr:row>20</xdr:row>
      <xdr:rowOff>45720</xdr:rowOff>
    </xdr:from>
    <xdr:to>
      <xdr:col>10</xdr:col>
      <xdr:colOff>92940</xdr:colOff>
      <xdr:row>32</xdr:row>
      <xdr:rowOff>144780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CE19D71-E77C-4AF4-ACE3-D53220DEC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220980</xdr:colOff>
      <xdr:row>20</xdr:row>
      <xdr:rowOff>38100</xdr:rowOff>
    </xdr:from>
    <xdr:to>
      <xdr:col>17</xdr:col>
      <xdr:colOff>412980</xdr:colOff>
      <xdr:row>32</xdr:row>
      <xdr:rowOff>129540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5867AF6-B4DC-4EAD-BAFE-D5F292710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A1F2E-0DED-4CD2-BBC8-54CD732BECB6}" name="Sales_Data" displayName="Sales_Data" ref="A1:R751" totalsRowShown="0" headerRowDxfId="12">
  <autoFilter ref="A1:R751" xr:uid="{A9FA1F2E-0DED-4CD2-BBC8-54CD732BECB6}"/>
  <tableColumns count="18">
    <tableColumn id="1" xr3:uid="{BEFA7ABB-E606-44EF-AEBA-03446A82EFCA}" name="Opportunity ID"/>
    <tableColumn id="2" xr3:uid="{A5C816D8-C8AB-4A85-943F-5855FFA05821}" name="Created Date" dataDxfId="11"/>
    <tableColumn id="3" xr3:uid="{01AB0A4F-DFFF-4BF3-A3AA-A5CE057EBE21}" name="Sales Rep"/>
    <tableColumn id="4" xr3:uid="{AA72C5DB-B7A2-4EB4-9DD0-71251078CDD1}" name="Sales Team"/>
    <tableColumn id="5" xr3:uid="{D25AA921-AE12-4F35-898D-0828ED2C93A7}" name="Lead Source"/>
    <tableColumn id="6" xr3:uid="{4819F8D2-714A-446C-A3AA-98583057703B}" name="Deal Amount" dataDxfId="10" dataCellStyle="Comma"/>
    <tableColumn id="7" xr3:uid="{A75F9CF5-08B8-4883-9D70-CB1F61551810}" name="Stage"/>
    <tableColumn id="8" xr3:uid="{19E7098A-BC06-4D45-A435-99928E90F88C}" name="Close Date" dataDxfId="9"/>
    <tableColumn id="9" xr3:uid="{745D2D8B-B12D-42EA-87DB-C887F75C51FD}" name="Loss Reason"/>
    <tableColumn id="10" xr3:uid="{7E826C85-3D41-447A-BB07-C8795DA23CE5}" name="Open/Closed" dataDxfId="8">
      <calculatedColumnFormula>IF(Sales_Data[[#This Row],[Close Date]] &lt;&gt; 0,"Closed", "Open")</calculatedColumnFormula>
    </tableColumn>
    <tableColumn id="11" xr3:uid="{5F11BE1F-FBB2-4DB7-A168-CDCA9DD2AA68}" name="Time to Close" dataDxfId="7">
      <calculatedColumnFormula>IF(Sales_Data[[#This Row],[Open/Closed]] = "Closed",Sales_Data[[#This Row],[Close Date]]-Sales_Data[[#This Row],[Created Date]],"")</calculatedColumnFormula>
    </tableColumn>
    <tableColumn id="12" xr3:uid="{31A1D690-2743-4DC2-BC91-01B1DB96841E}" name="EoM Created" dataDxfId="6">
      <calculatedColumnFormula>EOMONTH(Sales_Data[[#This Row],[Created Date]],0)</calculatedColumnFormula>
    </tableColumn>
    <tableColumn id="13" xr3:uid="{9FDDF56F-A19B-41B3-98CC-609BCFAC5F32}" name="Date inc" dataDxfId="5">
      <calculatedColumnFormula>AND(Sales_Data[[#This Row],[EoM Created]]&gt;=Index!$E$5,Sales_Data[[#This Row],[EoM Created]]&lt;=Index!$E$4)</calculatedColumnFormula>
    </tableColumn>
    <tableColumn id="14" xr3:uid="{1AAA56B0-B303-402F-8320-8C1CE859B346}" name="Team Inc" dataDxfId="4">
      <calculatedColumnFormula array="1">_xlfn.XLOOKUP(Sales_Data[[#This Row],[Sales Team]],_xlfn.ANCHORARRAY(Dashboard!$B$9),Dashboard!$D$9:$D$10,,0)</calculatedColumnFormula>
    </tableColumn>
    <tableColumn id="15" xr3:uid="{B14B474A-6F6A-4253-AF99-FD63E4965FAE}" name="Rep Inc" dataDxfId="3">
      <calculatedColumnFormula array="1">_xlfn.XLOOKUP(Sales_Data[[#This Row],[Sales Rep]],_xlfn.ANCHORARRAY(Dashboard!$B$13),Dashboard!$D$13:$D$17,,0)</calculatedColumnFormula>
    </tableColumn>
    <tableColumn id="16" xr3:uid="{E0B29BCB-0B01-4B0B-998C-53E2B49C992D}" name="Stage Inc" dataDxfId="2">
      <calculatedColumnFormula array="1">_xlfn.XLOOKUP(Sales_Data[[#This Row],[Stage]],_xlfn.ANCHORARRAY(Dashboard!$B$20),Dashboard!$D$20:$D$25)</calculatedColumnFormula>
    </tableColumn>
    <tableColumn id="17" xr3:uid="{9ABA2F8F-46BF-405F-8079-24074F5056A8}" name="Source Inc" dataDxfId="1">
      <calculatedColumnFormula array="1">_xlfn.XLOOKUP(Sales_Data[[#This Row],[Lead Source]],_xlfn.ANCHORARRAY(Dashboard!$B$28),Dashboard!$D$28:$D$32)</calculatedColumnFormula>
    </tableColumn>
    <tableColumn id="18" xr3:uid="{C917CD20-C51B-4F43-B6F6-6E42F916320C}" name="Master Inc" dataDxfId="0">
      <calculatedColumnFormula>Sales_Data[[#This Row],[Date inc]]*Sales_Data[[#This Row],[Team Inc]]*Sales_Data[[#This Row],[Rep Inc]]*Sales_Data[[#This Row],[Stage Inc]]*Sales_Data[[#This Row],[Source Inc]]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D687-1D61-4DD3-84AA-C8D8984E82EC}">
  <sheetPr codeName="Sheet1"/>
  <dimension ref="B4:E32"/>
  <sheetViews>
    <sheetView showGridLines="0" workbookViewId="0">
      <selection activeCell="B27" sqref="B27:D27"/>
    </sheetView>
  </sheetViews>
  <sheetFormatPr defaultRowHeight="14.4" x14ac:dyDescent="0.3"/>
  <cols>
    <col min="2" max="2" width="17.33203125" customWidth="1"/>
    <col min="3" max="3" width="4.5546875" customWidth="1"/>
    <col min="4" max="4" width="7.109375" customWidth="1"/>
  </cols>
  <sheetData>
    <row r="4" spans="2:5" x14ac:dyDescent="0.3">
      <c r="B4" s="28" t="s">
        <v>808</v>
      </c>
      <c r="C4" s="28"/>
      <c r="D4" s="28"/>
    </row>
    <row r="5" spans="2:5" x14ac:dyDescent="0.3">
      <c r="B5" s="16" t="s">
        <v>809</v>
      </c>
      <c r="C5" s="26">
        <v>45838</v>
      </c>
      <c r="D5" s="27"/>
    </row>
    <row r="6" spans="2:5" x14ac:dyDescent="0.3">
      <c r="B6" s="16" t="s">
        <v>810</v>
      </c>
      <c r="C6" s="24">
        <v>24</v>
      </c>
      <c r="D6" s="25"/>
    </row>
    <row r="8" spans="2:5" x14ac:dyDescent="0.3">
      <c r="B8" s="28" t="s">
        <v>811</v>
      </c>
      <c r="C8" s="28"/>
      <c r="D8" s="28"/>
    </row>
    <row r="9" spans="2:5" x14ac:dyDescent="0.3">
      <c r="B9" s="22" t="str" cm="1">
        <f t="array" ref="B9:B10">_xlfn.UNIQUE(Sales_Data[Sales Team])</f>
        <v>Outbound</v>
      </c>
      <c r="C9" s="22"/>
      <c r="D9" s="23" t="b">
        <v>1</v>
      </c>
    </row>
    <row r="10" spans="2:5" x14ac:dyDescent="0.3">
      <c r="B10" s="22" t="str">
        <v>Inbound</v>
      </c>
      <c r="C10" s="22"/>
      <c r="D10" s="23" t="b">
        <v>1</v>
      </c>
    </row>
    <row r="12" spans="2:5" x14ac:dyDescent="0.3">
      <c r="B12" s="28" t="s">
        <v>812</v>
      </c>
      <c r="C12" s="28"/>
      <c r="D12" s="28"/>
    </row>
    <row r="13" spans="2:5" x14ac:dyDescent="0.3">
      <c r="B13" s="22" t="str" cm="1">
        <f t="array" ref="B13:B17">_xlfn.UNIQUE(Sales_Data[Sales Rep])</f>
        <v>David Lee</v>
      </c>
      <c r="C13" s="22"/>
      <c r="D13" s="23" t="b">
        <v>1</v>
      </c>
    </row>
    <row r="14" spans="2:5" x14ac:dyDescent="0.3">
      <c r="B14" s="22" t="str">
        <v>Emma Davis</v>
      </c>
      <c r="C14" s="22"/>
      <c r="D14" s="23" t="b">
        <v>1</v>
      </c>
    </row>
    <row r="15" spans="2:5" x14ac:dyDescent="0.3">
      <c r="B15" s="22" t="str">
        <v>Charlie Brown</v>
      </c>
      <c r="C15" s="22"/>
      <c r="D15" s="23" t="b">
        <v>1</v>
      </c>
      <c r="E15" s="15"/>
    </row>
    <row r="16" spans="2:5" x14ac:dyDescent="0.3">
      <c r="B16" s="22" t="str">
        <v>Alice Johnson</v>
      </c>
      <c r="C16" s="22"/>
      <c r="D16" s="23" t="b">
        <v>1</v>
      </c>
    </row>
    <row r="17" spans="2:4" x14ac:dyDescent="0.3">
      <c r="B17" s="22" t="str">
        <v>Bob Smith</v>
      </c>
      <c r="C17" s="22"/>
      <c r="D17" s="23" t="b">
        <v>1</v>
      </c>
    </row>
    <row r="19" spans="2:4" x14ac:dyDescent="0.3">
      <c r="B19" s="28" t="s">
        <v>6</v>
      </c>
      <c r="C19" s="28"/>
      <c r="D19" s="28"/>
    </row>
    <row r="20" spans="2:4" x14ac:dyDescent="0.3">
      <c r="B20" s="22" t="str" cm="1">
        <f t="array" ref="B20:B25">_xlfn.UNIQUE(Sales_Data[Stage])</f>
        <v>Closed Won</v>
      </c>
      <c r="C20" s="22"/>
      <c r="D20" s="23" t="b">
        <v>1</v>
      </c>
    </row>
    <row r="21" spans="2:4" x14ac:dyDescent="0.3">
      <c r="B21" s="22" t="str">
        <v>Closed Lost</v>
      </c>
      <c r="C21" s="22"/>
      <c r="D21" s="23" t="b">
        <v>1</v>
      </c>
    </row>
    <row r="22" spans="2:4" x14ac:dyDescent="0.3">
      <c r="B22" s="22" t="str">
        <v>Qualification</v>
      </c>
      <c r="C22" s="22"/>
      <c r="D22" s="23" t="b">
        <v>1</v>
      </c>
    </row>
    <row r="23" spans="2:4" x14ac:dyDescent="0.3">
      <c r="B23" s="22" t="str">
        <v>Negotiation</v>
      </c>
      <c r="C23" s="22"/>
      <c r="D23" s="23" t="b">
        <v>1</v>
      </c>
    </row>
    <row r="24" spans="2:4" x14ac:dyDescent="0.3">
      <c r="B24" s="22" t="str">
        <v>Proposal</v>
      </c>
      <c r="C24" s="22"/>
      <c r="D24" s="23" t="b">
        <v>1</v>
      </c>
    </row>
    <row r="25" spans="2:4" x14ac:dyDescent="0.3">
      <c r="B25" s="22" t="str">
        <v>Prospecting</v>
      </c>
      <c r="C25" s="22"/>
      <c r="D25" s="23" t="b">
        <v>1</v>
      </c>
    </row>
    <row r="27" spans="2:4" x14ac:dyDescent="0.3">
      <c r="B27" s="28" t="s">
        <v>4</v>
      </c>
      <c r="C27" s="28"/>
      <c r="D27" s="28"/>
    </row>
    <row r="28" spans="2:4" x14ac:dyDescent="0.3">
      <c r="B28" s="22" t="str" cm="1">
        <f t="array" ref="B28:B32">_xlfn.UNIQUE(Sales_Data[Lead Source])</f>
        <v>Cold Outreach</v>
      </c>
      <c r="C28" s="22"/>
      <c r="D28" s="23" t="b">
        <v>1</v>
      </c>
    </row>
    <row r="29" spans="2:4" x14ac:dyDescent="0.3">
      <c r="B29" s="22" t="str">
        <v>SDR</v>
      </c>
      <c r="C29" s="22"/>
      <c r="D29" s="23" t="b">
        <v>1</v>
      </c>
    </row>
    <row r="30" spans="2:4" x14ac:dyDescent="0.3">
      <c r="B30" s="22" t="str">
        <v>Event</v>
      </c>
      <c r="C30" s="22"/>
      <c r="D30" s="23" t="b">
        <v>1</v>
      </c>
    </row>
    <row r="31" spans="2:4" x14ac:dyDescent="0.3">
      <c r="B31" s="22" t="str">
        <v>Referral</v>
      </c>
      <c r="C31" s="22"/>
      <c r="D31" s="23" t="b">
        <v>1</v>
      </c>
    </row>
    <row r="32" spans="2:4" x14ac:dyDescent="0.3">
      <c r="B32" s="22" t="str">
        <v>Inbound Marketing</v>
      </c>
      <c r="C32" s="22"/>
      <c r="D32" s="23" t="b">
        <v>1</v>
      </c>
    </row>
  </sheetData>
  <mergeCells count="7">
    <mergeCell ref="B4:D4"/>
    <mergeCell ref="B8:D8"/>
    <mergeCell ref="B12:D12"/>
    <mergeCell ref="B19:D19"/>
    <mergeCell ref="B27:D27"/>
    <mergeCell ref="C6:D6"/>
    <mergeCell ref="C5:D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220980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220980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220980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220980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220980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220980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220980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220980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220980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220980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 macro="[0]!CheckBox24_Click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220980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220980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220980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220980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220980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220980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220980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3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220980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220980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7FFEF5-1FF2-49EC-965F-49E569DB507B}">
          <x14:formula1>
            <xm:f>Index!$B$5:$B$10</xm:f>
          </x14:formula1>
          <xm:sqref>C6</xm:sqref>
        </x14:dataValidation>
        <x14:dataValidation type="date" errorStyle="warning" allowBlank="1" showInputMessage="1" showErrorMessage="1" errorTitle="Invalid Date" error="Please enter a valid date" xr:uid="{3664B6B3-4CE2-43C6-81DD-450A0BC28417}">
          <x14:formula1>
            <xm:f>Index!E8</xm:f>
          </x14:formula1>
          <x14:formula2>
            <xm:f>Index!E9</xm:f>
          </x14:formula2>
          <xm:sqref>C5:D5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56E7-A52E-45E4-B57B-4334ED30EB4C}">
  <dimension ref="B4:D19"/>
  <sheetViews>
    <sheetView showGridLines="0" workbookViewId="0">
      <selection activeCell="D4" sqref="D4"/>
    </sheetView>
  </sheetViews>
  <sheetFormatPr defaultRowHeight="14.4" x14ac:dyDescent="0.3"/>
  <cols>
    <col min="2" max="2" width="18.109375" customWidth="1"/>
    <col min="4" max="4" width="16.5546875" customWidth="1"/>
  </cols>
  <sheetData>
    <row r="4" spans="2:4" x14ac:dyDescent="0.3">
      <c r="B4" s="29" t="s">
        <v>783</v>
      </c>
      <c r="C4" s="14"/>
      <c r="D4" s="29" t="s">
        <v>795</v>
      </c>
    </row>
    <row r="6" spans="2:4" ht="23.4" x14ac:dyDescent="0.45">
      <c r="B6" s="17">
        <f>'Data Rollup'!H6</f>
        <v>6832100</v>
      </c>
      <c r="C6" s="18"/>
      <c r="D6" s="17">
        <f>'Data Rollup'!N6</f>
        <v>40188.823529411762</v>
      </c>
    </row>
    <row r="7" spans="2:4" x14ac:dyDescent="0.3">
      <c r="B7" s="19" t="s">
        <v>824</v>
      </c>
      <c r="C7" s="18"/>
      <c r="D7" s="19" t="s">
        <v>798</v>
      </c>
    </row>
    <row r="8" spans="2:4" x14ac:dyDescent="0.3">
      <c r="B8" s="19"/>
      <c r="C8" s="18"/>
      <c r="D8" s="19"/>
    </row>
    <row r="9" spans="2:4" ht="23.4" x14ac:dyDescent="0.45">
      <c r="B9" s="20">
        <f>'Data Rollup'!G6</f>
        <v>170</v>
      </c>
      <c r="C9" s="18"/>
      <c r="D9" s="21">
        <f>'Data Rollup'!Q6</f>
        <v>0.33268101761252444</v>
      </c>
    </row>
    <row r="10" spans="2:4" x14ac:dyDescent="0.3">
      <c r="B10" s="19" t="s">
        <v>825</v>
      </c>
      <c r="C10" s="18"/>
      <c r="D10" s="19" t="s">
        <v>800</v>
      </c>
    </row>
    <row r="11" spans="2:4" x14ac:dyDescent="0.3">
      <c r="B11" s="19"/>
      <c r="C11" s="18"/>
      <c r="D11" s="19"/>
    </row>
    <row r="12" spans="2:4" ht="23.4" x14ac:dyDescent="0.45">
      <c r="B12" s="20">
        <f>'Data Rollup'!K6</f>
        <v>74.55968688845401</v>
      </c>
      <c r="C12" s="18"/>
      <c r="D12" s="17">
        <f>'Data Rollup'!P6</f>
        <v>38013.333333333336</v>
      </c>
    </row>
    <row r="13" spans="2:4" x14ac:dyDescent="0.3">
      <c r="B13" s="19" t="s">
        <v>794</v>
      </c>
      <c r="C13" s="18"/>
      <c r="D13" s="19" t="s">
        <v>828</v>
      </c>
    </row>
    <row r="14" spans="2:4" x14ac:dyDescent="0.3">
      <c r="B14" s="19"/>
      <c r="C14" s="18"/>
      <c r="D14" s="19"/>
    </row>
    <row r="15" spans="2:4" ht="23.4" x14ac:dyDescent="0.45">
      <c r="B15" s="17">
        <f>'Data Rollup'!J6</f>
        <v>2280800</v>
      </c>
      <c r="C15" s="18"/>
      <c r="D15" s="17">
        <f>B15*D9</f>
        <v>758778.86497064575</v>
      </c>
    </row>
    <row r="16" spans="2:4" x14ac:dyDescent="0.3">
      <c r="B16" s="19" t="s">
        <v>826</v>
      </c>
      <c r="C16" s="18"/>
      <c r="D16" s="19" t="s">
        <v>829</v>
      </c>
    </row>
    <row r="17" spans="2:4" x14ac:dyDescent="0.3">
      <c r="B17" s="19"/>
      <c r="C17" s="18"/>
      <c r="D17" s="19"/>
    </row>
    <row r="18" spans="2:4" ht="23.4" x14ac:dyDescent="0.45">
      <c r="B18" s="20">
        <f>'Data Rollup'!I6</f>
        <v>60</v>
      </c>
      <c r="C18" s="18"/>
      <c r="D18" s="19"/>
    </row>
    <row r="19" spans="2:4" x14ac:dyDescent="0.3">
      <c r="B19" s="19" t="s">
        <v>827</v>
      </c>
      <c r="C19" s="18"/>
      <c r="D1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A9A2-DE41-40DD-9B78-764CA35E56BB}">
  <sheetPr codeName="Sheet2"/>
  <dimension ref="B4:K28"/>
  <sheetViews>
    <sheetView workbookViewId="0">
      <selection activeCell="M9" sqref="M9"/>
    </sheetView>
  </sheetViews>
  <sheetFormatPr defaultRowHeight="14.4" x14ac:dyDescent="0.3"/>
  <cols>
    <col min="2" max="2" width="16.21875" bestFit="1" customWidth="1"/>
    <col min="4" max="4" width="13.44140625" customWidth="1"/>
    <col min="5" max="5" width="10.33203125" bestFit="1" customWidth="1"/>
    <col min="8" max="8" width="10.33203125" style="2" bestFit="1" customWidth="1"/>
    <col min="11" max="11" width="10.33203125" bestFit="1" customWidth="1"/>
  </cols>
  <sheetData>
    <row r="4" spans="2:11" x14ac:dyDescent="0.3">
      <c r="B4" s="30" t="s">
        <v>810</v>
      </c>
      <c r="D4" t="s">
        <v>813</v>
      </c>
      <c r="E4" s="2">
        <f>Dashboard!C5</f>
        <v>45838</v>
      </c>
      <c r="G4" s="29" t="s">
        <v>815</v>
      </c>
      <c r="H4" s="31" t="s">
        <v>816</v>
      </c>
    </row>
    <row r="5" spans="2:11" x14ac:dyDescent="0.3">
      <c r="B5" s="14">
        <v>1</v>
      </c>
      <c r="D5" t="s">
        <v>814</v>
      </c>
      <c r="E5" s="2" cm="1">
        <f t="array" ref="E5">_xlfn.XLOOKUP(Dashboard!C6,_xlfn.ANCHORARRAY(Index!G5),Index!H5:H28)</f>
        <v>45138</v>
      </c>
      <c r="G5" s="14" cm="1">
        <f t="array" ref="G5:G28">_xlfn.SEQUENCE(B10)</f>
        <v>1</v>
      </c>
      <c r="H5" s="2">
        <f>E4</f>
        <v>45838</v>
      </c>
    </row>
    <row r="6" spans="2:11" x14ac:dyDescent="0.3">
      <c r="B6" s="14">
        <v>3</v>
      </c>
      <c r="G6" s="14">
        <v>2</v>
      </c>
      <c r="H6" s="2">
        <f>EOMONTH(H5,-1)</f>
        <v>45808</v>
      </c>
    </row>
    <row r="7" spans="2:11" x14ac:dyDescent="0.3">
      <c r="B7" s="14">
        <v>6</v>
      </c>
      <c r="G7" s="14">
        <v>3</v>
      </c>
      <c r="H7" s="2">
        <f t="shared" ref="H7:H28" si="0">EOMONTH(H6,-1)</f>
        <v>45777</v>
      </c>
    </row>
    <row r="8" spans="2:11" x14ac:dyDescent="0.3">
      <c r="B8" s="14">
        <v>12</v>
      </c>
      <c r="D8" t="s">
        <v>830</v>
      </c>
      <c r="E8" s="2">
        <f>MIN(Sales_Data[Created Date])</f>
        <v>44928</v>
      </c>
      <c r="G8" s="14">
        <v>4</v>
      </c>
      <c r="H8" s="2">
        <f t="shared" si="0"/>
        <v>45747</v>
      </c>
      <c r="K8" s="2"/>
    </row>
    <row r="9" spans="2:11" x14ac:dyDescent="0.3">
      <c r="B9" s="14">
        <v>18</v>
      </c>
      <c r="D9" t="s">
        <v>831</v>
      </c>
      <c r="E9" s="2">
        <f>IF(MAX(Sales_Data[Close Date])&gt;MAX(Sales_Data[EoM Created]),MAX(Sales_Data[Close Date]),MAX(Sales_Data[EoM Created]))</f>
        <v>45922</v>
      </c>
      <c r="G9" s="14">
        <v>5</v>
      </c>
      <c r="H9" s="2">
        <f t="shared" si="0"/>
        <v>45716</v>
      </c>
      <c r="K9" s="2"/>
    </row>
    <row r="10" spans="2:11" x14ac:dyDescent="0.3">
      <c r="B10" s="14">
        <v>24</v>
      </c>
      <c r="G10" s="14">
        <v>6</v>
      </c>
      <c r="H10" s="2">
        <f t="shared" si="0"/>
        <v>45688</v>
      </c>
    </row>
    <row r="11" spans="2:11" x14ac:dyDescent="0.3">
      <c r="G11" s="14">
        <v>7</v>
      </c>
      <c r="H11" s="2">
        <f t="shared" si="0"/>
        <v>45657</v>
      </c>
    </row>
    <row r="12" spans="2:11" x14ac:dyDescent="0.3">
      <c r="G12" s="14">
        <v>8</v>
      </c>
      <c r="H12" s="2">
        <f t="shared" si="0"/>
        <v>45626</v>
      </c>
    </row>
    <row r="13" spans="2:11" x14ac:dyDescent="0.3">
      <c r="G13" s="14">
        <v>9</v>
      </c>
      <c r="H13" s="2">
        <f t="shared" si="0"/>
        <v>45596</v>
      </c>
    </row>
    <row r="14" spans="2:11" x14ac:dyDescent="0.3">
      <c r="G14" s="14">
        <v>10</v>
      </c>
      <c r="H14" s="2">
        <f t="shared" si="0"/>
        <v>45565</v>
      </c>
    </row>
    <row r="15" spans="2:11" x14ac:dyDescent="0.3">
      <c r="G15" s="14">
        <v>11</v>
      </c>
      <c r="H15" s="2">
        <f t="shared" si="0"/>
        <v>45535</v>
      </c>
    </row>
    <row r="16" spans="2:11" x14ac:dyDescent="0.3">
      <c r="G16" s="14">
        <v>12</v>
      </c>
      <c r="H16" s="2">
        <f t="shared" si="0"/>
        <v>45504</v>
      </c>
    </row>
    <row r="17" spans="7:8" x14ac:dyDescent="0.3">
      <c r="G17" s="14">
        <v>13</v>
      </c>
      <c r="H17" s="2">
        <f t="shared" si="0"/>
        <v>45473</v>
      </c>
    </row>
    <row r="18" spans="7:8" x14ac:dyDescent="0.3">
      <c r="G18" s="14">
        <v>14</v>
      </c>
      <c r="H18" s="2">
        <f t="shared" si="0"/>
        <v>45443</v>
      </c>
    </row>
    <row r="19" spans="7:8" x14ac:dyDescent="0.3">
      <c r="G19" s="14">
        <v>15</v>
      </c>
      <c r="H19" s="2">
        <f t="shared" si="0"/>
        <v>45412</v>
      </c>
    </row>
    <row r="20" spans="7:8" x14ac:dyDescent="0.3">
      <c r="G20" s="14">
        <v>16</v>
      </c>
      <c r="H20" s="2">
        <f t="shared" si="0"/>
        <v>45382</v>
      </c>
    </row>
    <row r="21" spans="7:8" x14ac:dyDescent="0.3">
      <c r="G21" s="14">
        <v>17</v>
      </c>
      <c r="H21" s="2">
        <f t="shared" si="0"/>
        <v>45351</v>
      </c>
    </row>
    <row r="22" spans="7:8" x14ac:dyDescent="0.3">
      <c r="G22" s="14">
        <v>18</v>
      </c>
      <c r="H22" s="2">
        <f t="shared" si="0"/>
        <v>45322</v>
      </c>
    </row>
    <row r="23" spans="7:8" x14ac:dyDescent="0.3">
      <c r="G23" s="14">
        <v>19</v>
      </c>
      <c r="H23" s="2">
        <f t="shared" si="0"/>
        <v>45291</v>
      </c>
    </row>
    <row r="24" spans="7:8" x14ac:dyDescent="0.3">
      <c r="G24" s="14">
        <v>20</v>
      </c>
      <c r="H24" s="2">
        <f t="shared" si="0"/>
        <v>45260</v>
      </c>
    </row>
    <row r="25" spans="7:8" x14ac:dyDescent="0.3">
      <c r="G25" s="14">
        <v>21</v>
      </c>
      <c r="H25" s="2">
        <f t="shared" si="0"/>
        <v>45230</v>
      </c>
    </row>
    <row r="26" spans="7:8" x14ac:dyDescent="0.3">
      <c r="G26" s="14">
        <v>22</v>
      </c>
      <c r="H26" s="2">
        <f t="shared" si="0"/>
        <v>45199</v>
      </c>
    </row>
    <row r="27" spans="7:8" x14ac:dyDescent="0.3">
      <c r="G27" s="14">
        <v>23</v>
      </c>
      <c r="H27" s="2">
        <f t="shared" si="0"/>
        <v>45169</v>
      </c>
    </row>
    <row r="28" spans="7:8" x14ac:dyDescent="0.3">
      <c r="G28" s="14">
        <v>24</v>
      </c>
      <c r="H28" s="2">
        <f t="shared" si="0"/>
        <v>45138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AC6D-7E83-4596-93C4-4B543460E679}">
  <sheetPr codeName="Sheet3"/>
  <dimension ref="B1:F32"/>
  <sheetViews>
    <sheetView topLeftCell="A10" workbookViewId="0">
      <selection activeCell="E27" sqref="E27:F27"/>
    </sheetView>
  </sheetViews>
  <sheetFormatPr defaultRowHeight="14.4" x14ac:dyDescent="0.3"/>
  <cols>
    <col min="1" max="1" width="5" customWidth="1"/>
    <col min="2" max="2" width="13" customWidth="1"/>
    <col min="3" max="3" width="13.109375" bestFit="1" customWidth="1"/>
    <col min="4" max="4" width="5" customWidth="1"/>
    <col min="5" max="5" width="12.44140625" bestFit="1" customWidth="1"/>
    <col min="6" max="6" width="13.109375" bestFit="1" customWidth="1"/>
  </cols>
  <sheetData>
    <row r="1" spans="2:6" x14ac:dyDescent="0.3">
      <c r="B1" s="6" t="s">
        <v>802</v>
      </c>
    </row>
    <row r="3" spans="2:6" x14ac:dyDescent="0.3">
      <c r="B3" s="6" t="s">
        <v>804</v>
      </c>
    </row>
    <row r="4" spans="2:6" x14ac:dyDescent="0.3">
      <c r="B4" s="32" t="s">
        <v>2</v>
      </c>
      <c r="C4" s="32" t="s">
        <v>803</v>
      </c>
      <c r="E4" s="32" t="s">
        <v>2</v>
      </c>
      <c r="F4" s="32" t="s">
        <v>803</v>
      </c>
    </row>
    <row r="5" spans="2:6" x14ac:dyDescent="0.3">
      <c r="B5" s="10" t="str" cm="1">
        <f t="array" ref="B5:B9">_xlfn.UNIQUE(Sales_Data[Sales Rep],FALSE,FALSE)</f>
        <v>David Lee</v>
      </c>
      <c r="C5" s="11" cm="1">
        <f t="array" ref="C5:C9">SUMIFS(Sales_Data[Deal Amount], Sales_Data[Stage], "Closed Won", Sales_Data[Sales Rep],_xlfn.ANCHORARRAY( 'Rank Rollup'!B5), Sales_Data[Master Inc], 1)</f>
        <v>1275800</v>
      </c>
      <c r="E5" s="10" t="str" cm="1">
        <f t="array" ref="E5:F9">_xlfn._xlws.SORT(_xlfn._xlws.FILTER(B5:C9,_xlfn.ANCHORARRAY(C5) &lt;&gt; 0),2,-1)</f>
        <v>Emma Davis</v>
      </c>
      <c r="F5" s="11">
        <v>1472300</v>
      </c>
    </row>
    <row r="6" spans="2:6" x14ac:dyDescent="0.3">
      <c r="B6" s="10" t="str">
        <v>Emma Davis</v>
      </c>
      <c r="C6" s="11">
        <v>1472300</v>
      </c>
      <c r="E6" s="10" t="str">
        <v>Alice Johnson</v>
      </c>
      <c r="F6" s="11">
        <v>1414500</v>
      </c>
    </row>
    <row r="7" spans="2:6" x14ac:dyDescent="0.3">
      <c r="B7" s="10" t="str">
        <v>Charlie Brown</v>
      </c>
      <c r="C7" s="11">
        <v>1341400</v>
      </c>
      <c r="E7" s="10" t="str">
        <v>Charlie Brown</v>
      </c>
      <c r="F7" s="11">
        <v>1341400</v>
      </c>
    </row>
    <row r="8" spans="2:6" x14ac:dyDescent="0.3">
      <c r="B8" s="10" t="str">
        <v>Alice Johnson</v>
      </c>
      <c r="C8" s="11">
        <v>1414500</v>
      </c>
      <c r="E8" s="10" t="str">
        <v>Bob Smith</v>
      </c>
      <c r="F8" s="11">
        <v>1328100</v>
      </c>
    </row>
    <row r="9" spans="2:6" x14ac:dyDescent="0.3">
      <c r="B9" s="12" t="str">
        <v>Bob Smith</v>
      </c>
      <c r="C9" s="13">
        <v>1328100</v>
      </c>
      <c r="E9" s="12" t="str">
        <v>David Lee</v>
      </c>
      <c r="F9" s="13">
        <v>1275800</v>
      </c>
    </row>
    <row r="15" spans="2:6" x14ac:dyDescent="0.3">
      <c r="B15" s="6" t="s">
        <v>805</v>
      </c>
    </row>
    <row r="16" spans="2:6" x14ac:dyDescent="0.3">
      <c r="B16" s="32" t="s">
        <v>2</v>
      </c>
      <c r="C16" s="32" t="s">
        <v>806</v>
      </c>
      <c r="E16" s="32" t="s">
        <v>2</v>
      </c>
      <c r="F16" s="32" t="s">
        <v>806</v>
      </c>
    </row>
    <row r="17" spans="2:6" x14ac:dyDescent="0.3">
      <c r="B17" s="10" t="str" cm="1">
        <f t="array" ref="B17:B21">_xlfn.UNIQUE(_xlfn._xlws.FILTER(Sales_Data[Loss Reason], Sales_Data[Loss Reason] &lt;&gt;0),FALSE,FALSE)</f>
        <v>No Decision</v>
      </c>
      <c r="C17" s="11" cm="1">
        <f t="array" ref="C17:C21">COUNTIFS(Sales_Data[Loss Reason],_xlfn.ANCHORARRAY(B17), Sales_Data[Master Inc], 1)</f>
        <v>61</v>
      </c>
      <c r="E17" s="10" t="str" cm="1">
        <f t="array" ref="E17:F21">_xlfn._xlws.SORT(_xlfn._xlws.FILTER(B17:C21,_xlfn.ANCHORARRAY(C17) &lt;&gt;0),2,-1)</f>
        <v>Price</v>
      </c>
      <c r="F17" s="11">
        <v>76</v>
      </c>
    </row>
    <row r="18" spans="2:6" x14ac:dyDescent="0.3">
      <c r="B18" s="10" t="str">
        <v>Price</v>
      </c>
      <c r="C18" s="11">
        <v>76</v>
      </c>
      <c r="E18" s="10" t="str">
        <v>Timing</v>
      </c>
      <c r="F18" s="11">
        <v>73</v>
      </c>
    </row>
    <row r="19" spans="2:6" x14ac:dyDescent="0.3">
      <c r="B19" s="10" t="str">
        <v>Competition</v>
      </c>
      <c r="C19" s="11">
        <v>64</v>
      </c>
      <c r="E19" s="10" t="str">
        <v>Budget</v>
      </c>
      <c r="F19" s="11">
        <v>67</v>
      </c>
    </row>
    <row r="20" spans="2:6" x14ac:dyDescent="0.3">
      <c r="B20" s="10" t="str">
        <v>Budget</v>
      </c>
      <c r="C20" s="11">
        <v>67</v>
      </c>
      <c r="E20" s="10" t="str">
        <v>Competition</v>
      </c>
      <c r="F20" s="11">
        <v>64</v>
      </c>
    </row>
    <row r="21" spans="2:6" x14ac:dyDescent="0.3">
      <c r="B21" s="12" t="str">
        <v>Timing</v>
      </c>
      <c r="C21" s="13">
        <v>73</v>
      </c>
      <c r="E21" s="12" t="str">
        <v>No Decision</v>
      </c>
      <c r="F21" s="13">
        <v>61</v>
      </c>
    </row>
    <row r="26" spans="2:6" x14ac:dyDescent="0.3">
      <c r="B26" s="6" t="s">
        <v>807</v>
      </c>
    </row>
    <row r="27" spans="2:6" x14ac:dyDescent="0.3">
      <c r="B27" s="32" t="s">
        <v>4</v>
      </c>
      <c r="C27" s="32" t="s">
        <v>806</v>
      </c>
      <c r="E27" s="32" t="s">
        <v>4</v>
      </c>
      <c r="F27" s="32" t="s">
        <v>806</v>
      </c>
    </row>
    <row r="28" spans="2:6" x14ac:dyDescent="0.3">
      <c r="B28" s="10" t="str" cm="1">
        <f t="array" ref="B28:B32">_xlfn.UNIQUE(Sales_Data[Lead Source])</f>
        <v>Cold Outreach</v>
      </c>
      <c r="C28" s="11" cm="1">
        <f t="array" ref="C28:C32">COUNTIFS(Sales_Data[Lead Source],_xlfn.ANCHORARRAY(B28), Sales_Data[Master Inc], 1 )</f>
        <v>142</v>
      </c>
      <c r="E28" s="10" t="str" cm="1">
        <f t="array" ref="E28:F32">_xlfn._xlws.SORT(_xlfn._xlws.FILTER(B28:C32,_xlfn.ANCHORARRAY( C28)&lt;&gt;0),2,-1)</f>
        <v>Event</v>
      </c>
      <c r="F28" s="11">
        <v>182</v>
      </c>
    </row>
    <row r="29" spans="2:6" x14ac:dyDescent="0.3">
      <c r="B29" s="10" t="str">
        <v>SDR</v>
      </c>
      <c r="C29" s="11">
        <v>83</v>
      </c>
      <c r="E29" s="10" t="str">
        <v>Cold Outreach</v>
      </c>
      <c r="F29" s="11">
        <v>142</v>
      </c>
    </row>
    <row r="30" spans="2:6" x14ac:dyDescent="0.3">
      <c r="B30" s="10" t="str">
        <v>Event</v>
      </c>
      <c r="C30" s="11">
        <v>182</v>
      </c>
      <c r="E30" s="10" t="str">
        <v>Inbound Marketing</v>
      </c>
      <c r="F30" s="11">
        <v>91</v>
      </c>
    </row>
    <row r="31" spans="2:6" x14ac:dyDescent="0.3">
      <c r="B31" s="10" t="str">
        <v>Referral</v>
      </c>
      <c r="C31" s="11">
        <v>73</v>
      </c>
      <c r="E31" s="10" t="str">
        <v>SDR</v>
      </c>
      <c r="F31" s="11">
        <v>83</v>
      </c>
    </row>
    <row r="32" spans="2:6" x14ac:dyDescent="0.3">
      <c r="B32" s="12" t="str">
        <v>Inbound Marketing</v>
      </c>
      <c r="C32" s="13">
        <v>91</v>
      </c>
      <c r="E32" s="12" t="str">
        <v>Referral</v>
      </c>
      <c r="F32" s="13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55A7-F6DE-4576-A616-96F09ABEDA18}">
  <sheetPr codeName="Sheet4"/>
  <dimension ref="B1:Q34"/>
  <sheetViews>
    <sheetView workbookViewId="0">
      <selection activeCell="N7" sqref="N7"/>
    </sheetView>
  </sheetViews>
  <sheetFormatPr defaultColWidth="11.5546875" defaultRowHeight="14.4" x14ac:dyDescent="0.3"/>
  <cols>
    <col min="1" max="1" width="7.44140625" customWidth="1"/>
    <col min="2" max="2" width="10.33203125" bestFit="1" customWidth="1"/>
    <col min="6" max="6" width="13.88671875" bestFit="1" customWidth="1"/>
    <col min="11" max="11" width="14.21875" customWidth="1"/>
  </cols>
  <sheetData>
    <row r="1" spans="2:17" x14ac:dyDescent="0.3">
      <c r="C1" s="6" t="s">
        <v>782</v>
      </c>
    </row>
    <row r="4" spans="2:17" x14ac:dyDescent="0.3">
      <c r="C4" s="33" t="s">
        <v>783</v>
      </c>
      <c r="D4" s="33"/>
      <c r="E4" s="33"/>
      <c r="F4" s="33"/>
      <c r="G4" s="33"/>
      <c r="H4" s="33"/>
      <c r="I4" s="33"/>
      <c r="J4" s="33"/>
      <c r="K4" s="33"/>
      <c r="L4" s="34" t="s">
        <v>795</v>
      </c>
      <c r="M4" s="34"/>
      <c r="N4" s="34"/>
      <c r="O4" s="34"/>
      <c r="P4" s="34"/>
      <c r="Q4" s="34"/>
    </row>
    <row r="5" spans="2:17" x14ac:dyDescent="0.3">
      <c r="C5" t="s">
        <v>784</v>
      </c>
      <c r="D5" t="s">
        <v>785</v>
      </c>
      <c r="E5" t="s">
        <v>786</v>
      </c>
      <c r="F5" t="s">
        <v>787</v>
      </c>
      <c r="G5" t="s">
        <v>788</v>
      </c>
      <c r="H5" t="s">
        <v>789</v>
      </c>
      <c r="I5" t="s">
        <v>790</v>
      </c>
      <c r="J5" t="s">
        <v>791</v>
      </c>
      <c r="K5" t="s">
        <v>792</v>
      </c>
      <c r="L5" t="s">
        <v>796</v>
      </c>
      <c r="M5" t="s">
        <v>797</v>
      </c>
      <c r="N5" t="s">
        <v>798</v>
      </c>
      <c r="O5" t="s">
        <v>801</v>
      </c>
      <c r="P5" t="s">
        <v>799</v>
      </c>
      <c r="Q5" t="s">
        <v>800</v>
      </c>
    </row>
    <row r="6" spans="2:17" x14ac:dyDescent="0.3">
      <c r="C6">
        <f>COUNTIFS(Sales_Data[Opportunity ID], "&lt;&gt;"&amp;"", Sales_Data[Master Inc], 1)</f>
        <v>571</v>
      </c>
      <c r="D6" s="7">
        <f>SUMIF(Sales_Data[Master Inc], 1, Sales_Data[Deal Amount])</f>
        <v>22681900</v>
      </c>
      <c r="E6">
        <f>COUNTIFS(Sales_Data[Open/Closed], "Closed", Sales_Data[Master Inc], 1)</f>
        <v>511</v>
      </c>
      <c r="F6" s="5">
        <f>SUMIFS(Sales_Data[Deal Amount], Sales_Data[Open/Closed], "Closed", Sales_Data[Master Inc], 1)</f>
        <v>20401100</v>
      </c>
      <c r="G6">
        <f>COUNTIFS(Sales_Data[Stage], "Closed Won", Sales_Data[Master Inc], 1)</f>
        <v>170</v>
      </c>
      <c r="H6" s="5">
        <f>SUMIFS(Sales_Data[Deal Amount], Sales_Data[Stage], "Closed Won", Sales_Data[Master Inc], 1)</f>
        <v>6832100</v>
      </c>
      <c r="I6">
        <f>C6-E6</f>
        <v>60</v>
      </c>
      <c r="J6" s="7">
        <f>D6-F6</f>
        <v>2280800</v>
      </c>
      <c r="K6" s="8">
        <f>AVERAGEIFS(Sales_Data[Time to Close],  Sales_Data[Time to Close], "&lt;&gt;"&amp;"", Sales_Data[Master Inc], 1)</f>
        <v>74.55968688845401</v>
      </c>
      <c r="L6" s="5">
        <f>D6/C6</f>
        <v>39723.117338003503</v>
      </c>
      <c r="M6" s="5">
        <f>F6/E6</f>
        <v>39923.874755381607</v>
      </c>
      <c r="N6" s="5">
        <f>H6/G6</f>
        <v>40188.823529411762</v>
      </c>
      <c r="O6" s="5">
        <f>(F6-H6)/(E6-G6)</f>
        <v>39791.788856304986</v>
      </c>
      <c r="P6" s="7">
        <f>J6/I6</f>
        <v>38013.333333333336</v>
      </c>
      <c r="Q6" s="9">
        <f>G6/E6</f>
        <v>0.33268101761252444</v>
      </c>
    </row>
    <row r="9" spans="2:17" x14ac:dyDescent="0.3">
      <c r="B9" s="33"/>
      <c r="C9" s="33" t="s">
        <v>783</v>
      </c>
      <c r="D9" s="33"/>
      <c r="E9" s="33"/>
      <c r="F9" s="33"/>
      <c r="G9" s="33"/>
      <c r="H9" s="33"/>
      <c r="I9" s="33"/>
      <c r="J9" s="33"/>
      <c r="K9" s="33"/>
      <c r="L9" s="34" t="s">
        <v>795</v>
      </c>
      <c r="M9" s="34"/>
      <c r="N9" s="34"/>
      <c r="O9" s="34"/>
      <c r="P9" s="34"/>
      <c r="Q9" s="34"/>
    </row>
    <row r="10" spans="2:17" x14ac:dyDescent="0.3">
      <c r="B10" t="s">
        <v>816</v>
      </c>
      <c r="C10" t="s">
        <v>784</v>
      </c>
      <c r="D10" t="s">
        <v>785</v>
      </c>
      <c r="E10" t="s">
        <v>786</v>
      </c>
      <c r="F10" t="s">
        <v>787</v>
      </c>
      <c r="G10" t="s">
        <v>788</v>
      </c>
      <c r="H10" t="s">
        <v>789</v>
      </c>
      <c r="I10" t="s">
        <v>790</v>
      </c>
      <c r="J10" t="s">
        <v>791</v>
      </c>
      <c r="K10" t="s">
        <v>792</v>
      </c>
      <c r="L10" t="s">
        <v>796</v>
      </c>
      <c r="M10" t="s">
        <v>797</v>
      </c>
      <c r="N10" t="s">
        <v>798</v>
      </c>
      <c r="O10" t="s">
        <v>801</v>
      </c>
      <c r="P10" t="s">
        <v>799</v>
      </c>
      <c r="Q10" t="s">
        <v>800</v>
      </c>
    </row>
    <row r="11" spans="2:17" x14ac:dyDescent="0.3">
      <c r="B11" s="2" cm="1">
        <f t="array" ref="B11:B34">_xlfn._xlws.FILTER(Index!H5:H28,Index!H5:H28&gt;=Index!E5)</f>
        <v>45838</v>
      </c>
      <c r="C11" cm="1">
        <f t="array" ref="C11:C34">COUNTIFS(Sales_Data[Opportunity ID], "&lt;&gt;"&amp;"", Sales_Data[Master Inc], 1,Sales_Data[EoM Created],_xlfn.ANCHORARRAY( B11))</f>
        <v>28</v>
      </c>
      <c r="D11" s="7" cm="1">
        <f t="array" ref="D11:D34">SUMIFS(Sales_Data[Deal Amount], Sales_Data[Master Inc], 1, Sales_Data[EoM Created],_xlfn.ANCHORARRAY( B11))</f>
        <v>1126500</v>
      </c>
      <c r="E11" cm="1">
        <f t="array" ref="E11:E34">COUNTIFS(Sales_Data[Open/Closed], "Closed", Sales_Data[Master Inc], 1,Sales_Data[EoM Created],_xlfn.ANCHORARRAY( B11))</f>
        <v>9</v>
      </c>
      <c r="F11" s="5" cm="1">
        <f t="array" ref="F11:F34">SUMIFS(Sales_Data[Deal Amount], Sales_Data[Open/Closed], "Closed", Sales_Data[Master Inc], 1,Sales_Data[EoM Created],_xlfn.ANCHORARRAY( B11))</f>
        <v>338800</v>
      </c>
      <c r="G11" cm="1">
        <f t="array" ref="G11:G34">COUNTIFS(Sales_Data[Stage], "Closed Won", Sales_Data[Master Inc], 1,Sales_Data[EoM Created],_xlfn.ANCHORARRAY( B11))</f>
        <v>4</v>
      </c>
      <c r="H11" s="5" cm="1">
        <f t="array" ref="H11:H34">SUMIFS(Sales_Data[Deal Amount], Sales_Data[Stage], "Closed Won", Sales_Data[Master Inc], 1,Sales_Data[EoM Created],_xlfn.ANCHORARRAY( B11))</f>
        <v>149900</v>
      </c>
      <c r="I11" s="7" cm="1">
        <f t="array" ref="I11:I34">_xlfn.ANCHORARRAY(C11)-_xlfn.ANCHORARRAY(E11)</f>
        <v>19</v>
      </c>
      <c r="J11" s="7" cm="1">
        <f t="array" ref="J11:J34">_xlfn.ANCHORARRAY(D11)-_xlfn.ANCHORARRAY(F11)</f>
        <v>787700</v>
      </c>
      <c r="K11" s="8" cm="1">
        <f t="array" ref="K11:K34">AVERAGEIFS(Sales_Data[Time to Close],  Sales_Data[Time to Close], "&lt;&gt;"&amp;"", Sales_Data[Master Inc], 1,Sales_Data[EoM Created],_xlfn.ANCHORARRAY( B11))</f>
        <v>72.333333333333329</v>
      </c>
      <c r="L11" s="5" cm="1">
        <f t="array" ref="L11:L34">IFERROR(_xlfn.ANCHORARRAY(D11)/_xlfn.ANCHORARRAY(C11),0)</f>
        <v>40232.142857142855</v>
      </c>
      <c r="M11" s="5" cm="1">
        <f t="array" ref="M11:M34">IFERROR(_xlfn.ANCHORARRAY(F11)/_xlfn.ANCHORARRAY(E11),0)</f>
        <v>37644.444444444445</v>
      </c>
      <c r="N11" s="5" cm="1">
        <f t="array" ref="N11:N34">IFERROR(_xlfn.ANCHORARRAY(H11)/_xlfn.ANCHORARRAY(G11),0)</f>
        <v>37475</v>
      </c>
      <c r="O11" s="5" cm="1">
        <f t="array" ref="O11:O34">IFERROR((_xlfn.ANCHORARRAY(F11)-_xlfn.ANCHORARRAY(H11))/(_xlfn.ANCHORARRAY(E11)-_xlfn.ANCHORARRAY(G11)),0)</f>
        <v>37780</v>
      </c>
      <c r="P11" s="7" cm="1">
        <f t="array" ref="P11:P34">IFERROR(_xlfn.ANCHORARRAY(J11)/_xlfn.ANCHORARRAY(I11),0)</f>
        <v>41457.894736842107</v>
      </c>
      <c r="Q11" s="9" cm="1">
        <f t="array" ref="Q11:Q34">IFERROR(_xlfn.ANCHORARRAY(G11)/_xlfn.ANCHORARRAY(E11),0)</f>
        <v>0.44444444444444442</v>
      </c>
    </row>
    <row r="12" spans="2:17" x14ac:dyDescent="0.3">
      <c r="B12" s="2">
        <v>45808</v>
      </c>
      <c r="C12">
        <v>20</v>
      </c>
      <c r="D12" s="7">
        <v>773400</v>
      </c>
      <c r="E12">
        <v>5</v>
      </c>
      <c r="F12" s="5">
        <v>232700</v>
      </c>
      <c r="G12">
        <v>1</v>
      </c>
      <c r="H12" s="5">
        <v>44000</v>
      </c>
      <c r="I12" s="7">
        <v>15</v>
      </c>
      <c r="J12" s="7">
        <v>540700</v>
      </c>
      <c r="K12" s="8">
        <v>74.599999999999994</v>
      </c>
      <c r="L12" s="5">
        <v>38670</v>
      </c>
      <c r="M12" s="5">
        <v>46540</v>
      </c>
      <c r="N12" s="5">
        <v>44000</v>
      </c>
      <c r="O12" s="5">
        <v>47175</v>
      </c>
      <c r="P12" s="7">
        <v>36046.666666666664</v>
      </c>
      <c r="Q12" s="9">
        <v>0.2</v>
      </c>
    </row>
    <row r="13" spans="2:17" x14ac:dyDescent="0.3">
      <c r="B13" s="2">
        <v>45777</v>
      </c>
      <c r="C13">
        <v>36</v>
      </c>
      <c r="D13" s="7">
        <v>1383800</v>
      </c>
      <c r="E13">
        <v>10</v>
      </c>
      <c r="F13" s="5">
        <v>431400</v>
      </c>
      <c r="G13">
        <v>2</v>
      </c>
      <c r="H13" s="5">
        <v>115100</v>
      </c>
      <c r="I13" s="7">
        <v>26</v>
      </c>
      <c r="J13" s="7">
        <v>952400</v>
      </c>
      <c r="K13" s="8">
        <v>74.599999999999994</v>
      </c>
      <c r="L13" s="5">
        <v>38438.888888888891</v>
      </c>
      <c r="M13" s="5">
        <v>43140</v>
      </c>
      <c r="N13" s="5">
        <v>57550</v>
      </c>
      <c r="O13" s="5">
        <v>39537.5</v>
      </c>
      <c r="P13" s="7">
        <v>36630.769230769234</v>
      </c>
      <c r="Q13" s="9">
        <v>0.2</v>
      </c>
    </row>
    <row r="14" spans="2:17" x14ac:dyDescent="0.3">
      <c r="B14" s="2">
        <v>45747</v>
      </c>
      <c r="C14">
        <v>12</v>
      </c>
      <c r="D14" s="7">
        <v>528100</v>
      </c>
      <c r="E14">
        <v>12</v>
      </c>
      <c r="F14" s="5">
        <v>528100</v>
      </c>
      <c r="G14">
        <v>7</v>
      </c>
      <c r="H14" s="5">
        <v>299100</v>
      </c>
      <c r="I14" s="7">
        <v>0</v>
      </c>
      <c r="J14" s="7">
        <v>0</v>
      </c>
      <c r="K14" s="8">
        <v>76.083333333333329</v>
      </c>
      <c r="L14" s="5">
        <v>44008.333333333336</v>
      </c>
      <c r="M14" s="5">
        <v>44008.333333333336</v>
      </c>
      <c r="N14" s="5">
        <v>42728.571428571428</v>
      </c>
      <c r="O14" s="5">
        <v>45800</v>
      </c>
      <c r="P14" s="7">
        <v>0</v>
      </c>
      <c r="Q14" s="9">
        <v>0.58333333333333337</v>
      </c>
    </row>
    <row r="15" spans="2:17" x14ac:dyDescent="0.3">
      <c r="B15" s="2">
        <v>45716</v>
      </c>
      <c r="C15">
        <v>19</v>
      </c>
      <c r="D15" s="7">
        <v>669700</v>
      </c>
      <c r="E15">
        <v>19</v>
      </c>
      <c r="F15" s="5">
        <v>669700</v>
      </c>
      <c r="G15">
        <v>5</v>
      </c>
      <c r="H15" s="5">
        <v>157900</v>
      </c>
      <c r="I15" s="7">
        <v>0</v>
      </c>
      <c r="J15" s="7">
        <v>0</v>
      </c>
      <c r="K15" s="8">
        <v>74.578947368421055</v>
      </c>
      <c r="L15" s="5">
        <v>35247.368421052633</v>
      </c>
      <c r="M15" s="5">
        <v>35247.368421052633</v>
      </c>
      <c r="N15" s="5">
        <v>31580</v>
      </c>
      <c r="O15" s="5">
        <v>36557.142857142855</v>
      </c>
      <c r="P15" s="7">
        <v>0</v>
      </c>
      <c r="Q15" s="9">
        <v>0.26315789473684209</v>
      </c>
    </row>
    <row r="16" spans="2:17" x14ac:dyDescent="0.3">
      <c r="B16" s="2">
        <v>45688</v>
      </c>
      <c r="C16">
        <v>29</v>
      </c>
      <c r="D16" s="7">
        <v>1052300</v>
      </c>
      <c r="E16">
        <v>29</v>
      </c>
      <c r="F16" s="5">
        <v>1052300</v>
      </c>
      <c r="G16">
        <v>9</v>
      </c>
      <c r="H16" s="5">
        <v>347300</v>
      </c>
      <c r="I16" s="7">
        <v>0</v>
      </c>
      <c r="J16" s="7">
        <v>0</v>
      </c>
      <c r="K16" s="8">
        <v>75.068965517241381</v>
      </c>
      <c r="L16" s="5">
        <v>36286.206896551725</v>
      </c>
      <c r="M16" s="5">
        <v>36286.206896551725</v>
      </c>
      <c r="N16" s="5">
        <v>38588.888888888891</v>
      </c>
      <c r="O16" s="5">
        <v>35250</v>
      </c>
      <c r="P16" s="7">
        <v>0</v>
      </c>
      <c r="Q16" s="9">
        <v>0.31034482758620691</v>
      </c>
    </row>
    <row r="17" spans="2:17" x14ac:dyDescent="0.3">
      <c r="B17" s="2">
        <v>45657</v>
      </c>
      <c r="C17">
        <v>17</v>
      </c>
      <c r="D17" s="7">
        <v>648900</v>
      </c>
      <c r="E17">
        <v>17</v>
      </c>
      <c r="F17" s="5">
        <v>648900</v>
      </c>
      <c r="G17">
        <v>10</v>
      </c>
      <c r="H17" s="5">
        <v>409500</v>
      </c>
      <c r="I17" s="7">
        <v>0</v>
      </c>
      <c r="J17" s="7">
        <v>0</v>
      </c>
      <c r="K17" s="8">
        <v>76.705882352941174</v>
      </c>
      <c r="L17" s="5">
        <v>38170.588235294119</v>
      </c>
      <c r="M17" s="5">
        <v>38170.588235294119</v>
      </c>
      <c r="N17" s="5">
        <v>40950</v>
      </c>
      <c r="O17" s="5">
        <v>34200</v>
      </c>
      <c r="P17" s="7">
        <v>0</v>
      </c>
      <c r="Q17" s="9">
        <v>0.58823529411764708</v>
      </c>
    </row>
    <row r="18" spans="2:17" x14ac:dyDescent="0.3">
      <c r="B18" s="2">
        <v>45626</v>
      </c>
      <c r="C18">
        <v>26</v>
      </c>
      <c r="D18" s="7">
        <v>1017900</v>
      </c>
      <c r="E18">
        <v>26</v>
      </c>
      <c r="F18" s="5">
        <v>1017900</v>
      </c>
      <c r="G18">
        <v>7</v>
      </c>
      <c r="H18" s="5">
        <v>276000</v>
      </c>
      <c r="I18" s="7">
        <v>0</v>
      </c>
      <c r="J18" s="7">
        <v>0</v>
      </c>
      <c r="K18" s="8">
        <v>73.769230769230774</v>
      </c>
      <c r="L18" s="5">
        <v>39150</v>
      </c>
      <c r="M18" s="5">
        <v>39150</v>
      </c>
      <c r="N18" s="5">
        <v>39428.571428571428</v>
      </c>
      <c r="O18" s="5">
        <v>39047.368421052633</v>
      </c>
      <c r="P18" s="7">
        <v>0</v>
      </c>
      <c r="Q18" s="9">
        <v>0.26923076923076922</v>
      </c>
    </row>
    <row r="19" spans="2:17" x14ac:dyDescent="0.3">
      <c r="B19" s="2">
        <v>45596</v>
      </c>
      <c r="C19">
        <v>26</v>
      </c>
      <c r="D19" s="7">
        <v>1032500</v>
      </c>
      <c r="E19">
        <v>26</v>
      </c>
      <c r="F19" s="5">
        <v>1032500</v>
      </c>
      <c r="G19">
        <v>7</v>
      </c>
      <c r="H19" s="5">
        <v>289500</v>
      </c>
      <c r="I19" s="7">
        <v>0</v>
      </c>
      <c r="J19" s="7">
        <v>0</v>
      </c>
      <c r="K19" s="8">
        <v>74.15384615384616</v>
      </c>
      <c r="L19" s="5">
        <v>39711.538461538461</v>
      </c>
      <c r="M19" s="5">
        <v>39711.538461538461</v>
      </c>
      <c r="N19" s="5">
        <v>41357.142857142855</v>
      </c>
      <c r="O19" s="5">
        <v>39105.26315789474</v>
      </c>
      <c r="P19" s="7">
        <v>0</v>
      </c>
      <c r="Q19" s="9">
        <v>0.26923076923076922</v>
      </c>
    </row>
    <row r="20" spans="2:17" x14ac:dyDescent="0.3">
      <c r="B20" s="2">
        <v>45565</v>
      </c>
      <c r="C20">
        <v>28</v>
      </c>
      <c r="D20" s="7">
        <v>1107000</v>
      </c>
      <c r="E20">
        <v>28</v>
      </c>
      <c r="F20" s="5">
        <v>1107000</v>
      </c>
      <c r="G20">
        <v>9</v>
      </c>
      <c r="H20" s="5">
        <v>344000</v>
      </c>
      <c r="I20" s="7">
        <v>0</v>
      </c>
      <c r="J20" s="7">
        <v>0</v>
      </c>
      <c r="K20" s="8">
        <v>73.714285714285708</v>
      </c>
      <c r="L20" s="5">
        <v>39535.714285714283</v>
      </c>
      <c r="M20" s="5">
        <v>39535.714285714283</v>
      </c>
      <c r="N20" s="5">
        <v>38222.222222222219</v>
      </c>
      <c r="O20" s="5">
        <v>40157.894736842107</v>
      </c>
      <c r="P20" s="7">
        <v>0</v>
      </c>
      <c r="Q20" s="9">
        <v>0.32142857142857145</v>
      </c>
    </row>
    <row r="21" spans="2:17" x14ac:dyDescent="0.3">
      <c r="B21" s="2">
        <v>45535</v>
      </c>
      <c r="C21">
        <v>23</v>
      </c>
      <c r="D21" s="7">
        <v>898600</v>
      </c>
      <c r="E21">
        <v>23</v>
      </c>
      <c r="F21" s="5">
        <v>898600</v>
      </c>
      <c r="G21">
        <v>8</v>
      </c>
      <c r="H21" s="5">
        <v>304900</v>
      </c>
      <c r="I21" s="7">
        <v>0</v>
      </c>
      <c r="J21" s="7">
        <v>0</v>
      </c>
      <c r="K21" s="8">
        <v>78.695652173913047</v>
      </c>
      <c r="L21" s="5">
        <v>39069.565217391304</v>
      </c>
      <c r="M21" s="5">
        <v>39069.565217391304</v>
      </c>
      <c r="N21" s="5">
        <v>38112.5</v>
      </c>
      <c r="O21" s="5">
        <v>39580</v>
      </c>
      <c r="P21" s="7">
        <v>0</v>
      </c>
      <c r="Q21" s="9">
        <v>0.34782608695652173</v>
      </c>
    </row>
    <row r="22" spans="2:17" x14ac:dyDescent="0.3">
      <c r="B22" s="2">
        <v>45504</v>
      </c>
      <c r="C22">
        <v>21</v>
      </c>
      <c r="D22" s="7">
        <v>809200</v>
      </c>
      <c r="E22">
        <v>21</v>
      </c>
      <c r="F22" s="5">
        <v>809200</v>
      </c>
      <c r="G22">
        <v>11</v>
      </c>
      <c r="H22" s="5">
        <v>441600</v>
      </c>
      <c r="I22" s="7">
        <v>0</v>
      </c>
      <c r="J22" s="7">
        <v>0</v>
      </c>
      <c r="K22" s="8">
        <v>71.80952380952381</v>
      </c>
      <c r="L22" s="5">
        <v>38533.333333333336</v>
      </c>
      <c r="M22" s="5">
        <v>38533.333333333336</v>
      </c>
      <c r="N22" s="5">
        <v>40145.454545454544</v>
      </c>
      <c r="O22" s="5">
        <v>36760</v>
      </c>
      <c r="P22" s="7">
        <v>0</v>
      </c>
      <c r="Q22" s="9">
        <v>0.52380952380952384</v>
      </c>
    </row>
    <row r="23" spans="2:17" x14ac:dyDescent="0.3">
      <c r="B23" s="2">
        <v>45473</v>
      </c>
      <c r="C23">
        <v>30</v>
      </c>
      <c r="D23" s="7">
        <v>1248500</v>
      </c>
      <c r="E23">
        <v>30</v>
      </c>
      <c r="F23" s="5">
        <v>1248500</v>
      </c>
      <c r="G23">
        <v>11</v>
      </c>
      <c r="H23" s="5">
        <v>445100</v>
      </c>
      <c r="I23" s="7">
        <v>0</v>
      </c>
      <c r="J23" s="7">
        <v>0</v>
      </c>
      <c r="K23" s="8">
        <v>71.766666666666666</v>
      </c>
      <c r="L23" s="5">
        <v>41616.666666666664</v>
      </c>
      <c r="M23" s="5">
        <v>41616.666666666664</v>
      </c>
      <c r="N23" s="5">
        <v>40463.63636363636</v>
      </c>
      <c r="O23" s="5">
        <v>42284.210526315786</v>
      </c>
      <c r="P23" s="7">
        <v>0</v>
      </c>
      <c r="Q23" s="9">
        <v>0.36666666666666664</v>
      </c>
    </row>
    <row r="24" spans="2:17" x14ac:dyDescent="0.3">
      <c r="B24" s="2">
        <v>45443</v>
      </c>
      <c r="C24">
        <v>23</v>
      </c>
      <c r="D24" s="7">
        <v>890700</v>
      </c>
      <c r="E24">
        <v>23</v>
      </c>
      <c r="F24" s="5">
        <v>890700</v>
      </c>
      <c r="G24">
        <v>8</v>
      </c>
      <c r="H24" s="5">
        <v>320700</v>
      </c>
      <c r="I24" s="7">
        <v>0</v>
      </c>
      <c r="J24" s="7">
        <v>0</v>
      </c>
      <c r="K24" s="8">
        <v>74.217391304347828</v>
      </c>
      <c r="L24" s="5">
        <v>38726.086956521736</v>
      </c>
      <c r="M24" s="5">
        <v>38726.086956521736</v>
      </c>
      <c r="N24" s="5">
        <v>40087.5</v>
      </c>
      <c r="O24" s="5">
        <v>38000</v>
      </c>
      <c r="P24" s="7">
        <v>0</v>
      </c>
      <c r="Q24" s="9">
        <v>0.34782608695652173</v>
      </c>
    </row>
    <row r="25" spans="2:17" x14ac:dyDescent="0.3">
      <c r="B25" s="2">
        <v>45412</v>
      </c>
      <c r="C25">
        <v>26</v>
      </c>
      <c r="D25" s="7">
        <v>1106100</v>
      </c>
      <c r="E25">
        <v>26</v>
      </c>
      <c r="F25" s="5">
        <v>1106100</v>
      </c>
      <c r="G25">
        <v>9</v>
      </c>
      <c r="H25" s="5">
        <v>365400</v>
      </c>
      <c r="I25" s="7">
        <v>0</v>
      </c>
      <c r="J25" s="7">
        <v>0</v>
      </c>
      <c r="K25" s="8">
        <v>74.42307692307692</v>
      </c>
      <c r="L25" s="5">
        <v>42542.307692307695</v>
      </c>
      <c r="M25" s="5">
        <v>42542.307692307695</v>
      </c>
      <c r="N25" s="5">
        <v>40600</v>
      </c>
      <c r="O25" s="5">
        <v>43570.588235294119</v>
      </c>
      <c r="P25" s="7">
        <v>0</v>
      </c>
      <c r="Q25" s="9">
        <v>0.34615384615384615</v>
      </c>
    </row>
    <row r="26" spans="2:17" x14ac:dyDescent="0.3">
      <c r="B26" s="2">
        <v>45382</v>
      </c>
      <c r="C26">
        <v>24</v>
      </c>
      <c r="D26" s="7">
        <v>920200</v>
      </c>
      <c r="E26">
        <v>24</v>
      </c>
      <c r="F26" s="5">
        <v>920200</v>
      </c>
      <c r="G26">
        <v>5</v>
      </c>
      <c r="H26" s="5">
        <v>153500</v>
      </c>
      <c r="I26" s="7">
        <v>0</v>
      </c>
      <c r="J26" s="7">
        <v>0</v>
      </c>
      <c r="K26" s="8">
        <v>74.958333333333329</v>
      </c>
      <c r="L26" s="5">
        <v>38341.666666666664</v>
      </c>
      <c r="M26" s="5">
        <v>38341.666666666664</v>
      </c>
      <c r="N26" s="5">
        <v>30700</v>
      </c>
      <c r="O26" s="5">
        <v>40352.631578947367</v>
      </c>
      <c r="P26" s="7">
        <v>0</v>
      </c>
      <c r="Q26" s="9">
        <v>0.20833333333333334</v>
      </c>
    </row>
    <row r="27" spans="2:17" x14ac:dyDescent="0.3">
      <c r="B27" s="2">
        <v>45351</v>
      </c>
      <c r="C27">
        <v>33</v>
      </c>
      <c r="D27" s="7">
        <v>1334400</v>
      </c>
      <c r="E27">
        <v>33</v>
      </c>
      <c r="F27" s="5">
        <v>1334400</v>
      </c>
      <c r="G27">
        <v>15</v>
      </c>
      <c r="H27" s="5">
        <v>641200</v>
      </c>
      <c r="I27" s="7">
        <v>0</v>
      </c>
      <c r="J27" s="7">
        <v>0</v>
      </c>
      <c r="K27" s="8">
        <v>73.242424242424249</v>
      </c>
      <c r="L27" s="5">
        <v>40436.36363636364</v>
      </c>
      <c r="M27" s="5">
        <v>40436.36363636364</v>
      </c>
      <c r="N27" s="5">
        <v>42746.666666666664</v>
      </c>
      <c r="O27" s="5">
        <v>38511.111111111109</v>
      </c>
      <c r="P27" s="7">
        <v>0</v>
      </c>
      <c r="Q27" s="9">
        <v>0.45454545454545453</v>
      </c>
    </row>
    <row r="28" spans="2:17" x14ac:dyDescent="0.3">
      <c r="B28" s="2">
        <v>45322</v>
      </c>
      <c r="C28">
        <v>15</v>
      </c>
      <c r="D28" s="7">
        <v>692800</v>
      </c>
      <c r="E28">
        <v>15</v>
      </c>
      <c r="F28" s="5">
        <v>692800</v>
      </c>
      <c r="G28">
        <v>4</v>
      </c>
      <c r="H28" s="5">
        <v>189400</v>
      </c>
      <c r="I28" s="7">
        <v>0</v>
      </c>
      <c r="J28" s="7">
        <v>0</v>
      </c>
      <c r="K28" s="8">
        <v>73.266666666666666</v>
      </c>
      <c r="L28" s="5">
        <v>46186.666666666664</v>
      </c>
      <c r="M28" s="5">
        <v>46186.666666666664</v>
      </c>
      <c r="N28" s="5">
        <v>47350</v>
      </c>
      <c r="O28" s="5">
        <v>45763.63636363636</v>
      </c>
      <c r="P28" s="7">
        <v>0</v>
      </c>
      <c r="Q28" s="9">
        <v>0.26666666666666666</v>
      </c>
    </row>
    <row r="29" spans="2:17" x14ac:dyDescent="0.3">
      <c r="B29" s="2">
        <v>45291</v>
      </c>
      <c r="C29">
        <v>20</v>
      </c>
      <c r="D29" s="7">
        <v>791500</v>
      </c>
      <c r="E29">
        <v>20</v>
      </c>
      <c r="F29" s="5">
        <v>791500</v>
      </c>
      <c r="G29">
        <v>4</v>
      </c>
      <c r="H29" s="5">
        <v>155600</v>
      </c>
      <c r="I29" s="7">
        <v>0</v>
      </c>
      <c r="J29" s="7">
        <v>0</v>
      </c>
      <c r="K29" s="8">
        <v>75.95</v>
      </c>
      <c r="L29" s="5">
        <v>39575</v>
      </c>
      <c r="M29" s="5">
        <v>39575</v>
      </c>
      <c r="N29" s="5">
        <v>38900</v>
      </c>
      <c r="O29" s="5">
        <v>39743.75</v>
      </c>
      <c r="P29" s="7">
        <v>0</v>
      </c>
      <c r="Q29" s="9">
        <v>0.2</v>
      </c>
    </row>
    <row r="30" spans="2:17" x14ac:dyDescent="0.3">
      <c r="B30" s="2">
        <v>45260</v>
      </c>
      <c r="C30">
        <v>24</v>
      </c>
      <c r="D30" s="7">
        <v>1014000</v>
      </c>
      <c r="E30">
        <v>24</v>
      </c>
      <c r="F30" s="5">
        <v>1014000</v>
      </c>
      <c r="G30">
        <v>7</v>
      </c>
      <c r="H30" s="5">
        <v>297500</v>
      </c>
      <c r="I30" s="7">
        <v>0</v>
      </c>
      <c r="J30" s="7">
        <v>0</v>
      </c>
      <c r="K30" s="8">
        <v>74.833333333333329</v>
      </c>
      <c r="L30" s="5">
        <v>42250</v>
      </c>
      <c r="M30" s="5">
        <v>42250</v>
      </c>
      <c r="N30" s="5">
        <v>42500</v>
      </c>
      <c r="O30" s="5">
        <v>42147.058823529413</v>
      </c>
      <c r="P30" s="7">
        <v>0</v>
      </c>
      <c r="Q30" s="9">
        <v>0.29166666666666669</v>
      </c>
    </row>
    <row r="31" spans="2:17" x14ac:dyDescent="0.3">
      <c r="B31" s="2">
        <v>45230</v>
      </c>
      <c r="C31">
        <v>16</v>
      </c>
      <c r="D31" s="7">
        <v>662400</v>
      </c>
      <c r="E31">
        <v>16</v>
      </c>
      <c r="F31" s="5">
        <v>662400</v>
      </c>
      <c r="G31">
        <v>7</v>
      </c>
      <c r="H31" s="5">
        <v>301600</v>
      </c>
      <c r="I31" s="7">
        <v>0</v>
      </c>
      <c r="J31" s="7">
        <v>0</v>
      </c>
      <c r="K31" s="8">
        <v>74.125</v>
      </c>
      <c r="L31" s="5">
        <v>41400</v>
      </c>
      <c r="M31" s="5">
        <v>41400</v>
      </c>
      <c r="N31" s="5">
        <v>43085.714285714283</v>
      </c>
      <c r="O31" s="5">
        <v>40088.888888888891</v>
      </c>
      <c r="P31" s="7">
        <v>0</v>
      </c>
      <c r="Q31" s="9">
        <v>0.4375</v>
      </c>
    </row>
    <row r="32" spans="2:17" x14ac:dyDescent="0.3">
      <c r="B32" s="2">
        <v>45199</v>
      </c>
      <c r="C32">
        <v>26</v>
      </c>
      <c r="D32" s="7">
        <v>1037100</v>
      </c>
      <c r="E32">
        <v>26</v>
      </c>
      <c r="F32" s="5">
        <v>1037100</v>
      </c>
      <c r="G32">
        <v>9</v>
      </c>
      <c r="H32" s="5">
        <v>380400</v>
      </c>
      <c r="I32" s="7">
        <v>0</v>
      </c>
      <c r="J32" s="7">
        <v>0</v>
      </c>
      <c r="K32" s="8">
        <v>75</v>
      </c>
      <c r="L32" s="5">
        <v>39888.461538461539</v>
      </c>
      <c r="M32" s="5">
        <v>39888.461538461539</v>
      </c>
      <c r="N32" s="5">
        <v>42266.666666666664</v>
      </c>
      <c r="O32" s="5">
        <v>38629.411764705881</v>
      </c>
      <c r="P32" s="7">
        <v>0</v>
      </c>
      <c r="Q32" s="9">
        <v>0.34615384615384615</v>
      </c>
    </row>
    <row r="33" spans="2:17" x14ac:dyDescent="0.3">
      <c r="B33" s="2">
        <v>45169</v>
      </c>
      <c r="C33">
        <v>27</v>
      </c>
      <c r="D33" s="7">
        <v>1110900</v>
      </c>
      <c r="E33">
        <v>27</v>
      </c>
      <c r="F33" s="5">
        <v>1110900</v>
      </c>
      <c r="G33">
        <v>5</v>
      </c>
      <c r="H33" s="5">
        <v>217900</v>
      </c>
      <c r="I33" s="7">
        <v>0</v>
      </c>
      <c r="J33" s="7">
        <v>0</v>
      </c>
      <c r="K33" s="8">
        <v>76.925925925925924</v>
      </c>
      <c r="L33" s="5">
        <v>41144.444444444445</v>
      </c>
      <c r="M33" s="5">
        <v>41144.444444444445</v>
      </c>
      <c r="N33" s="5">
        <v>43580</v>
      </c>
      <c r="O33" s="5">
        <v>40590.909090909088</v>
      </c>
      <c r="P33" s="7">
        <v>0</v>
      </c>
      <c r="Q33" s="9">
        <v>0.18518518518518517</v>
      </c>
    </row>
    <row r="34" spans="2:17" x14ac:dyDescent="0.3">
      <c r="B34" s="2">
        <v>45138</v>
      </c>
      <c r="C34">
        <v>22</v>
      </c>
      <c r="D34" s="7">
        <v>825400</v>
      </c>
      <c r="E34">
        <v>22</v>
      </c>
      <c r="F34" s="5">
        <v>825400</v>
      </c>
      <c r="G34">
        <v>6</v>
      </c>
      <c r="H34" s="5">
        <v>185000</v>
      </c>
      <c r="I34" s="7">
        <v>0</v>
      </c>
      <c r="J34" s="7">
        <v>0</v>
      </c>
      <c r="K34" s="8">
        <v>75.13636363636364</v>
      </c>
      <c r="L34" s="5">
        <v>37518.181818181816</v>
      </c>
      <c r="M34" s="5">
        <v>37518.181818181816</v>
      </c>
      <c r="N34" s="5">
        <v>30833.333333333332</v>
      </c>
      <c r="O34" s="5">
        <v>40025</v>
      </c>
      <c r="P34" s="7">
        <v>0</v>
      </c>
      <c r="Q34" s="9">
        <v>0.27272727272727271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V751"/>
  <sheetViews>
    <sheetView tabSelected="1" workbookViewId="0">
      <selection activeCell="J5" sqref="J5"/>
    </sheetView>
  </sheetViews>
  <sheetFormatPr defaultRowHeight="14.4" x14ac:dyDescent="0.3"/>
  <cols>
    <col min="1" max="1" width="18.109375" bestFit="1" customWidth="1"/>
    <col min="2" max="2" width="16.33203125" bestFit="1" customWidth="1"/>
    <col min="3" max="3" width="13.33203125" bestFit="1" customWidth="1"/>
    <col min="4" max="4" width="14.77734375" bestFit="1" customWidth="1"/>
    <col min="5" max="6" width="16.44140625" bestFit="1" customWidth="1"/>
    <col min="7" max="7" width="11.44140625" bestFit="1" customWidth="1"/>
    <col min="8" max="8" width="14.21875" bestFit="1" customWidth="1"/>
    <col min="9" max="9" width="15.5546875" bestFit="1" customWidth="1"/>
    <col min="10" max="10" width="16.44140625" bestFit="1" customWidth="1"/>
    <col min="11" max="11" width="16.6640625" bestFit="1" customWidth="1"/>
    <col min="12" max="12" width="16.33203125" bestFit="1" customWidth="1"/>
    <col min="13" max="13" width="12.21875" bestFit="1" customWidth="1"/>
    <col min="14" max="14" width="13.109375" bestFit="1" customWidth="1"/>
    <col min="22" max="22" width="10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1" t="s">
        <v>8</v>
      </c>
      <c r="J1" s="1" t="s">
        <v>793</v>
      </c>
      <c r="K1" s="1" t="s">
        <v>794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</row>
    <row r="2" spans="1:22" x14ac:dyDescent="0.3">
      <c r="A2" t="s">
        <v>9</v>
      </c>
      <c r="B2" s="2">
        <v>45343</v>
      </c>
      <c r="C2" t="s">
        <v>759</v>
      </c>
      <c r="D2" t="s">
        <v>764</v>
      </c>
      <c r="E2" t="s">
        <v>766</v>
      </c>
      <c r="F2" s="5">
        <v>45000</v>
      </c>
      <c r="G2" t="s">
        <v>780</v>
      </c>
      <c r="H2" s="2">
        <v>45410</v>
      </c>
      <c r="J2" t="str">
        <f>IF(Sales_Data[[#This Row],[Close Date]] &lt;&gt; 0,"Closed", "Open")</f>
        <v>Closed</v>
      </c>
      <c r="K2">
        <f>IF(Sales_Data[[#This Row],[Open/Closed]] = "Closed",Sales_Data[[#This Row],[Close Date]]-Sales_Data[[#This Row],[Created Date]],"")</f>
        <v>67</v>
      </c>
      <c r="L2" s="2">
        <f>EOMONTH(Sales_Data[[#This Row],[Created Date]],0)</f>
        <v>45351</v>
      </c>
      <c r="M2" t="b">
        <f>AND(Sales_Data[[#This Row],[EoM Created]]&gt;=Index!$E$5,Sales_Data[[#This Row],[EoM Created]]&lt;=Index!$E$4)</f>
        <v>1</v>
      </c>
      <c r="N2" t="b" cm="1">
        <f t="array" ref="N2">_xlfn.XLOOKUP(Sales_Data[[#This Row],[Sales Team]],_xlfn.ANCHORARRAY(Dashboard!$B$9),Dashboard!$D$9:$D$10,,0)</f>
        <v>1</v>
      </c>
      <c r="O2" t="b" cm="1">
        <f t="array" ref="O2">_xlfn.XLOOKUP(Sales_Data[[#This Row],[Sales Rep]],_xlfn.ANCHORARRAY(Dashboard!$B$13),Dashboard!$D$13:$D$17,,0)</f>
        <v>1</v>
      </c>
      <c r="P2" t="b" cm="1">
        <f t="array" ref="P2">_xlfn.XLOOKUP(Sales_Data[[#This Row],[Stage]],_xlfn.ANCHORARRAY(Dashboard!$B$20),Dashboard!$D$20:$D$25)</f>
        <v>1</v>
      </c>
      <c r="Q2" t="b" cm="1">
        <f t="array" ref="Q2">_xlfn.XLOOKUP(Sales_Data[[#This Row],[Lead Source]],_xlfn.ANCHORARRAY(Dashboard!$B$28),Dashboard!$D$28:$D$32)</f>
        <v>1</v>
      </c>
      <c r="R2">
        <f>Sales_Data[[#This Row],[Date inc]]*Sales_Data[[#This Row],[Team Inc]]*Sales_Data[[#This Row],[Rep Inc]]*Sales_Data[[#This Row],[Stage Inc]]*Sales_Data[[#This Row],[Source Inc]]</f>
        <v>1</v>
      </c>
    </row>
    <row r="3" spans="1:22" x14ac:dyDescent="0.3">
      <c r="A3" t="s">
        <v>10</v>
      </c>
      <c r="B3" s="2">
        <v>45450</v>
      </c>
      <c r="C3" t="s">
        <v>760</v>
      </c>
      <c r="D3" t="s">
        <v>764</v>
      </c>
      <c r="E3" t="s">
        <v>766</v>
      </c>
      <c r="F3" s="5">
        <v>38600</v>
      </c>
      <c r="G3" t="s">
        <v>781</v>
      </c>
      <c r="H3" s="2">
        <v>45515</v>
      </c>
      <c r="I3" t="s">
        <v>775</v>
      </c>
      <c r="J3" t="str">
        <f>IF(Sales_Data[[#This Row],[Close Date]] &lt;&gt; 0,"Closed", "Open")</f>
        <v>Closed</v>
      </c>
      <c r="K3">
        <f>IF(Sales_Data[[#This Row],[Open/Closed]] = "Closed",Sales_Data[[#This Row],[Close Date]]-Sales_Data[[#This Row],[Created Date]],"")</f>
        <v>65</v>
      </c>
      <c r="L3" s="2">
        <f>EOMONTH(Sales_Data[[#This Row],[Created Date]],0)</f>
        <v>45473</v>
      </c>
      <c r="M3" t="b">
        <f>AND(Sales_Data[[#This Row],[EoM Created]]&gt;=Index!$E$5,Sales_Data[[#This Row],[EoM Created]]&lt;=Index!$E$4)</f>
        <v>1</v>
      </c>
      <c r="N3" t="b" cm="1">
        <f t="array" ref="N3">_xlfn.XLOOKUP(Sales_Data[[#This Row],[Sales Team]],_xlfn.ANCHORARRAY(Dashboard!$B$9),Dashboard!$D$9:$D$10,,0)</f>
        <v>1</v>
      </c>
      <c r="O3" t="b" cm="1">
        <f t="array" ref="O3">_xlfn.XLOOKUP(Sales_Data[[#This Row],[Sales Rep]],_xlfn.ANCHORARRAY(Dashboard!$B$13),Dashboard!$D$13:$D$17,,0)</f>
        <v>1</v>
      </c>
      <c r="P3" t="b" cm="1">
        <f t="array" ref="P3">_xlfn.XLOOKUP(Sales_Data[[#This Row],[Stage]],_xlfn.ANCHORARRAY(Dashboard!$B$20),Dashboard!$D$20:$D$25)</f>
        <v>1</v>
      </c>
      <c r="Q3" t="b" cm="1">
        <f t="array" ref="Q3">_xlfn.XLOOKUP(Sales_Data[[#This Row],[Lead Source]],_xlfn.ANCHORARRAY(Dashboard!$B$28),Dashboard!$D$28:$D$32)</f>
        <v>1</v>
      </c>
      <c r="R3">
        <f>Sales_Data[[#This Row],[Date inc]]*Sales_Data[[#This Row],[Team Inc]]*Sales_Data[[#This Row],[Rep Inc]]*Sales_Data[[#This Row],[Stage Inc]]*Sales_Data[[#This Row],[Source Inc]]</f>
        <v>1</v>
      </c>
    </row>
    <row r="4" spans="1:22" x14ac:dyDescent="0.3">
      <c r="A4" t="s">
        <v>11</v>
      </c>
      <c r="B4" s="2">
        <v>45729</v>
      </c>
      <c r="C4" t="s">
        <v>761</v>
      </c>
      <c r="D4" t="s">
        <v>765</v>
      </c>
      <c r="E4" t="s">
        <v>768</v>
      </c>
      <c r="F4" s="5">
        <v>46500</v>
      </c>
      <c r="G4" t="s">
        <v>781</v>
      </c>
      <c r="H4" s="2">
        <v>45796</v>
      </c>
      <c r="I4" t="s">
        <v>776</v>
      </c>
      <c r="J4" t="str">
        <f>IF(Sales_Data[[#This Row],[Close Date]] &lt;&gt; 0,"Closed", "Open")</f>
        <v>Closed</v>
      </c>
      <c r="K4">
        <f>IF(Sales_Data[[#This Row],[Open/Closed]] = "Closed",Sales_Data[[#This Row],[Close Date]]-Sales_Data[[#This Row],[Created Date]],"")</f>
        <v>67</v>
      </c>
      <c r="L4" s="2">
        <f>EOMONTH(Sales_Data[[#This Row],[Created Date]],0)</f>
        <v>45747</v>
      </c>
      <c r="M4" t="b">
        <f>AND(Sales_Data[[#This Row],[EoM Created]]&gt;=Index!$E$5,Sales_Data[[#This Row],[EoM Created]]&lt;=Index!$E$4)</f>
        <v>1</v>
      </c>
      <c r="N4" t="b" cm="1">
        <f t="array" ref="N4">_xlfn.XLOOKUP(Sales_Data[[#This Row],[Sales Team]],_xlfn.ANCHORARRAY(Dashboard!$B$9),Dashboard!$D$9:$D$10,,0)</f>
        <v>1</v>
      </c>
      <c r="O4" t="b" cm="1">
        <f t="array" ref="O4">_xlfn.XLOOKUP(Sales_Data[[#This Row],[Sales Rep]],_xlfn.ANCHORARRAY(Dashboard!$B$13),Dashboard!$D$13:$D$17,,0)</f>
        <v>1</v>
      </c>
      <c r="P4" t="b" cm="1">
        <f t="array" ref="P4">_xlfn.XLOOKUP(Sales_Data[[#This Row],[Stage]],_xlfn.ANCHORARRAY(Dashboard!$B$20),Dashboard!$D$20:$D$25)</f>
        <v>1</v>
      </c>
      <c r="Q4" t="b" cm="1">
        <f t="array" ref="Q4">_xlfn.XLOOKUP(Sales_Data[[#This Row],[Lead Source]],_xlfn.ANCHORARRAY(Dashboard!$B$28),Dashboard!$D$28:$D$32)</f>
        <v>1</v>
      </c>
      <c r="R4">
        <f>Sales_Data[[#This Row],[Date inc]]*Sales_Data[[#This Row],[Team Inc]]*Sales_Data[[#This Row],[Rep Inc]]*Sales_Data[[#This Row],[Stage Inc]]*Sales_Data[[#This Row],[Source Inc]]</f>
        <v>1</v>
      </c>
    </row>
    <row r="5" spans="1:22" x14ac:dyDescent="0.3">
      <c r="A5" t="s">
        <v>12</v>
      </c>
      <c r="B5" s="2">
        <v>45820</v>
      </c>
      <c r="C5" t="s">
        <v>760</v>
      </c>
      <c r="D5" t="s">
        <v>764</v>
      </c>
      <c r="E5" t="s">
        <v>767</v>
      </c>
      <c r="F5" s="5">
        <v>55200</v>
      </c>
      <c r="G5" t="s">
        <v>771</v>
      </c>
      <c r="H5" s="2"/>
      <c r="J5" t="str">
        <f>IF(Sales_Data[[#This Row],[Close Date]] &lt;&gt; 0,"Closed", "Open")</f>
        <v>Open</v>
      </c>
      <c r="K5" t="str">
        <f>IF(Sales_Data[[#This Row],[Open/Closed]] = "Closed",Sales_Data[[#This Row],[Close Date]]-Sales_Data[[#This Row],[Created Date]],"")</f>
        <v/>
      </c>
      <c r="L5" s="2">
        <f>EOMONTH(Sales_Data[[#This Row],[Created Date]],0)</f>
        <v>45838</v>
      </c>
      <c r="M5" t="b">
        <f>AND(Sales_Data[[#This Row],[EoM Created]]&gt;=Index!$E$5,Sales_Data[[#This Row],[EoM Created]]&lt;=Index!$E$4)</f>
        <v>1</v>
      </c>
      <c r="N5" t="b" cm="1">
        <f t="array" ref="N5">_xlfn.XLOOKUP(Sales_Data[[#This Row],[Sales Team]],_xlfn.ANCHORARRAY(Dashboard!$B$9),Dashboard!$D$9:$D$10,,0)</f>
        <v>1</v>
      </c>
      <c r="O5" t="b" cm="1">
        <f t="array" ref="O5">_xlfn.XLOOKUP(Sales_Data[[#This Row],[Sales Rep]],_xlfn.ANCHORARRAY(Dashboard!$B$13),Dashboard!$D$13:$D$17,,0)</f>
        <v>1</v>
      </c>
      <c r="P5" t="b" cm="1">
        <f t="array" ref="P5">_xlfn.XLOOKUP(Sales_Data[[#This Row],[Stage]],_xlfn.ANCHORARRAY(Dashboard!$B$20),Dashboard!$D$20:$D$25)</f>
        <v>1</v>
      </c>
      <c r="Q5" t="b" cm="1">
        <f t="array" ref="Q5">_xlfn.XLOOKUP(Sales_Data[[#This Row],[Lead Source]],_xlfn.ANCHORARRAY(Dashboard!$B$28),Dashboard!$D$28:$D$32)</f>
        <v>1</v>
      </c>
      <c r="R5">
        <f>Sales_Data[[#This Row],[Date inc]]*Sales_Data[[#This Row],[Team Inc]]*Sales_Data[[#This Row],[Rep Inc]]*Sales_Data[[#This Row],[Stage Inc]]*Sales_Data[[#This Row],[Source Inc]]</f>
        <v>1</v>
      </c>
    </row>
    <row r="6" spans="1:22" x14ac:dyDescent="0.3">
      <c r="A6" t="s">
        <v>13</v>
      </c>
      <c r="B6" s="2">
        <v>45623</v>
      </c>
      <c r="C6" t="s">
        <v>761</v>
      </c>
      <c r="D6" t="s">
        <v>765</v>
      </c>
      <c r="E6" t="s">
        <v>768</v>
      </c>
      <c r="F6" s="5">
        <v>37700</v>
      </c>
      <c r="G6" t="s">
        <v>781</v>
      </c>
      <c r="H6" s="2">
        <v>45686</v>
      </c>
      <c r="I6" t="s">
        <v>777</v>
      </c>
      <c r="J6" t="str">
        <f>IF(Sales_Data[[#This Row],[Close Date]] &lt;&gt; 0,"Closed", "Open")</f>
        <v>Closed</v>
      </c>
      <c r="K6">
        <f>IF(Sales_Data[[#This Row],[Open/Closed]] = "Closed",Sales_Data[[#This Row],[Close Date]]-Sales_Data[[#This Row],[Created Date]],"")</f>
        <v>63</v>
      </c>
      <c r="L6" s="2">
        <f>EOMONTH(Sales_Data[[#This Row],[Created Date]],0)</f>
        <v>45626</v>
      </c>
      <c r="M6" t="b">
        <f>AND(Sales_Data[[#This Row],[EoM Created]]&gt;=Index!$E$5,Sales_Data[[#This Row],[EoM Created]]&lt;=Index!$E$4)</f>
        <v>1</v>
      </c>
      <c r="N6" t="b" cm="1">
        <f t="array" ref="N6">_xlfn.XLOOKUP(Sales_Data[[#This Row],[Sales Team]],_xlfn.ANCHORARRAY(Dashboard!$B$9),Dashboard!$D$9:$D$10,,0)</f>
        <v>1</v>
      </c>
      <c r="O6" t="b" cm="1">
        <f t="array" ref="O6">_xlfn.XLOOKUP(Sales_Data[[#This Row],[Sales Rep]],_xlfn.ANCHORARRAY(Dashboard!$B$13),Dashboard!$D$13:$D$17,,0)</f>
        <v>1</v>
      </c>
      <c r="P6" t="b" cm="1">
        <f t="array" ref="P6">_xlfn.XLOOKUP(Sales_Data[[#This Row],[Stage]],_xlfn.ANCHORARRAY(Dashboard!$B$20),Dashboard!$D$20:$D$25)</f>
        <v>1</v>
      </c>
      <c r="Q6" t="b" cm="1">
        <f t="array" ref="Q6">_xlfn.XLOOKUP(Sales_Data[[#This Row],[Lead Source]],_xlfn.ANCHORARRAY(Dashboard!$B$28),Dashboard!$D$28:$D$32)</f>
        <v>1</v>
      </c>
      <c r="R6">
        <f>Sales_Data[[#This Row],[Date inc]]*Sales_Data[[#This Row],[Team Inc]]*Sales_Data[[#This Row],[Rep Inc]]*Sales_Data[[#This Row],[Stage Inc]]*Sales_Data[[#This Row],[Source Inc]]</f>
        <v>1</v>
      </c>
    </row>
    <row r="7" spans="1:22" x14ac:dyDescent="0.3">
      <c r="A7" t="s">
        <v>14</v>
      </c>
      <c r="B7" s="2">
        <v>45318</v>
      </c>
      <c r="C7" t="s">
        <v>762</v>
      </c>
      <c r="D7" t="s">
        <v>764</v>
      </c>
      <c r="E7" t="s">
        <v>766</v>
      </c>
      <c r="F7" s="5">
        <v>37700</v>
      </c>
      <c r="G7" t="s">
        <v>781</v>
      </c>
      <c r="H7" s="2">
        <v>45405</v>
      </c>
      <c r="I7" t="s">
        <v>778</v>
      </c>
      <c r="J7" t="str">
        <f>IF(Sales_Data[[#This Row],[Close Date]] &lt;&gt; 0,"Closed", "Open")</f>
        <v>Closed</v>
      </c>
      <c r="K7">
        <f>IF(Sales_Data[[#This Row],[Open/Closed]] = "Closed",Sales_Data[[#This Row],[Close Date]]-Sales_Data[[#This Row],[Created Date]],"")</f>
        <v>87</v>
      </c>
      <c r="L7" s="2">
        <f>EOMONTH(Sales_Data[[#This Row],[Created Date]],0)</f>
        <v>45322</v>
      </c>
      <c r="M7" t="b">
        <f>AND(Sales_Data[[#This Row],[EoM Created]]&gt;=Index!$E$5,Sales_Data[[#This Row],[EoM Created]]&lt;=Index!$E$4)</f>
        <v>1</v>
      </c>
      <c r="N7" t="b" cm="1">
        <f t="array" ref="N7">_xlfn.XLOOKUP(Sales_Data[[#This Row],[Sales Team]],_xlfn.ANCHORARRAY(Dashboard!$B$9),Dashboard!$D$9:$D$10,,0)</f>
        <v>1</v>
      </c>
      <c r="O7" t="b" cm="1">
        <f t="array" ref="O7">_xlfn.XLOOKUP(Sales_Data[[#This Row],[Sales Rep]],_xlfn.ANCHORARRAY(Dashboard!$B$13),Dashboard!$D$13:$D$17,,0)</f>
        <v>1</v>
      </c>
      <c r="P7" t="b" cm="1">
        <f t="array" ref="P7">_xlfn.XLOOKUP(Sales_Data[[#This Row],[Stage]],_xlfn.ANCHORARRAY(Dashboard!$B$20),Dashboard!$D$20:$D$25)</f>
        <v>1</v>
      </c>
      <c r="Q7" t="b" cm="1">
        <f t="array" ref="Q7">_xlfn.XLOOKUP(Sales_Data[[#This Row],[Lead Source]],_xlfn.ANCHORARRAY(Dashboard!$B$28),Dashboard!$D$28:$D$32)</f>
        <v>1</v>
      </c>
      <c r="R7">
        <f>Sales_Data[[#This Row],[Date inc]]*Sales_Data[[#This Row],[Team Inc]]*Sales_Data[[#This Row],[Rep Inc]]*Sales_Data[[#This Row],[Stage Inc]]*Sales_Data[[#This Row],[Source Inc]]</f>
        <v>1</v>
      </c>
    </row>
    <row r="8" spans="1:22" x14ac:dyDescent="0.3">
      <c r="A8" t="s">
        <v>15</v>
      </c>
      <c r="B8" s="2">
        <v>45663</v>
      </c>
      <c r="C8" t="s">
        <v>761</v>
      </c>
      <c r="D8" t="s">
        <v>765</v>
      </c>
      <c r="E8" t="s">
        <v>769</v>
      </c>
      <c r="F8" s="5">
        <v>55800</v>
      </c>
      <c r="G8" t="s">
        <v>781</v>
      </c>
      <c r="H8" s="2">
        <v>45733</v>
      </c>
      <c r="I8" t="s">
        <v>776</v>
      </c>
      <c r="J8" t="str">
        <f>IF(Sales_Data[[#This Row],[Close Date]] &lt;&gt; 0,"Closed", "Open")</f>
        <v>Closed</v>
      </c>
      <c r="K8">
        <f>IF(Sales_Data[[#This Row],[Open/Closed]] = "Closed",Sales_Data[[#This Row],[Close Date]]-Sales_Data[[#This Row],[Created Date]],"")</f>
        <v>70</v>
      </c>
      <c r="L8" s="2">
        <f>EOMONTH(Sales_Data[[#This Row],[Created Date]],0)</f>
        <v>45688</v>
      </c>
      <c r="M8" t="b">
        <f>AND(Sales_Data[[#This Row],[EoM Created]]&gt;=Index!$E$5,Sales_Data[[#This Row],[EoM Created]]&lt;=Index!$E$4)</f>
        <v>1</v>
      </c>
      <c r="N8" t="b" cm="1">
        <f t="array" ref="N8">_xlfn.XLOOKUP(Sales_Data[[#This Row],[Sales Team]],_xlfn.ANCHORARRAY(Dashboard!$B$9),Dashboard!$D$9:$D$10,,0)</f>
        <v>1</v>
      </c>
      <c r="O8" t="b" cm="1">
        <f t="array" ref="O8">_xlfn.XLOOKUP(Sales_Data[[#This Row],[Sales Rep]],_xlfn.ANCHORARRAY(Dashboard!$B$13),Dashboard!$D$13:$D$17,,0)</f>
        <v>1</v>
      </c>
      <c r="P8" t="b" cm="1">
        <f t="array" ref="P8">_xlfn.XLOOKUP(Sales_Data[[#This Row],[Stage]],_xlfn.ANCHORARRAY(Dashboard!$B$20),Dashboard!$D$20:$D$25)</f>
        <v>1</v>
      </c>
      <c r="Q8" t="b" cm="1">
        <f t="array" ref="Q8">_xlfn.XLOOKUP(Sales_Data[[#This Row],[Lead Source]],_xlfn.ANCHORARRAY(Dashboard!$B$28),Dashboard!$D$28:$D$32)</f>
        <v>1</v>
      </c>
      <c r="R8">
        <f>Sales_Data[[#This Row],[Date inc]]*Sales_Data[[#This Row],[Team Inc]]*Sales_Data[[#This Row],[Rep Inc]]*Sales_Data[[#This Row],[Stage Inc]]*Sales_Data[[#This Row],[Source Inc]]</f>
        <v>1</v>
      </c>
    </row>
    <row r="9" spans="1:22" x14ac:dyDescent="0.3">
      <c r="A9" t="s">
        <v>16</v>
      </c>
      <c r="B9" s="2">
        <v>45475</v>
      </c>
      <c r="C9" t="s">
        <v>759</v>
      </c>
      <c r="D9" t="s">
        <v>764</v>
      </c>
      <c r="E9" t="s">
        <v>767</v>
      </c>
      <c r="F9" s="5">
        <v>47700</v>
      </c>
      <c r="G9" t="s">
        <v>781</v>
      </c>
      <c r="H9" s="2">
        <v>45540</v>
      </c>
      <c r="I9" t="s">
        <v>776</v>
      </c>
      <c r="J9" t="str">
        <f>IF(Sales_Data[[#This Row],[Close Date]] &lt;&gt; 0,"Closed", "Open")</f>
        <v>Closed</v>
      </c>
      <c r="K9">
        <f>IF(Sales_Data[[#This Row],[Open/Closed]] = "Closed",Sales_Data[[#This Row],[Close Date]]-Sales_Data[[#This Row],[Created Date]],"")</f>
        <v>65</v>
      </c>
      <c r="L9" s="2">
        <f>EOMONTH(Sales_Data[[#This Row],[Created Date]],0)</f>
        <v>45504</v>
      </c>
      <c r="M9" t="b">
        <f>AND(Sales_Data[[#This Row],[EoM Created]]&gt;=Index!$E$5,Sales_Data[[#This Row],[EoM Created]]&lt;=Index!$E$4)</f>
        <v>1</v>
      </c>
      <c r="N9" t="b" cm="1">
        <f t="array" ref="N9">_xlfn.XLOOKUP(Sales_Data[[#This Row],[Sales Team]],_xlfn.ANCHORARRAY(Dashboard!$B$9),Dashboard!$D$9:$D$10,,0)</f>
        <v>1</v>
      </c>
      <c r="O9" t="b" cm="1">
        <f t="array" ref="O9">_xlfn.XLOOKUP(Sales_Data[[#This Row],[Sales Rep]],_xlfn.ANCHORARRAY(Dashboard!$B$13),Dashboard!$D$13:$D$17,,0)</f>
        <v>1</v>
      </c>
      <c r="P9" t="b" cm="1">
        <f t="array" ref="P9">_xlfn.XLOOKUP(Sales_Data[[#This Row],[Stage]],_xlfn.ANCHORARRAY(Dashboard!$B$20),Dashboard!$D$20:$D$25)</f>
        <v>1</v>
      </c>
      <c r="Q9" t="b" cm="1">
        <f t="array" ref="Q9">_xlfn.XLOOKUP(Sales_Data[[#This Row],[Lead Source]],_xlfn.ANCHORARRAY(Dashboard!$B$28),Dashboard!$D$28:$D$32)</f>
        <v>1</v>
      </c>
      <c r="R9">
        <f>Sales_Data[[#This Row],[Date inc]]*Sales_Data[[#This Row],[Team Inc]]*Sales_Data[[#This Row],[Rep Inc]]*Sales_Data[[#This Row],[Stage Inc]]*Sales_Data[[#This Row],[Source Inc]]</f>
        <v>1</v>
      </c>
    </row>
    <row r="10" spans="1:22" x14ac:dyDescent="0.3">
      <c r="A10" t="s">
        <v>17</v>
      </c>
      <c r="B10" s="2">
        <v>45157</v>
      </c>
      <c r="C10" t="s">
        <v>759</v>
      </c>
      <c r="D10" t="s">
        <v>764</v>
      </c>
      <c r="E10" t="s">
        <v>767</v>
      </c>
      <c r="F10" s="5">
        <v>35300</v>
      </c>
      <c r="G10" t="s">
        <v>781</v>
      </c>
      <c r="H10" s="2">
        <v>45237</v>
      </c>
      <c r="I10" t="s">
        <v>777</v>
      </c>
      <c r="J10" t="str">
        <f>IF(Sales_Data[[#This Row],[Close Date]] &lt;&gt; 0,"Closed", "Open")</f>
        <v>Closed</v>
      </c>
      <c r="K10">
        <f>IF(Sales_Data[[#This Row],[Open/Closed]] = "Closed",Sales_Data[[#This Row],[Close Date]]-Sales_Data[[#This Row],[Created Date]],"")</f>
        <v>80</v>
      </c>
      <c r="L10" s="2">
        <f>EOMONTH(Sales_Data[[#This Row],[Created Date]],0)</f>
        <v>45169</v>
      </c>
      <c r="M10" t="b">
        <f>AND(Sales_Data[[#This Row],[EoM Created]]&gt;=Index!$E$5,Sales_Data[[#This Row],[EoM Created]]&lt;=Index!$E$4)</f>
        <v>1</v>
      </c>
      <c r="N10" t="b" cm="1">
        <f t="array" ref="N10">_xlfn.XLOOKUP(Sales_Data[[#This Row],[Sales Team]],_xlfn.ANCHORARRAY(Dashboard!$B$9),Dashboard!$D$9:$D$10,,0)</f>
        <v>1</v>
      </c>
      <c r="O10" t="b" cm="1">
        <f t="array" ref="O10">_xlfn.XLOOKUP(Sales_Data[[#This Row],[Sales Rep]],_xlfn.ANCHORARRAY(Dashboard!$B$13),Dashboard!$D$13:$D$17,,0)</f>
        <v>1</v>
      </c>
      <c r="P10" t="b" cm="1">
        <f t="array" ref="P10">_xlfn.XLOOKUP(Sales_Data[[#This Row],[Stage]],_xlfn.ANCHORARRAY(Dashboard!$B$20),Dashboard!$D$20:$D$25)</f>
        <v>1</v>
      </c>
      <c r="Q10" t="b" cm="1">
        <f t="array" ref="Q10">_xlfn.XLOOKUP(Sales_Data[[#This Row],[Lead Source]],_xlfn.ANCHORARRAY(Dashboard!$B$28),Dashboard!$D$28:$D$32)</f>
        <v>1</v>
      </c>
      <c r="R10">
        <f>Sales_Data[[#This Row],[Date inc]]*Sales_Data[[#This Row],[Team Inc]]*Sales_Data[[#This Row],[Rep Inc]]*Sales_Data[[#This Row],[Stage Inc]]*Sales_Data[[#This Row],[Source Inc]]</f>
        <v>1</v>
      </c>
    </row>
    <row r="11" spans="1:22" x14ac:dyDescent="0.3">
      <c r="A11" t="s">
        <v>18</v>
      </c>
      <c r="B11" s="2">
        <v>45392</v>
      </c>
      <c r="C11" t="s">
        <v>759</v>
      </c>
      <c r="D11" t="s">
        <v>764</v>
      </c>
      <c r="E11" t="s">
        <v>767</v>
      </c>
      <c r="F11" s="5">
        <v>45400</v>
      </c>
      <c r="G11" t="s">
        <v>780</v>
      </c>
      <c r="H11" s="2">
        <v>45477</v>
      </c>
      <c r="J11" t="str">
        <f>IF(Sales_Data[[#This Row],[Close Date]] &lt;&gt; 0,"Closed", "Open")</f>
        <v>Closed</v>
      </c>
      <c r="K11">
        <f>IF(Sales_Data[[#This Row],[Open/Closed]] = "Closed",Sales_Data[[#This Row],[Close Date]]-Sales_Data[[#This Row],[Created Date]],"")</f>
        <v>85</v>
      </c>
      <c r="L11" s="2">
        <f>EOMONTH(Sales_Data[[#This Row],[Created Date]],0)</f>
        <v>45412</v>
      </c>
      <c r="M11" t="b">
        <f>AND(Sales_Data[[#This Row],[EoM Created]]&gt;=Index!$E$5,Sales_Data[[#This Row],[EoM Created]]&lt;=Index!$E$4)</f>
        <v>1</v>
      </c>
      <c r="N11" t="b" cm="1">
        <f t="array" ref="N11">_xlfn.XLOOKUP(Sales_Data[[#This Row],[Sales Team]],_xlfn.ANCHORARRAY(Dashboard!$B$9),Dashboard!$D$9:$D$10,,0)</f>
        <v>1</v>
      </c>
      <c r="O11" t="b" cm="1">
        <f t="array" ref="O11">_xlfn.XLOOKUP(Sales_Data[[#This Row],[Sales Rep]],_xlfn.ANCHORARRAY(Dashboard!$B$13),Dashboard!$D$13:$D$17,,0)</f>
        <v>1</v>
      </c>
      <c r="P11" t="b" cm="1">
        <f t="array" ref="P11">_xlfn.XLOOKUP(Sales_Data[[#This Row],[Stage]],_xlfn.ANCHORARRAY(Dashboard!$B$20),Dashboard!$D$20:$D$25)</f>
        <v>1</v>
      </c>
      <c r="Q11" t="b" cm="1">
        <f t="array" ref="Q11">_xlfn.XLOOKUP(Sales_Data[[#This Row],[Lead Source]],_xlfn.ANCHORARRAY(Dashboard!$B$28),Dashboard!$D$28:$D$32)</f>
        <v>1</v>
      </c>
      <c r="R11">
        <f>Sales_Data[[#This Row],[Date inc]]*Sales_Data[[#This Row],[Team Inc]]*Sales_Data[[#This Row],[Rep Inc]]*Sales_Data[[#This Row],[Stage Inc]]*Sales_Data[[#This Row],[Source Inc]]</f>
        <v>1</v>
      </c>
    </row>
    <row r="12" spans="1:22" x14ac:dyDescent="0.3">
      <c r="A12" t="s">
        <v>19</v>
      </c>
      <c r="B12" s="2">
        <v>45827</v>
      </c>
      <c r="C12" t="s">
        <v>761</v>
      </c>
      <c r="D12" t="s">
        <v>765</v>
      </c>
      <c r="E12" t="s">
        <v>768</v>
      </c>
      <c r="F12" s="5">
        <v>35400</v>
      </c>
      <c r="G12" t="s">
        <v>780</v>
      </c>
      <c r="H12" s="2">
        <v>45894</v>
      </c>
      <c r="J12" t="str">
        <f>IF(Sales_Data[[#This Row],[Close Date]] &lt;&gt; 0,"Closed", "Open")</f>
        <v>Closed</v>
      </c>
      <c r="K12">
        <f>IF(Sales_Data[[#This Row],[Open/Closed]] = "Closed",Sales_Data[[#This Row],[Close Date]]-Sales_Data[[#This Row],[Created Date]],"")</f>
        <v>67</v>
      </c>
      <c r="L12" s="2">
        <f>EOMONTH(Sales_Data[[#This Row],[Created Date]],0)</f>
        <v>45838</v>
      </c>
      <c r="M12" t="b">
        <f>AND(Sales_Data[[#This Row],[EoM Created]]&gt;=Index!$E$5,Sales_Data[[#This Row],[EoM Created]]&lt;=Index!$E$4)</f>
        <v>1</v>
      </c>
      <c r="N12" t="b" cm="1">
        <f t="array" ref="N12">_xlfn.XLOOKUP(Sales_Data[[#This Row],[Sales Team]],_xlfn.ANCHORARRAY(Dashboard!$B$9),Dashboard!$D$9:$D$10,,0)</f>
        <v>1</v>
      </c>
      <c r="O12" t="b" cm="1">
        <f t="array" ref="O12">_xlfn.XLOOKUP(Sales_Data[[#This Row],[Sales Rep]],_xlfn.ANCHORARRAY(Dashboard!$B$13),Dashboard!$D$13:$D$17,,0)</f>
        <v>1</v>
      </c>
      <c r="P12" t="b" cm="1">
        <f t="array" ref="P12">_xlfn.XLOOKUP(Sales_Data[[#This Row],[Stage]],_xlfn.ANCHORARRAY(Dashboard!$B$20),Dashboard!$D$20:$D$25)</f>
        <v>1</v>
      </c>
      <c r="Q12" t="b" cm="1">
        <f t="array" ref="Q12">_xlfn.XLOOKUP(Sales_Data[[#This Row],[Lead Source]],_xlfn.ANCHORARRAY(Dashboard!$B$28),Dashboard!$D$28:$D$32)</f>
        <v>1</v>
      </c>
      <c r="R12">
        <f>Sales_Data[[#This Row],[Date inc]]*Sales_Data[[#This Row],[Team Inc]]*Sales_Data[[#This Row],[Rep Inc]]*Sales_Data[[#This Row],[Stage Inc]]*Sales_Data[[#This Row],[Source Inc]]</f>
        <v>1</v>
      </c>
    </row>
    <row r="13" spans="1:22" x14ac:dyDescent="0.3">
      <c r="A13" t="s">
        <v>20</v>
      </c>
      <c r="B13" s="2">
        <v>45396</v>
      </c>
      <c r="C13" t="s">
        <v>763</v>
      </c>
      <c r="D13" t="s">
        <v>765</v>
      </c>
      <c r="E13" t="s">
        <v>770</v>
      </c>
      <c r="F13" s="5">
        <v>35300</v>
      </c>
      <c r="G13" t="s">
        <v>781</v>
      </c>
      <c r="H13" s="2">
        <v>45467</v>
      </c>
      <c r="I13" t="s">
        <v>775</v>
      </c>
      <c r="J13" t="str">
        <f>IF(Sales_Data[[#This Row],[Close Date]] &lt;&gt; 0,"Closed", "Open")</f>
        <v>Closed</v>
      </c>
      <c r="K13">
        <f>IF(Sales_Data[[#This Row],[Open/Closed]] = "Closed",Sales_Data[[#This Row],[Close Date]]-Sales_Data[[#This Row],[Created Date]],"")</f>
        <v>71</v>
      </c>
      <c r="L13" s="2">
        <f>EOMONTH(Sales_Data[[#This Row],[Created Date]],0)</f>
        <v>45412</v>
      </c>
      <c r="M13" t="b">
        <f>AND(Sales_Data[[#This Row],[EoM Created]]&gt;=Index!$E$5,Sales_Data[[#This Row],[EoM Created]]&lt;=Index!$E$4)</f>
        <v>1</v>
      </c>
      <c r="N13" t="b" cm="1">
        <f t="array" ref="N13">_xlfn.XLOOKUP(Sales_Data[[#This Row],[Sales Team]],_xlfn.ANCHORARRAY(Dashboard!$B$9),Dashboard!$D$9:$D$10,,0)</f>
        <v>1</v>
      </c>
      <c r="O13" t="b" cm="1">
        <f t="array" ref="O13">_xlfn.XLOOKUP(Sales_Data[[#This Row],[Sales Rep]],_xlfn.ANCHORARRAY(Dashboard!$B$13),Dashboard!$D$13:$D$17,,0)</f>
        <v>1</v>
      </c>
      <c r="P13" t="b" cm="1">
        <f t="array" ref="P13">_xlfn.XLOOKUP(Sales_Data[[#This Row],[Stage]],_xlfn.ANCHORARRAY(Dashboard!$B$20),Dashboard!$D$20:$D$25)</f>
        <v>1</v>
      </c>
      <c r="Q13" t="b" cm="1">
        <f t="array" ref="Q13">_xlfn.XLOOKUP(Sales_Data[[#This Row],[Lead Source]],_xlfn.ANCHORARRAY(Dashboard!$B$28),Dashboard!$D$28:$D$32)</f>
        <v>1</v>
      </c>
      <c r="R13">
        <f>Sales_Data[[#This Row],[Date inc]]*Sales_Data[[#This Row],[Team Inc]]*Sales_Data[[#This Row],[Rep Inc]]*Sales_Data[[#This Row],[Stage Inc]]*Sales_Data[[#This Row],[Source Inc]]</f>
        <v>1</v>
      </c>
    </row>
    <row r="14" spans="1:22" x14ac:dyDescent="0.3">
      <c r="A14" t="s">
        <v>21</v>
      </c>
      <c r="B14" s="2">
        <v>45228</v>
      </c>
      <c r="C14" t="s">
        <v>762</v>
      </c>
      <c r="D14" t="s">
        <v>764</v>
      </c>
      <c r="E14" t="s">
        <v>766</v>
      </c>
      <c r="F14" s="5">
        <v>42400</v>
      </c>
      <c r="G14" t="s">
        <v>780</v>
      </c>
      <c r="H14" s="2">
        <v>45304</v>
      </c>
      <c r="J14" t="str">
        <f>IF(Sales_Data[[#This Row],[Close Date]] &lt;&gt; 0,"Closed", "Open")</f>
        <v>Closed</v>
      </c>
      <c r="K14">
        <f>IF(Sales_Data[[#This Row],[Open/Closed]] = "Closed",Sales_Data[[#This Row],[Close Date]]-Sales_Data[[#This Row],[Created Date]],"")</f>
        <v>76</v>
      </c>
      <c r="L14" s="2">
        <f>EOMONTH(Sales_Data[[#This Row],[Created Date]],0)</f>
        <v>45230</v>
      </c>
      <c r="M14" t="b">
        <f>AND(Sales_Data[[#This Row],[EoM Created]]&gt;=Index!$E$5,Sales_Data[[#This Row],[EoM Created]]&lt;=Index!$E$4)</f>
        <v>1</v>
      </c>
      <c r="N14" t="b" cm="1">
        <f t="array" ref="N14">_xlfn.XLOOKUP(Sales_Data[[#This Row],[Sales Team]],_xlfn.ANCHORARRAY(Dashboard!$B$9),Dashboard!$D$9:$D$10,,0)</f>
        <v>1</v>
      </c>
      <c r="O14" t="b" cm="1">
        <f t="array" ref="O14">_xlfn.XLOOKUP(Sales_Data[[#This Row],[Sales Rep]],_xlfn.ANCHORARRAY(Dashboard!$B$13),Dashboard!$D$13:$D$17,,0)</f>
        <v>1</v>
      </c>
      <c r="P14" t="b" cm="1">
        <f t="array" ref="P14">_xlfn.XLOOKUP(Sales_Data[[#This Row],[Stage]],_xlfn.ANCHORARRAY(Dashboard!$B$20),Dashboard!$D$20:$D$25)</f>
        <v>1</v>
      </c>
      <c r="Q14" t="b" cm="1">
        <f t="array" ref="Q14">_xlfn.XLOOKUP(Sales_Data[[#This Row],[Lead Source]],_xlfn.ANCHORARRAY(Dashboard!$B$28),Dashboard!$D$28:$D$32)</f>
        <v>1</v>
      </c>
      <c r="R14">
        <f>Sales_Data[[#This Row],[Date inc]]*Sales_Data[[#This Row],[Team Inc]]*Sales_Data[[#This Row],[Rep Inc]]*Sales_Data[[#This Row],[Stage Inc]]*Sales_Data[[#This Row],[Source Inc]]</f>
        <v>1</v>
      </c>
      <c r="V14" s="2">
        <f>MIN(Sales_Data[Created Date])</f>
        <v>44928</v>
      </c>
    </row>
    <row r="15" spans="1:22" x14ac:dyDescent="0.3">
      <c r="A15" t="s">
        <v>22</v>
      </c>
      <c r="B15" s="2">
        <v>45475</v>
      </c>
      <c r="C15" t="s">
        <v>760</v>
      </c>
      <c r="D15" t="s">
        <v>764</v>
      </c>
      <c r="E15" t="s">
        <v>766</v>
      </c>
      <c r="F15" s="5">
        <v>20900</v>
      </c>
      <c r="G15" t="s">
        <v>781</v>
      </c>
      <c r="H15" s="2">
        <v>45539</v>
      </c>
      <c r="I15" t="s">
        <v>775</v>
      </c>
      <c r="J15" t="str">
        <f>IF(Sales_Data[[#This Row],[Close Date]] &lt;&gt; 0,"Closed", "Open")</f>
        <v>Closed</v>
      </c>
      <c r="K15">
        <f>IF(Sales_Data[[#This Row],[Open/Closed]] = "Closed",Sales_Data[[#This Row],[Close Date]]-Sales_Data[[#This Row],[Created Date]],"")</f>
        <v>64</v>
      </c>
      <c r="L15" s="2">
        <f>EOMONTH(Sales_Data[[#This Row],[Created Date]],0)</f>
        <v>45504</v>
      </c>
      <c r="M15" t="b">
        <f>AND(Sales_Data[[#This Row],[EoM Created]]&gt;=Index!$E$5,Sales_Data[[#This Row],[EoM Created]]&lt;=Index!$E$4)</f>
        <v>1</v>
      </c>
      <c r="N15" t="b" cm="1">
        <f t="array" ref="N15">_xlfn.XLOOKUP(Sales_Data[[#This Row],[Sales Team]],_xlfn.ANCHORARRAY(Dashboard!$B$9),Dashboard!$D$9:$D$10,,0)</f>
        <v>1</v>
      </c>
      <c r="O15" t="b" cm="1">
        <f t="array" ref="O15">_xlfn.XLOOKUP(Sales_Data[[#This Row],[Sales Rep]],_xlfn.ANCHORARRAY(Dashboard!$B$13),Dashboard!$D$13:$D$17,,0)</f>
        <v>1</v>
      </c>
      <c r="P15" t="b" cm="1">
        <f t="array" ref="P15">_xlfn.XLOOKUP(Sales_Data[[#This Row],[Stage]],_xlfn.ANCHORARRAY(Dashboard!$B$20),Dashboard!$D$20:$D$25)</f>
        <v>1</v>
      </c>
      <c r="Q15" t="b" cm="1">
        <f t="array" ref="Q15">_xlfn.XLOOKUP(Sales_Data[[#This Row],[Lead Source]],_xlfn.ANCHORARRAY(Dashboard!$B$28),Dashboard!$D$28:$D$32)</f>
        <v>1</v>
      </c>
      <c r="R15">
        <f>Sales_Data[[#This Row],[Date inc]]*Sales_Data[[#This Row],[Team Inc]]*Sales_Data[[#This Row],[Rep Inc]]*Sales_Data[[#This Row],[Stage Inc]]*Sales_Data[[#This Row],[Source Inc]]</f>
        <v>1</v>
      </c>
      <c r="V15" s="2">
        <f>MAX(Sales_Data[Close Date])</f>
        <v>45922</v>
      </c>
    </row>
    <row r="16" spans="1:22" x14ac:dyDescent="0.3">
      <c r="A16" t="s">
        <v>23</v>
      </c>
      <c r="B16" s="2">
        <v>45160</v>
      </c>
      <c r="C16" t="s">
        <v>763</v>
      </c>
      <c r="D16" t="s">
        <v>765</v>
      </c>
      <c r="E16" t="s">
        <v>768</v>
      </c>
      <c r="F16" s="5">
        <v>22800</v>
      </c>
      <c r="G16" t="s">
        <v>781</v>
      </c>
      <c r="H16" s="2">
        <v>45240</v>
      </c>
      <c r="I16" t="s">
        <v>776</v>
      </c>
      <c r="J16" t="str">
        <f>IF(Sales_Data[[#This Row],[Close Date]] &lt;&gt; 0,"Closed", "Open")</f>
        <v>Closed</v>
      </c>
      <c r="K16">
        <f>IF(Sales_Data[[#This Row],[Open/Closed]] = "Closed",Sales_Data[[#This Row],[Close Date]]-Sales_Data[[#This Row],[Created Date]],"")</f>
        <v>80</v>
      </c>
      <c r="L16" s="2">
        <f>EOMONTH(Sales_Data[[#This Row],[Created Date]],0)</f>
        <v>45169</v>
      </c>
      <c r="M16" t="b">
        <f>AND(Sales_Data[[#This Row],[EoM Created]]&gt;=Index!$E$5,Sales_Data[[#This Row],[EoM Created]]&lt;=Index!$E$4)</f>
        <v>1</v>
      </c>
      <c r="N16" t="b" cm="1">
        <f t="array" ref="N16">_xlfn.XLOOKUP(Sales_Data[[#This Row],[Sales Team]],_xlfn.ANCHORARRAY(Dashboard!$B$9),Dashboard!$D$9:$D$10,,0)</f>
        <v>1</v>
      </c>
      <c r="O16" t="b" cm="1">
        <f t="array" ref="O16">_xlfn.XLOOKUP(Sales_Data[[#This Row],[Sales Rep]],_xlfn.ANCHORARRAY(Dashboard!$B$13),Dashboard!$D$13:$D$17,,0)</f>
        <v>1</v>
      </c>
      <c r="P16" t="b" cm="1">
        <f t="array" ref="P16">_xlfn.XLOOKUP(Sales_Data[[#This Row],[Stage]],_xlfn.ANCHORARRAY(Dashboard!$B$20),Dashboard!$D$20:$D$25)</f>
        <v>1</v>
      </c>
      <c r="Q16" t="b" cm="1">
        <f t="array" ref="Q16">_xlfn.XLOOKUP(Sales_Data[[#This Row],[Lead Source]],_xlfn.ANCHORARRAY(Dashboard!$B$28),Dashboard!$D$28:$D$32)</f>
        <v>1</v>
      </c>
      <c r="R16">
        <f>Sales_Data[[#This Row],[Date inc]]*Sales_Data[[#This Row],[Team Inc]]*Sales_Data[[#This Row],[Rep Inc]]*Sales_Data[[#This Row],[Stage Inc]]*Sales_Data[[#This Row],[Source Inc]]</f>
        <v>1</v>
      </c>
    </row>
    <row r="17" spans="1:18" x14ac:dyDescent="0.3">
      <c r="A17" t="s">
        <v>24</v>
      </c>
      <c r="B17" s="2">
        <v>45444</v>
      </c>
      <c r="C17" t="s">
        <v>763</v>
      </c>
      <c r="D17" t="s">
        <v>765</v>
      </c>
      <c r="E17" t="s">
        <v>768</v>
      </c>
      <c r="F17" s="5">
        <v>34400</v>
      </c>
      <c r="G17" t="s">
        <v>780</v>
      </c>
      <c r="H17" s="2">
        <v>45509</v>
      </c>
      <c r="J17" t="str">
        <f>IF(Sales_Data[[#This Row],[Close Date]] &lt;&gt; 0,"Closed", "Open")</f>
        <v>Closed</v>
      </c>
      <c r="K17">
        <f>IF(Sales_Data[[#This Row],[Open/Closed]] = "Closed",Sales_Data[[#This Row],[Close Date]]-Sales_Data[[#This Row],[Created Date]],"")</f>
        <v>65</v>
      </c>
      <c r="L17" s="2">
        <f>EOMONTH(Sales_Data[[#This Row],[Created Date]],0)</f>
        <v>45473</v>
      </c>
      <c r="M17" t="b">
        <f>AND(Sales_Data[[#This Row],[EoM Created]]&gt;=Index!$E$5,Sales_Data[[#This Row],[EoM Created]]&lt;=Index!$E$4)</f>
        <v>1</v>
      </c>
      <c r="N17" t="b" cm="1">
        <f t="array" ref="N17">_xlfn.XLOOKUP(Sales_Data[[#This Row],[Sales Team]],_xlfn.ANCHORARRAY(Dashboard!$B$9),Dashboard!$D$9:$D$10,,0)</f>
        <v>1</v>
      </c>
      <c r="O17" t="b" cm="1">
        <f t="array" ref="O17">_xlfn.XLOOKUP(Sales_Data[[#This Row],[Sales Rep]],_xlfn.ANCHORARRAY(Dashboard!$B$13),Dashboard!$D$13:$D$17,,0)</f>
        <v>1</v>
      </c>
      <c r="P17" t="b" cm="1">
        <f t="array" ref="P17">_xlfn.XLOOKUP(Sales_Data[[#This Row],[Stage]],_xlfn.ANCHORARRAY(Dashboard!$B$20),Dashboard!$D$20:$D$25)</f>
        <v>1</v>
      </c>
      <c r="Q17" t="b" cm="1">
        <f t="array" ref="Q17">_xlfn.XLOOKUP(Sales_Data[[#This Row],[Lead Source]],_xlfn.ANCHORARRAY(Dashboard!$B$28),Dashboard!$D$28:$D$32)</f>
        <v>1</v>
      </c>
      <c r="R17">
        <f>Sales_Data[[#This Row],[Date inc]]*Sales_Data[[#This Row],[Team Inc]]*Sales_Data[[#This Row],[Rep Inc]]*Sales_Data[[#This Row],[Stage Inc]]*Sales_Data[[#This Row],[Source Inc]]</f>
        <v>1</v>
      </c>
    </row>
    <row r="18" spans="1:18" x14ac:dyDescent="0.3">
      <c r="A18" t="s">
        <v>25</v>
      </c>
      <c r="B18" s="2">
        <v>45674</v>
      </c>
      <c r="C18" t="s">
        <v>761</v>
      </c>
      <c r="D18" t="s">
        <v>765</v>
      </c>
      <c r="E18" t="s">
        <v>769</v>
      </c>
      <c r="F18" s="5">
        <v>29900</v>
      </c>
      <c r="G18" t="s">
        <v>781</v>
      </c>
      <c r="H18" s="2">
        <v>45737</v>
      </c>
      <c r="I18" t="s">
        <v>777</v>
      </c>
      <c r="J18" t="str">
        <f>IF(Sales_Data[[#This Row],[Close Date]] &lt;&gt; 0,"Closed", "Open")</f>
        <v>Closed</v>
      </c>
      <c r="K18">
        <f>IF(Sales_Data[[#This Row],[Open/Closed]] = "Closed",Sales_Data[[#This Row],[Close Date]]-Sales_Data[[#This Row],[Created Date]],"")</f>
        <v>63</v>
      </c>
      <c r="L18" s="2">
        <f>EOMONTH(Sales_Data[[#This Row],[Created Date]],0)</f>
        <v>45688</v>
      </c>
      <c r="M18" t="b">
        <f>AND(Sales_Data[[#This Row],[EoM Created]]&gt;=Index!$E$5,Sales_Data[[#This Row],[EoM Created]]&lt;=Index!$E$4)</f>
        <v>1</v>
      </c>
      <c r="N18" t="b" cm="1">
        <f t="array" ref="N18">_xlfn.XLOOKUP(Sales_Data[[#This Row],[Sales Team]],_xlfn.ANCHORARRAY(Dashboard!$B$9),Dashboard!$D$9:$D$10,,0)</f>
        <v>1</v>
      </c>
      <c r="O18" t="b" cm="1">
        <f t="array" ref="O18">_xlfn.XLOOKUP(Sales_Data[[#This Row],[Sales Rep]],_xlfn.ANCHORARRAY(Dashboard!$B$13),Dashboard!$D$13:$D$17,,0)</f>
        <v>1</v>
      </c>
      <c r="P18" t="b" cm="1">
        <f t="array" ref="P18">_xlfn.XLOOKUP(Sales_Data[[#This Row],[Stage]],_xlfn.ANCHORARRAY(Dashboard!$B$20),Dashboard!$D$20:$D$25)</f>
        <v>1</v>
      </c>
      <c r="Q18" t="b" cm="1">
        <f t="array" ref="Q18">_xlfn.XLOOKUP(Sales_Data[[#This Row],[Lead Source]],_xlfn.ANCHORARRAY(Dashboard!$B$28),Dashboard!$D$28:$D$32)</f>
        <v>1</v>
      </c>
      <c r="R18">
        <f>Sales_Data[[#This Row],[Date inc]]*Sales_Data[[#This Row],[Team Inc]]*Sales_Data[[#This Row],[Rep Inc]]*Sales_Data[[#This Row],[Stage Inc]]*Sales_Data[[#This Row],[Source Inc]]</f>
        <v>1</v>
      </c>
    </row>
    <row r="19" spans="1:18" x14ac:dyDescent="0.3">
      <c r="A19" t="s">
        <v>26</v>
      </c>
      <c r="B19" s="2">
        <v>45404</v>
      </c>
      <c r="C19" t="s">
        <v>763</v>
      </c>
      <c r="D19" t="s">
        <v>765</v>
      </c>
      <c r="E19" t="s">
        <v>770</v>
      </c>
      <c r="F19" s="5">
        <v>43100</v>
      </c>
      <c r="G19" t="s">
        <v>780</v>
      </c>
      <c r="H19" s="2">
        <v>45491</v>
      </c>
      <c r="J19" t="str">
        <f>IF(Sales_Data[[#This Row],[Close Date]] &lt;&gt; 0,"Closed", "Open")</f>
        <v>Closed</v>
      </c>
      <c r="K19">
        <f>IF(Sales_Data[[#This Row],[Open/Closed]] = "Closed",Sales_Data[[#This Row],[Close Date]]-Sales_Data[[#This Row],[Created Date]],"")</f>
        <v>87</v>
      </c>
      <c r="L19" s="2">
        <f>EOMONTH(Sales_Data[[#This Row],[Created Date]],0)</f>
        <v>45412</v>
      </c>
      <c r="M19" t="b">
        <f>AND(Sales_Data[[#This Row],[EoM Created]]&gt;=Index!$E$5,Sales_Data[[#This Row],[EoM Created]]&lt;=Index!$E$4)</f>
        <v>1</v>
      </c>
      <c r="N19" t="b" cm="1">
        <f t="array" ref="N19">_xlfn.XLOOKUP(Sales_Data[[#This Row],[Sales Team]],_xlfn.ANCHORARRAY(Dashboard!$B$9),Dashboard!$D$9:$D$10,,0)</f>
        <v>1</v>
      </c>
      <c r="O19" t="b" cm="1">
        <f t="array" ref="O19">_xlfn.XLOOKUP(Sales_Data[[#This Row],[Sales Rep]],_xlfn.ANCHORARRAY(Dashboard!$B$13),Dashboard!$D$13:$D$17,,0)</f>
        <v>1</v>
      </c>
      <c r="P19" t="b" cm="1">
        <f t="array" ref="P19">_xlfn.XLOOKUP(Sales_Data[[#This Row],[Stage]],_xlfn.ANCHORARRAY(Dashboard!$B$20),Dashboard!$D$20:$D$25)</f>
        <v>1</v>
      </c>
      <c r="Q19" t="b" cm="1">
        <f t="array" ref="Q19">_xlfn.XLOOKUP(Sales_Data[[#This Row],[Lead Source]],_xlfn.ANCHORARRAY(Dashboard!$B$28),Dashboard!$D$28:$D$32)</f>
        <v>1</v>
      </c>
      <c r="R19">
        <f>Sales_Data[[#This Row],[Date inc]]*Sales_Data[[#This Row],[Team Inc]]*Sales_Data[[#This Row],[Rep Inc]]*Sales_Data[[#This Row],[Stage Inc]]*Sales_Data[[#This Row],[Source Inc]]</f>
        <v>1</v>
      </c>
    </row>
    <row r="20" spans="1:18" x14ac:dyDescent="0.3">
      <c r="A20" t="s">
        <v>27</v>
      </c>
      <c r="B20" s="2">
        <v>44951</v>
      </c>
      <c r="C20" t="s">
        <v>763</v>
      </c>
      <c r="D20" t="s">
        <v>765</v>
      </c>
      <c r="E20" t="s">
        <v>768</v>
      </c>
      <c r="F20" s="5">
        <v>30900</v>
      </c>
      <c r="G20" t="s">
        <v>780</v>
      </c>
      <c r="H20" s="2">
        <v>45014</v>
      </c>
      <c r="J20" t="str">
        <f>IF(Sales_Data[[#This Row],[Close Date]] &lt;&gt; 0,"Closed", "Open")</f>
        <v>Closed</v>
      </c>
      <c r="K20">
        <f>IF(Sales_Data[[#This Row],[Open/Closed]] = "Closed",Sales_Data[[#This Row],[Close Date]]-Sales_Data[[#This Row],[Created Date]],"")</f>
        <v>63</v>
      </c>
      <c r="L20" s="2">
        <f>EOMONTH(Sales_Data[[#This Row],[Created Date]],0)</f>
        <v>44957</v>
      </c>
      <c r="M20" t="b">
        <f>AND(Sales_Data[[#This Row],[EoM Created]]&gt;=Index!$E$5,Sales_Data[[#This Row],[EoM Created]]&lt;=Index!$E$4)</f>
        <v>0</v>
      </c>
      <c r="N20" t="b" cm="1">
        <f t="array" ref="N20">_xlfn.XLOOKUP(Sales_Data[[#This Row],[Sales Team]],_xlfn.ANCHORARRAY(Dashboard!$B$9),Dashboard!$D$9:$D$10,,0)</f>
        <v>1</v>
      </c>
      <c r="O20" t="b" cm="1">
        <f t="array" ref="O20">_xlfn.XLOOKUP(Sales_Data[[#This Row],[Sales Rep]],_xlfn.ANCHORARRAY(Dashboard!$B$13),Dashboard!$D$13:$D$17,,0)</f>
        <v>1</v>
      </c>
      <c r="P20" t="b" cm="1">
        <f t="array" ref="P20">_xlfn.XLOOKUP(Sales_Data[[#This Row],[Stage]],_xlfn.ANCHORARRAY(Dashboard!$B$20),Dashboard!$D$20:$D$25)</f>
        <v>1</v>
      </c>
      <c r="Q20" t="b" cm="1">
        <f t="array" ref="Q20">_xlfn.XLOOKUP(Sales_Data[[#This Row],[Lead Source]],_xlfn.ANCHORARRAY(Dashboard!$B$28),Dashboard!$D$28:$D$32)</f>
        <v>1</v>
      </c>
      <c r="R20">
        <f>Sales_Data[[#This Row],[Date inc]]*Sales_Data[[#This Row],[Team Inc]]*Sales_Data[[#This Row],[Rep Inc]]*Sales_Data[[#This Row],[Stage Inc]]*Sales_Data[[#This Row],[Source Inc]]</f>
        <v>0</v>
      </c>
    </row>
    <row r="21" spans="1:18" x14ac:dyDescent="0.3">
      <c r="A21" t="s">
        <v>28</v>
      </c>
      <c r="B21" s="2">
        <v>45378</v>
      </c>
      <c r="C21" t="s">
        <v>759</v>
      </c>
      <c r="D21" t="s">
        <v>764</v>
      </c>
      <c r="E21" t="s">
        <v>767</v>
      </c>
      <c r="F21" s="5">
        <v>25900</v>
      </c>
      <c r="G21" t="s">
        <v>781</v>
      </c>
      <c r="H21" s="2">
        <v>45438</v>
      </c>
      <c r="I21" t="s">
        <v>779</v>
      </c>
      <c r="J21" t="str">
        <f>IF(Sales_Data[[#This Row],[Close Date]] &lt;&gt; 0,"Closed", "Open")</f>
        <v>Closed</v>
      </c>
      <c r="K21">
        <f>IF(Sales_Data[[#This Row],[Open/Closed]] = "Closed",Sales_Data[[#This Row],[Close Date]]-Sales_Data[[#This Row],[Created Date]],"")</f>
        <v>60</v>
      </c>
      <c r="L21" s="2">
        <f>EOMONTH(Sales_Data[[#This Row],[Created Date]],0)</f>
        <v>45382</v>
      </c>
      <c r="M21" t="b">
        <f>AND(Sales_Data[[#This Row],[EoM Created]]&gt;=Index!$E$5,Sales_Data[[#This Row],[EoM Created]]&lt;=Index!$E$4)</f>
        <v>1</v>
      </c>
      <c r="N21" t="b" cm="1">
        <f t="array" ref="N21">_xlfn.XLOOKUP(Sales_Data[[#This Row],[Sales Team]],_xlfn.ANCHORARRAY(Dashboard!$B$9),Dashboard!$D$9:$D$10,,0)</f>
        <v>1</v>
      </c>
      <c r="O21" t="b" cm="1">
        <f t="array" ref="O21">_xlfn.XLOOKUP(Sales_Data[[#This Row],[Sales Rep]],_xlfn.ANCHORARRAY(Dashboard!$B$13),Dashboard!$D$13:$D$17,,0)</f>
        <v>1</v>
      </c>
      <c r="P21" t="b" cm="1">
        <f t="array" ref="P21">_xlfn.XLOOKUP(Sales_Data[[#This Row],[Stage]],_xlfn.ANCHORARRAY(Dashboard!$B$20),Dashboard!$D$20:$D$25)</f>
        <v>1</v>
      </c>
      <c r="Q21" t="b" cm="1">
        <f t="array" ref="Q21">_xlfn.XLOOKUP(Sales_Data[[#This Row],[Lead Source]],_xlfn.ANCHORARRAY(Dashboard!$B$28),Dashboard!$D$28:$D$32)</f>
        <v>1</v>
      </c>
      <c r="R21">
        <f>Sales_Data[[#This Row],[Date inc]]*Sales_Data[[#This Row],[Team Inc]]*Sales_Data[[#This Row],[Rep Inc]]*Sales_Data[[#This Row],[Stage Inc]]*Sales_Data[[#This Row],[Source Inc]]</f>
        <v>1</v>
      </c>
    </row>
    <row r="22" spans="1:18" x14ac:dyDescent="0.3">
      <c r="A22" t="s">
        <v>29</v>
      </c>
      <c r="B22" s="2">
        <v>45374</v>
      </c>
      <c r="C22" t="s">
        <v>759</v>
      </c>
      <c r="D22" t="s">
        <v>764</v>
      </c>
      <c r="E22" t="s">
        <v>767</v>
      </c>
      <c r="F22" s="5">
        <v>54700</v>
      </c>
      <c r="G22" t="s">
        <v>781</v>
      </c>
      <c r="H22" s="2">
        <v>45451</v>
      </c>
      <c r="I22" t="s">
        <v>779</v>
      </c>
      <c r="J22" t="str">
        <f>IF(Sales_Data[[#This Row],[Close Date]] &lt;&gt; 0,"Closed", "Open")</f>
        <v>Closed</v>
      </c>
      <c r="K22">
        <f>IF(Sales_Data[[#This Row],[Open/Closed]] = "Closed",Sales_Data[[#This Row],[Close Date]]-Sales_Data[[#This Row],[Created Date]],"")</f>
        <v>77</v>
      </c>
      <c r="L22" s="2">
        <f>EOMONTH(Sales_Data[[#This Row],[Created Date]],0)</f>
        <v>45382</v>
      </c>
      <c r="M22" t="b">
        <f>AND(Sales_Data[[#This Row],[EoM Created]]&gt;=Index!$E$5,Sales_Data[[#This Row],[EoM Created]]&lt;=Index!$E$4)</f>
        <v>1</v>
      </c>
      <c r="N22" t="b" cm="1">
        <f t="array" ref="N22">_xlfn.XLOOKUP(Sales_Data[[#This Row],[Sales Team]],_xlfn.ANCHORARRAY(Dashboard!$B$9),Dashboard!$D$9:$D$10,,0)</f>
        <v>1</v>
      </c>
      <c r="O22" t="b" cm="1">
        <f t="array" ref="O22">_xlfn.XLOOKUP(Sales_Data[[#This Row],[Sales Rep]],_xlfn.ANCHORARRAY(Dashboard!$B$13),Dashboard!$D$13:$D$17,,0)</f>
        <v>1</v>
      </c>
      <c r="P22" t="b" cm="1">
        <f t="array" ref="P22">_xlfn.XLOOKUP(Sales_Data[[#This Row],[Stage]],_xlfn.ANCHORARRAY(Dashboard!$B$20),Dashboard!$D$20:$D$25)</f>
        <v>1</v>
      </c>
      <c r="Q22" t="b" cm="1">
        <f t="array" ref="Q22">_xlfn.XLOOKUP(Sales_Data[[#This Row],[Lead Source]],_xlfn.ANCHORARRAY(Dashboard!$B$28),Dashboard!$D$28:$D$32)</f>
        <v>1</v>
      </c>
      <c r="R22">
        <f>Sales_Data[[#This Row],[Date inc]]*Sales_Data[[#This Row],[Team Inc]]*Sales_Data[[#This Row],[Rep Inc]]*Sales_Data[[#This Row],[Stage Inc]]*Sales_Data[[#This Row],[Source Inc]]</f>
        <v>1</v>
      </c>
    </row>
    <row r="23" spans="1:18" x14ac:dyDescent="0.3">
      <c r="A23" t="s">
        <v>30</v>
      </c>
      <c r="B23" s="2">
        <v>45227</v>
      </c>
      <c r="C23" t="s">
        <v>761</v>
      </c>
      <c r="D23" t="s">
        <v>765</v>
      </c>
      <c r="E23" t="s">
        <v>770</v>
      </c>
      <c r="F23" s="5">
        <v>37700</v>
      </c>
      <c r="G23" t="s">
        <v>781</v>
      </c>
      <c r="H23" s="2">
        <v>45310</v>
      </c>
      <c r="I23" t="s">
        <v>778</v>
      </c>
      <c r="J23" t="str">
        <f>IF(Sales_Data[[#This Row],[Close Date]] &lt;&gt; 0,"Closed", "Open")</f>
        <v>Closed</v>
      </c>
      <c r="K23">
        <f>IF(Sales_Data[[#This Row],[Open/Closed]] = "Closed",Sales_Data[[#This Row],[Close Date]]-Sales_Data[[#This Row],[Created Date]],"")</f>
        <v>83</v>
      </c>
      <c r="L23" s="2">
        <f>EOMONTH(Sales_Data[[#This Row],[Created Date]],0)</f>
        <v>45230</v>
      </c>
      <c r="M23" t="b">
        <f>AND(Sales_Data[[#This Row],[EoM Created]]&gt;=Index!$E$5,Sales_Data[[#This Row],[EoM Created]]&lt;=Index!$E$4)</f>
        <v>1</v>
      </c>
      <c r="N23" t="b" cm="1">
        <f t="array" ref="N23">_xlfn.XLOOKUP(Sales_Data[[#This Row],[Sales Team]],_xlfn.ANCHORARRAY(Dashboard!$B$9),Dashboard!$D$9:$D$10,,0)</f>
        <v>1</v>
      </c>
      <c r="O23" t="b" cm="1">
        <f t="array" ref="O23">_xlfn.XLOOKUP(Sales_Data[[#This Row],[Sales Rep]],_xlfn.ANCHORARRAY(Dashboard!$B$13),Dashboard!$D$13:$D$17,,0)</f>
        <v>1</v>
      </c>
      <c r="P23" t="b" cm="1">
        <f t="array" ref="P23">_xlfn.XLOOKUP(Sales_Data[[#This Row],[Stage]],_xlfn.ANCHORARRAY(Dashboard!$B$20),Dashboard!$D$20:$D$25)</f>
        <v>1</v>
      </c>
      <c r="Q23" t="b" cm="1">
        <f t="array" ref="Q23">_xlfn.XLOOKUP(Sales_Data[[#This Row],[Lead Source]],_xlfn.ANCHORARRAY(Dashboard!$B$28),Dashboard!$D$28:$D$32)</f>
        <v>1</v>
      </c>
      <c r="R23">
        <f>Sales_Data[[#This Row],[Date inc]]*Sales_Data[[#This Row],[Team Inc]]*Sales_Data[[#This Row],[Rep Inc]]*Sales_Data[[#This Row],[Stage Inc]]*Sales_Data[[#This Row],[Source Inc]]</f>
        <v>1</v>
      </c>
    </row>
    <row r="24" spans="1:18" x14ac:dyDescent="0.3">
      <c r="A24" t="s">
        <v>31</v>
      </c>
      <c r="B24" s="2">
        <v>45588</v>
      </c>
      <c r="C24" t="s">
        <v>760</v>
      </c>
      <c r="D24" t="s">
        <v>764</v>
      </c>
      <c r="E24" t="s">
        <v>766</v>
      </c>
      <c r="F24" s="5">
        <v>40700</v>
      </c>
      <c r="G24" t="s">
        <v>781</v>
      </c>
      <c r="H24" s="2">
        <v>45663</v>
      </c>
      <c r="I24" t="s">
        <v>775</v>
      </c>
      <c r="J24" t="str">
        <f>IF(Sales_Data[[#This Row],[Close Date]] &lt;&gt; 0,"Closed", "Open")</f>
        <v>Closed</v>
      </c>
      <c r="K24">
        <f>IF(Sales_Data[[#This Row],[Open/Closed]] = "Closed",Sales_Data[[#This Row],[Close Date]]-Sales_Data[[#This Row],[Created Date]],"")</f>
        <v>75</v>
      </c>
      <c r="L24" s="2">
        <f>EOMONTH(Sales_Data[[#This Row],[Created Date]],0)</f>
        <v>45596</v>
      </c>
      <c r="M24" t="b">
        <f>AND(Sales_Data[[#This Row],[EoM Created]]&gt;=Index!$E$5,Sales_Data[[#This Row],[EoM Created]]&lt;=Index!$E$4)</f>
        <v>1</v>
      </c>
      <c r="N24" t="b" cm="1">
        <f t="array" ref="N24">_xlfn.XLOOKUP(Sales_Data[[#This Row],[Sales Team]],_xlfn.ANCHORARRAY(Dashboard!$B$9),Dashboard!$D$9:$D$10,,0)</f>
        <v>1</v>
      </c>
      <c r="O24" t="b" cm="1">
        <f t="array" ref="O24">_xlfn.XLOOKUP(Sales_Data[[#This Row],[Sales Rep]],_xlfn.ANCHORARRAY(Dashboard!$B$13),Dashboard!$D$13:$D$17,,0)</f>
        <v>1</v>
      </c>
      <c r="P24" t="b" cm="1">
        <f t="array" ref="P24">_xlfn.XLOOKUP(Sales_Data[[#This Row],[Stage]],_xlfn.ANCHORARRAY(Dashboard!$B$20),Dashboard!$D$20:$D$25)</f>
        <v>1</v>
      </c>
      <c r="Q24" t="b" cm="1">
        <f t="array" ref="Q24">_xlfn.XLOOKUP(Sales_Data[[#This Row],[Lead Source]],_xlfn.ANCHORARRAY(Dashboard!$B$28),Dashboard!$D$28:$D$32)</f>
        <v>1</v>
      </c>
      <c r="R24">
        <f>Sales_Data[[#This Row],[Date inc]]*Sales_Data[[#This Row],[Team Inc]]*Sales_Data[[#This Row],[Rep Inc]]*Sales_Data[[#This Row],[Stage Inc]]*Sales_Data[[#This Row],[Source Inc]]</f>
        <v>1</v>
      </c>
    </row>
    <row r="25" spans="1:18" x14ac:dyDescent="0.3">
      <c r="A25" t="s">
        <v>32</v>
      </c>
      <c r="B25" s="2">
        <v>45138</v>
      </c>
      <c r="C25" t="s">
        <v>759</v>
      </c>
      <c r="D25" t="s">
        <v>764</v>
      </c>
      <c r="E25" t="s">
        <v>767</v>
      </c>
      <c r="F25" s="5">
        <v>25800</v>
      </c>
      <c r="G25" t="s">
        <v>780</v>
      </c>
      <c r="H25" s="2">
        <v>45204</v>
      </c>
      <c r="J25" t="str">
        <f>IF(Sales_Data[[#This Row],[Close Date]] &lt;&gt; 0,"Closed", "Open")</f>
        <v>Closed</v>
      </c>
      <c r="K25">
        <f>IF(Sales_Data[[#This Row],[Open/Closed]] = "Closed",Sales_Data[[#This Row],[Close Date]]-Sales_Data[[#This Row],[Created Date]],"")</f>
        <v>66</v>
      </c>
      <c r="L25" s="2">
        <f>EOMONTH(Sales_Data[[#This Row],[Created Date]],0)</f>
        <v>45138</v>
      </c>
      <c r="M25" t="b">
        <f>AND(Sales_Data[[#This Row],[EoM Created]]&gt;=Index!$E$5,Sales_Data[[#This Row],[EoM Created]]&lt;=Index!$E$4)</f>
        <v>1</v>
      </c>
      <c r="N25" t="b" cm="1">
        <f t="array" ref="N25">_xlfn.XLOOKUP(Sales_Data[[#This Row],[Sales Team]],_xlfn.ANCHORARRAY(Dashboard!$B$9),Dashboard!$D$9:$D$10,,0)</f>
        <v>1</v>
      </c>
      <c r="O25" t="b" cm="1">
        <f t="array" ref="O25">_xlfn.XLOOKUP(Sales_Data[[#This Row],[Sales Rep]],_xlfn.ANCHORARRAY(Dashboard!$B$13),Dashboard!$D$13:$D$17,,0)</f>
        <v>1</v>
      </c>
      <c r="P25" t="b" cm="1">
        <f t="array" ref="P25">_xlfn.XLOOKUP(Sales_Data[[#This Row],[Stage]],_xlfn.ANCHORARRAY(Dashboard!$B$20),Dashboard!$D$20:$D$25)</f>
        <v>1</v>
      </c>
      <c r="Q25" t="b" cm="1">
        <f t="array" ref="Q25">_xlfn.XLOOKUP(Sales_Data[[#This Row],[Lead Source]],_xlfn.ANCHORARRAY(Dashboard!$B$28),Dashboard!$D$28:$D$32)</f>
        <v>1</v>
      </c>
      <c r="R25">
        <f>Sales_Data[[#This Row],[Date inc]]*Sales_Data[[#This Row],[Team Inc]]*Sales_Data[[#This Row],[Rep Inc]]*Sales_Data[[#This Row],[Stage Inc]]*Sales_Data[[#This Row],[Source Inc]]</f>
        <v>1</v>
      </c>
    </row>
    <row r="26" spans="1:18" x14ac:dyDescent="0.3">
      <c r="A26" t="s">
        <v>33</v>
      </c>
      <c r="B26" s="2">
        <v>45334</v>
      </c>
      <c r="C26" t="s">
        <v>763</v>
      </c>
      <c r="D26" t="s">
        <v>765</v>
      </c>
      <c r="E26" t="s">
        <v>768</v>
      </c>
      <c r="F26" s="5">
        <v>34600</v>
      </c>
      <c r="G26" t="s">
        <v>781</v>
      </c>
      <c r="H26" s="2">
        <v>45423</v>
      </c>
      <c r="I26" t="s">
        <v>775</v>
      </c>
      <c r="J26" t="str">
        <f>IF(Sales_Data[[#This Row],[Close Date]] &lt;&gt; 0,"Closed", "Open")</f>
        <v>Closed</v>
      </c>
      <c r="K26">
        <f>IF(Sales_Data[[#This Row],[Open/Closed]] = "Closed",Sales_Data[[#This Row],[Close Date]]-Sales_Data[[#This Row],[Created Date]],"")</f>
        <v>89</v>
      </c>
      <c r="L26" s="2">
        <f>EOMONTH(Sales_Data[[#This Row],[Created Date]],0)</f>
        <v>45351</v>
      </c>
      <c r="M26" t="b">
        <f>AND(Sales_Data[[#This Row],[EoM Created]]&gt;=Index!$E$5,Sales_Data[[#This Row],[EoM Created]]&lt;=Index!$E$4)</f>
        <v>1</v>
      </c>
      <c r="N26" t="b" cm="1">
        <f t="array" ref="N26">_xlfn.XLOOKUP(Sales_Data[[#This Row],[Sales Team]],_xlfn.ANCHORARRAY(Dashboard!$B$9),Dashboard!$D$9:$D$10,,0)</f>
        <v>1</v>
      </c>
      <c r="O26" t="b" cm="1">
        <f t="array" ref="O26">_xlfn.XLOOKUP(Sales_Data[[#This Row],[Sales Rep]],_xlfn.ANCHORARRAY(Dashboard!$B$13),Dashboard!$D$13:$D$17,,0)</f>
        <v>1</v>
      </c>
      <c r="P26" t="b" cm="1">
        <f t="array" ref="P26">_xlfn.XLOOKUP(Sales_Data[[#This Row],[Stage]],_xlfn.ANCHORARRAY(Dashboard!$B$20),Dashboard!$D$20:$D$25)</f>
        <v>1</v>
      </c>
      <c r="Q26" t="b" cm="1">
        <f t="array" ref="Q26">_xlfn.XLOOKUP(Sales_Data[[#This Row],[Lead Source]],_xlfn.ANCHORARRAY(Dashboard!$B$28),Dashboard!$D$28:$D$32)</f>
        <v>1</v>
      </c>
      <c r="R26">
        <f>Sales_Data[[#This Row],[Date inc]]*Sales_Data[[#This Row],[Team Inc]]*Sales_Data[[#This Row],[Rep Inc]]*Sales_Data[[#This Row],[Stage Inc]]*Sales_Data[[#This Row],[Source Inc]]</f>
        <v>1</v>
      </c>
    </row>
    <row r="27" spans="1:18" x14ac:dyDescent="0.3">
      <c r="A27" t="s">
        <v>34</v>
      </c>
      <c r="B27" s="2">
        <v>45428</v>
      </c>
      <c r="C27" t="s">
        <v>763</v>
      </c>
      <c r="D27" t="s">
        <v>765</v>
      </c>
      <c r="E27" t="s">
        <v>770</v>
      </c>
      <c r="F27" s="5">
        <v>41100</v>
      </c>
      <c r="G27" t="s">
        <v>781</v>
      </c>
      <c r="H27" s="2">
        <v>45489</v>
      </c>
      <c r="I27" t="s">
        <v>779</v>
      </c>
      <c r="J27" t="str">
        <f>IF(Sales_Data[[#This Row],[Close Date]] &lt;&gt; 0,"Closed", "Open")</f>
        <v>Closed</v>
      </c>
      <c r="K27">
        <f>IF(Sales_Data[[#This Row],[Open/Closed]] = "Closed",Sales_Data[[#This Row],[Close Date]]-Sales_Data[[#This Row],[Created Date]],"")</f>
        <v>61</v>
      </c>
      <c r="L27" s="2">
        <f>EOMONTH(Sales_Data[[#This Row],[Created Date]],0)</f>
        <v>45443</v>
      </c>
      <c r="M27" t="b">
        <f>AND(Sales_Data[[#This Row],[EoM Created]]&gt;=Index!$E$5,Sales_Data[[#This Row],[EoM Created]]&lt;=Index!$E$4)</f>
        <v>1</v>
      </c>
      <c r="N27" t="b" cm="1">
        <f t="array" ref="N27">_xlfn.XLOOKUP(Sales_Data[[#This Row],[Sales Team]],_xlfn.ANCHORARRAY(Dashboard!$B$9),Dashboard!$D$9:$D$10,,0)</f>
        <v>1</v>
      </c>
      <c r="O27" t="b" cm="1">
        <f t="array" ref="O27">_xlfn.XLOOKUP(Sales_Data[[#This Row],[Sales Rep]],_xlfn.ANCHORARRAY(Dashboard!$B$13),Dashboard!$D$13:$D$17,,0)</f>
        <v>1</v>
      </c>
      <c r="P27" t="b" cm="1">
        <f t="array" ref="P27">_xlfn.XLOOKUP(Sales_Data[[#This Row],[Stage]],_xlfn.ANCHORARRAY(Dashboard!$B$20),Dashboard!$D$20:$D$25)</f>
        <v>1</v>
      </c>
      <c r="Q27" t="b" cm="1">
        <f t="array" ref="Q27">_xlfn.XLOOKUP(Sales_Data[[#This Row],[Lead Source]],_xlfn.ANCHORARRAY(Dashboard!$B$28),Dashboard!$D$28:$D$32)</f>
        <v>1</v>
      </c>
      <c r="R27">
        <f>Sales_Data[[#This Row],[Date inc]]*Sales_Data[[#This Row],[Team Inc]]*Sales_Data[[#This Row],[Rep Inc]]*Sales_Data[[#This Row],[Stage Inc]]*Sales_Data[[#This Row],[Source Inc]]</f>
        <v>1</v>
      </c>
    </row>
    <row r="28" spans="1:18" x14ac:dyDescent="0.3">
      <c r="A28" t="s">
        <v>35</v>
      </c>
      <c r="B28" s="2">
        <v>45245</v>
      </c>
      <c r="C28" t="s">
        <v>760</v>
      </c>
      <c r="D28" t="s">
        <v>764</v>
      </c>
      <c r="E28" t="s">
        <v>767</v>
      </c>
      <c r="F28" s="5">
        <v>28500</v>
      </c>
      <c r="G28" t="s">
        <v>781</v>
      </c>
      <c r="H28" s="2">
        <v>45318</v>
      </c>
      <c r="I28" t="s">
        <v>777</v>
      </c>
      <c r="J28" t="str">
        <f>IF(Sales_Data[[#This Row],[Close Date]] &lt;&gt; 0,"Closed", "Open")</f>
        <v>Closed</v>
      </c>
      <c r="K28">
        <f>IF(Sales_Data[[#This Row],[Open/Closed]] = "Closed",Sales_Data[[#This Row],[Close Date]]-Sales_Data[[#This Row],[Created Date]],"")</f>
        <v>73</v>
      </c>
      <c r="L28" s="2">
        <f>EOMONTH(Sales_Data[[#This Row],[Created Date]],0)</f>
        <v>45260</v>
      </c>
      <c r="M28" t="b">
        <f>AND(Sales_Data[[#This Row],[EoM Created]]&gt;=Index!$E$5,Sales_Data[[#This Row],[EoM Created]]&lt;=Index!$E$4)</f>
        <v>1</v>
      </c>
      <c r="N28" t="b" cm="1">
        <f t="array" ref="N28">_xlfn.XLOOKUP(Sales_Data[[#This Row],[Sales Team]],_xlfn.ANCHORARRAY(Dashboard!$B$9),Dashboard!$D$9:$D$10,,0)</f>
        <v>1</v>
      </c>
      <c r="O28" t="b" cm="1">
        <f t="array" ref="O28">_xlfn.XLOOKUP(Sales_Data[[#This Row],[Sales Rep]],_xlfn.ANCHORARRAY(Dashboard!$B$13),Dashboard!$D$13:$D$17,,0)</f>
        <v>1</v>
      </c>
      <c r="P28" t="b" cm="1">
        <f t="array" ref="P28">_xlfn.XLOOKUP(Sales_Data[[#This Row],[Stage]],_xlfn.ANCHORARRAY(Dashboard!$B$20),Dashboard!$D$20:$D$25)</f>
        <v>1</v>
      </c>
      <c r="Q28" t="b" cm="1">
        <f t="array" ref="Q28">_xlfn.XLOOKUP(Sales_Data[[#This Row],[Lead Source]],_xlfn.ANCHORARRAY(Dashboard!$B$28),Dashboard!$D$28:$D$32)</f>
        <v>1</v>
      </c>
      <c r="R28">
        <f>Sales_Data[[#This Row],[Date inc]]*Sales_Data[[#This Row],[Team Inc]]*Sales_Data[[#This Row],[Rep Inc]]*Sales_Data[[#This Row],[Stage Inc]]*Sales_Data[[#This Row],[Source Inc]]</f>
        <v>1</v>
      </c>
    </row>
    <row r="29" spans="1:18" x14ac:dyDescent="0.3">
      <c r="A29" t="s">
        <v>36</v>
      </c>
      <c r="B29" s="2">
        <v>44983</v>
      </c>
      <c r="C29" t="s">
        <v>763</v>
      </c>
      <c r="D29" t="s">
        <v>765</v>
      </c>
      <c r="E29" t="s">
        <v>768</v>
      </c>
      <c r="F29" s="5">
        <v>43800</v>
      </c>
      <c r="G29" t="s">
        <v>780</v>
      </c>
      <c r="H29" s="2">
        <v>45060</v>
      </c>
      <c r="J29" t="str">
        <f>IF(Sales_Data[[#This Row],[Close Date]] &lt;&gt; 0,"Closed", "Open")</f>
        <v>Closed</v>
      </c>
      <c r="K29">
        <f>IF(Sales_Data[[#This Row],[Open/Closed]] = "Closed",Sales_Data[[#This Row],[Close Date]]-Sales_Data[[#This Row],[Created Date]],"")</f>
        <v>77</v>
      </c>
      <c r="L29" s="2">
        <f>EOMONTH(Sales_Data[[#This Row],[Created Date]],0)</f>
        <v>44985</v>
      </c>
      <c r="M29" t="b">
        <f>AND(Sales_Data[[#This Row],[EoM Created]]&gt;=Index!$E$5,Sales_Data[[#This Row],[EoM Created]]&lt;=Index!$E$4)</f>
        <v>0</v>
      </c>
      <c r="N29" t="b" cm="1">
        <f t="array" ref="N29">_xlfn.XLOOKUP(Sales_Data[[#This Row],[Sales Team]],_xlfn.ANCHORARRAY(Dashboard!$B$9),Dashboard!$D$9:$D$10,,0)</f>
        <v>1</v>
      </c>
      <c r="O29" t="b" cm="1">
        <f t="array" ref="O29">_xlfn.XLOOKUP(Sales_Data[[#This Row],[Sales Rep]],_xlfn.ANCHORARRAY(Dashboard!$B$13),Dashboard!$D$13:$D$17,,0)</f>
        <v>1</v>
      </c>
      <c r="P29" t="b" cm="1">
        <f t="array" ref="P29">_xlfn.XLOOKUP(Sales_Data[[#This Row],[Stage]],_xlfn.ANCHORARRAY(Dashboard!$B$20),Dashboard!$D$20:$D$25)</f>
        <v>1</v>
      </c>
      <c r="Q29" t="b" cm="1">
        <f t="array" ref="Q29">_xlfn.XLOOKUP(Sales_Data[[#This Row],[Lead Source]],_xlfn.ANCHORARRAY(Dashboard!$B$28),Dashboard!$D$28:$D$32)</f>
        <v>1</v>
      </c>
      <c r="R29">
        <f>Sales_Data[[#This Row],[Date inc]]*Sales_Data[[#This Row],[Team Inc]]*Sales_Data[[#This Row],[Rep Inc]]*Sales_Data[[#This Row],[Stage Inc]]*Sales_Data[[#This Row],[Source Inc]]</f>
        <v>0</v>
      </c>
    </row>
    <row r="30" spans="1:18" x14ac:dyDescent="0.3">
      <c r="A30" t="s">
        <v>37</v>
      </c>
      <c r="B30" s="2">
        <v>45521</v>
      </c>
      <c r="C30" t="s">
        <v>760</v>
      </c>
      <c r="D30" t="s">
        <v>764</v>
      </c>
      <c r="E30" t="s">
        <v>766</v>
      </c>
      <c r="F30" s="5">
        <v>34000</v>
      </c>
      <c r="G30" t="s">
        <v>781</v>
      </c>
      <c r="H30" s="2">
        <v>45610</v>
      </c>
      <c r="I30" t="s">
        <v>777</v>
      </c>
      <c r="J30" t="str">
        <f>IF(Sales_Data[[#This Row],[Close Date]] &lt;&gt; 0,"Closed", "Open")</f>
        <v>Closed</v>
      </c>
      <c r="K30">
        <f>IF(Sales_Data[[#This Row],[Open/Closed]] = "Closed",Sales_Data[[#This Row],[Close Date]]-Sales_Data[[#This Row],[Created Date]],"")</f>
        <v>89</v>
      </c>
      <c r="L30" s="2">
        <f>EOMONTH(Sales_Data[[#This Row],[Created Date]],0)</f>
        <v>45535</v>
      </c>
      <c r="M30" t="b">
        <f>AND(Sales_Data[[#This Row],[EoM Created]]&gt;=Index!$E$5,Sales_Data[[#This Row],[EoM Created]]&lt;=Index!$E$4)</f>
        <v>1</v>
      </c>
      <c r="N30" t="b" cm="1">
        <f t="array" ref="N30">_xlfn.XLOOKUP(Sales_Data[[#This Row],[Sales Team]],_xlfn.ANCHORARRAY(Dashboard!$B$9),Dashboard!$D$9:$D$10,,0)</f>
        <v>1</v>
      </c>
      <c r="O30" t="b" cm="1">
        <f t="array" ref="O30">_xlfn.XLOOKUP(Sales_Data[[#This Row],[Sales Rep]],_xlfn.ANCHORARRAY(Dashboard!$B$13),Dashboard!$D$13:$D$17,,0)</f>
        <v>1</v>
      </c>
      <c r="P30" t="b" cm="1">
        <f t="array" ref="P30">_xlfn.XLOOKUP(Sales_Data[[#This Row],[Stage]],_xlfn.ANCHORARRAY(Dashboard!$B$20),Dashboard!$D$20:$D$25)</f>
        <v>1</v>
      </c>
      <c r="Q30" t="b" cm="1">
        <f t="array" ref="Q30">_xlfn.XLOOKUP(Sales_Data[[#This Row],[Lead Source]],_xlfn.ANCHORARRAY(Dashboard!$B$28),Dashboard!$D$28:$D$32)</f>
        <v>1</v>
      </c>
      <c r="R30">
        <f>Sales_Data[[#This Row],[Date inc]]*Sales_Data[[#This Row],[Team Inc]]*Sales_Data[[#This Row],[Rep Inc]]*Sales_Data[[#This Row],[Stage Inc]]*Sales_Data[[#This Row],[Source Inc]]</f>
        <v>1</v>
      </c>
    </row>
    <row r="31" spans="1:18" x14ac:dyDescent="0.3">
      <c r="A31" t="s">
        <v>38</v>
      </c>
      <c r="B31" s="2">
        <v>45344</v>
      </c>
      <c r="C31" t="s">
        <v>763</v>
      </c>
      <c r="D31" t="s">
        <v>765</v>
      </c>
      <c r="E31" t="s">
        <v>768</v>
      </c>
      <c r="F31" s="5">
        <v>37100</v>
      </c>
      <c r="G31" t="s">
        <v>781</v>
      </c>
      <c r="H31" s="2">
        <v>45414</v>
      </c>
      <c r="I31" t="s">
        <v>776</v>
      </c>
      <c r="J31" t="str">
        <f>IF(Sales_Data[[#This Row],[Close Date]] &lt;&gt; 0,"Closed", "Open")</f>
        <v>Closed</v>
      </c>
      <c r="K31">
        <f>IF(Sales_Data[[#This Row],[Open/Closed]] = "Closed",Sales_Data[[#This Row],[Close Date]]-Sales_Data[[#This Row],[Created Date]],"")</f>
        <v>70</v>
      </c>
      <c r="L31" s="2">
        <f>EOMONTH(Sales_Data[[#This Row],[Created Date]],0)</f>
        <v>45351</v>
      </c>
      <c r="M31" t="b">
        <f>AND(Sales_Data[[#This Row],[EoM Created]]&gt;=Index!$E$5,Sales_Data[[#This Row],[EoM Created]]&lt;=Index!$E$4)</f>
        <v>1</v>
      </c>
      <c r="N31" t="b" cm="1">
        <f t="array" ref="N31">_xlfn.XLOOKUP(Sales_Data[[#This Row],[Sales Team]],_xlfn.ANCHORARRAY(Dashboard!$B$9),Dashboard!$D$9:$D$10,,0)</f>
        <v>1</v>
      </c>
      <c r="O31" t="b" cm="1">
        <f t="array" ref="O31">_xlfn.XLOOKUP(Sales_Data[[#This Row],[Sales Rep]],_xlfn.ANCHORARRAY(Dashboard!$B$13),Dashboard!$D$13:$D$17,,0)</f>
        <v>1</v>
      </c>
      <c r="P31" t="b" cm="1">
        <f t="array" ref="P31">_xlfn.XLOOKUP(Sales_Data[[#This Row],[Stage]],_xlfn.ANCHORARRAY(Dashboard!$B$20),Dashboard!$D$20:$D$25)</f>
        <v>1</v>
      </c>
      <c r="Q31" t="b" cm="1">
        <f t="array" ref="Q31">_xlfn.XLOOKUP(Sales_Data[[#This Row],[Lead Source]],_xlfn.ANCHORARRAY(Dashboard!$B$28),Dashboard!$D$28:$D$32)</f>
        <v>1</v>
      </c>
      <c r="R31">
        <f>Sales_Data[[#This Row],[Date inc]]*Sales_Data[[#This Row],[Team Inc]]*Sales_Data[[#This Row],[Rep Inc]]*Sales_Data[[#This Row],[Stage Inc]]*Sales_Data[[#This Row],[Source Inc]]</f>
        <v>1</v>
      </c>
    </row>
    <row r="32" spans="1:18" x14ac:dyDescent="0.3">
      <c r="A32" t="s">
        <v>39</v>
      </c>
      <c r="B32" s="2">
        <v>45502</v>
      </c>
      <c r="C32" t="s">
        <v>762</v>
      </c>
      <c r="D32" t="s">
        <v>764</v>
      </c>
      <c r="E32" t="s">
        <v>767</v>
      </c>
      <c r="F32" s="5">
        <v>34000</v>
      </c>
      <c r="G32" t="s">
        <v>780</v>
      </c>
      <c r="H32" s="2">
        <v>45578</v>
      </c>
      <c r="J32" t="str">
        <f>IF(Sales_Data[[#This Row],[Close Date]] &lt;&gt; 0,"Closed", "Open")</f>
        <v>Closed</v>
      </c>
      <c r="K32">
        <f>IF(Sales_Data[[#This Row],[Open/Closed]] = "Closed",Sales_Data[[#This Row],[Close Date]]-Sales_Data[[#This Row],[Created Date]],"")</f>
        <v>76</v>
      </c>
      <c r="L32" s="2">
        <f>EOMONTH(Sales_Data[[#This Row],[Created Date]],0)</f>
        <v>45504</v>
      </c>
      <c r="M32" t="b">
        <f>AND(Sales_Data[[#This Row],[EoM Created]]&gt;=Index!$E$5,Sales_Data[[#This Row],[EoM Created]]&lt;=Index!$E$4)</f>
        <v>1</v>
      </c>
      <c r="N32" t="b" cm="1">
        <f t="array" ref="N32">_xlfn.XLOOKUP(Sales_Data[[#This Row],[Sales Team]],_xlfn.ANCHORARRAY(Dashboard!$B$9),Dashboard!$D$9:$D$10,,0)</f>
        <v>1</v>
      </c>
      <c r="O32" t="b" cm="1">
        <f t="array" ref="O32">_xlfn.XLOOKUP(Sales_Data[[#This Row],[Sales Rep]],_xlfn.ANCHORARRAY(Dashboard!$B$13),Dashboard!$D$13:$D$17,,0)</f>
        <v>1</v>
      </c>
      <c r="P32" t="b" cm="1">
        <f t="array" ref="P32">_xlfn.XLOOKUP(Sales_Data[[#This Row],[Stage]],_xlfn.ANCHORARRAY(Dashboard!$B$20),Dashboard!$D$20:$D$25)</f>
        <v>1</v>
      </c>
      <c r="Q32" t="b" cm="1">
        <f t="array" ref="Q32">_xlfn.XLOOKUP(Sales_Data[[#This Row],[Lead Source]],_xlfn.ANCHORARRAY(Dashboard!$B$28),Dashboard!$D$28:$D$32)</f>
        <v>1</v>
      </c>
      <c r="R32">
        <f>Sales_Data[[#This Row],[Date inc]]*Sales_Data[[#This Row],[Team Inc]]*Sales_Data[[#This Row],[Rep Inc]]*Sales_Data[[#This Row],[Stage Inc]]*Sales_Data[[#This Row],[Source Inc]]</f>
        <v>1</v>
      </c>
    </row>
    <row r="33" spans="1:18" x14ac:dyDescent="0.3">
      <c r="A33" t="s">
        <v>40</v>
      </c>
      <c r="B33" s="2">
        <v>45773</v>
      </c>
      <c r="C33" t="s">
        <v>763</v>
      </c>
      <c r="D33" t="s">
        <v>765</v>
      </c>
      <c r="E33" t="s">
        <v>770</v>
      </c>
      <c r="F33" s="5">
        <v>58500</v>
      </c>
      <c r="G33" t="s">
        <v>772</v>
      </c>
      <c r="H33" s="2"/>
      <c r="J33" t="str">
        <f>IF(Sales_Data[[#This Row],[Close Date]] &lt;&gt; 0,"Closed", "Open")</f>
        <v>Open</v>
      </c>
      <c r="K33" t="str">
        <f>IF(Sales_Data[[#This Row],[Open/Closed]] = "Closed",Sales_Data[[#This Row],[Close Date]]-Sales_Data[[#This Row],[Created Date]],"")</f>
        <v/>
      </c>
      <c r="L33" s="2">
        <f>EOMONTH(Sales_Data[[#This Row],[Created Date]],0)</f>
        <v>45777</v>
      </c>
      <c r="M33" t="b">
        <f>AND(Sales_Data[[#This Row],[EoM Created]]&gt;=Index!$E$5,Sales_Data[[#This Row],[EoM Created]]&lt;=Index!$E$4)</f>
        <v>1</v>
      </c>
      <c r="N33" t="b" cm="1">
        <f t="array" ref="N33">_xlfn.XLOOKUP(Sales_Data[[#This Row],[Sales Team]],_xlfn.ANCHORARRAY(Dashboard!$B$9),Dashboard!$D$9:$D$10,,0)</f>
        <v>1</v>
      </c>
      <c r="O33" t="b" cm="1">
        <f t="array" ref="O33">_xlfn.XLOOKUP(Sales_Data[[#This Row],[Sales Rep]],_xlfn.ANCHORARRAY(Dashboard!$B$13),Dashboard!$D$13:$D$17,,0)</f>
        <v>1</v>
      </c>
      <c r="P33" t="b" cm="1">
        <f t="array" ref="P33">_xlfn.XLOOKUP(Sales_Data[[#This Row],[Stage]],_xlfn.ANCHORARRAY(Dashboard!$B$20),Dashboard!$D$20:$D$25)</f>
        <v>1</v>
      </c>
      <c r="Q33" t="b" cm="1">
        <f t="array" ref="Q33">_xlfn.XLOOKUP(Sales_Data[[#This Row],[Lead Source]],_xlfn.ANCHORARRAY(Dashboard!$B$28),Dashboard!$D$28:$D$32)</f>
        <v>1</v>
      </c>
      <c r="R33">
        <f>Sales_Data[[#This Row],[Date inc]]*Sales_Data[[#This Row],[Team Inc]]*Sales_Data[[#This Row],[Rep Inc]]*Sales_Data[[#This Row],[Stage Inc]]*Sales_Data[[#This Row],[Source Inc]]</f>
        <v>1</v>
      </c>
    </row>
    <row r="34" spans="1:18" x14ac:dyDescent="0.3">
      <c r="A34" t="s">
        <v>41</v>
      </c>
      <c r="B34" s="2">
        <v>45629</v>
      </c>
      <c r="C34" t="s">
        <v>759</v>
      </c>
      <c r="D34" t="s">
        <v>764</v>
      </c>
      <c r="E34" t="s">
        <v>766</v>
      </c>
      <c r="F34" s="5">
        <v>39900</v>
      </c>
      <c r="G34" t="s">
        <v>780</v>
      </c>
      <c r="H34" s="2">
        <v>45715</v>
      </c>
      <c r="J34" t="str">
        <f>IF(Sales_Data[[#This Row],[Close Date]] &lt;&gt; 0,"Closed", "Open")</f>
        <v>Closed</v>
      </c>
      <c r="K34">
        <f>IF(Sales_Data[[#This Row],[Open/Closed]] = "Closed",Sales_Data[[#This Row],[Close Date]]-Sales_Data[[#This Row],[Created Date]],"")</f>
        <v>86</v>
      </c>
      <c r="L34" s="2">
        <f>EOMONTH(Sales_Data[[#This Row],[Created Date]],0)</f>
        <v>45657</v>
      </c>
      <c r="M34" t="b">
        <f>AND(Sales_Data[[#This Row],[EoM Created]]&gt;=Index!$E$5,Sales_Data[[#This Row],[EoM Created]]&lt;=Index!$E$4)</f>
        <v>1</v>
      </c>
      <c r="N34" t="b" cm="1">
        <f t="array" ref="N34">_xlfn.XLOOKUP(Sales_Data[[#This Row],[Sales Team]],_xlfn.ANCHORARRAY(Dashboard!$B$9),Dashboard!$D$9:$D$10,,0)</f>
        <v>1</v>
      </c>
      <c r="O34" t="b" cm="1">
        <f t="array" ref="O34">_xlfn.XLOOKUP(Sales_Data[[#This Row],[Sales Rep]],_xlfn.ANCHORARRAY(Dashboard!$B$13),Dashboard!$D$13:$D$17,,0)</f>
        <v>1</v>
      </c>
      <c r="P34" t="b" cm="1">
        <f t="array" ref="P34">_xlfn.XLOOKUP(Sales_Data[[#This Row],[Stage]],_xlfn.ANCHORARRAY(Dashboard!$B$20),Dashboard!$D$20:$D$25)</f>
        <v>1</v>
      </c>
      <c r="Q34" t="b" cm="1">
        <f t="array" ref="Q34">_xlfn.XLOOKUP(Sales_Data[[#This Row],[Lead Source]],_xlfn.ANCHORARRAY(Dashboard!$B$28),Dashboard!$D$28:$D$32)</f>
        <v>1</v>
      </c>
      <c r="R34">
        <f>Sales_Data[[#This Row],[Date inc]]*Sales_Data[[#This Row],[Team Inc]]*Sales_Data[[#This Row],[Rep Inc]]*Sales_Data[[#This Row],[Stage Inc]]*Sales_Data[[#This Row],[Source Inc]]</f>
        <v>1</v>
      </c>
    </row>
    <row r="35" spans="1:18" x14ac:dyDescent="0.3">
      <c r="A35" t="s">
        <v>42</v>
      </c>
      <c r="B35" s="2">
        <v>45683</v>
      </c>
      <c r="C35" t="s">
        <v>763</v>
      </c>
      <c r="D35" t="s">
        <v>765</v>
      </c>
      <c r="E35" t="s">
        <v>768</v>
      </c>
      <c r="F35" s="5">
        <v>29400</v>
      </c>
      <c r="G35" t="s">
        <v>781</v>
      </c>
      <c r="H35" s="2">
        <v>45770</v>
      </c>
      <c r="I35" t="s">
        <v>778</v>
      </c>
      <c r="J35" t="str">
        <f>IF(Sales_Data[[#This Row],[Close Date]] &lt;&gt; 0,"Closed", "Open")</f>
        <v>Closed</v>
      </c>
      <c r="K35">
        <f>IF(Sales_Data[[#This Row],[Open/Closed]] = "Closed",Sales_Data[[#This Row],[Close Date]]-Sales_Data[[#This Row],[Created Date]],"")</f>
        <v>87</v>
      </c>
      <c r="L35" s="2">
        <f>EOMONTH(Sales_Data[[#This Row],[Created Date]],0)</f>
        <v>45688</v>
      </c>
      <c r="M35" t="b">
        <f>AND(Sales_Data[[#This Row],[EoM Created]]&gt;=Index!$E$5,Sales_Data[[#This Row],[EoM Created]]&lt;=Index!$E$4)</f>
        <v>1</v>
      </c>
      <c r="N35" t="b" cm="1">
        <f t="array" ref="N35">_xlfn.XLOOKUP(Sales_Data[[#This Row],[Sales Team]],_xlfn.ANCHORARRAY(Dashboard!$B$9),Dashboard!$D$9:$D$10,,0)</f>
        <v>1</v>
      </c>
      <c r="O35" t="b" cm="1">
        <f t="array" ref="O35">_xlfn.XLOOKUP(Sales_Data[[#This Row],[Sales Rep]],_xlfn.ANCHORARRAY(Dashboard!$B$13),Dashboard!$D$13:$D$17,,0)</f>
        <v>1</v>
      </c>
      <c r="P35" t="b" cm="1">
        <f t="array" ref="P35">_xlfn.XLOOKUP(Sales_Data[[#This Row],[Stage]],_xlfn.ANCHORARRAY(Dashboard!$B$20),Dashboard!$D$20:$D$25)</f>
        <v>1</v>
      </c>
      <c r="Q35" t="b" cm="1">
        <f t="array" ref="Q35">_xlfn.XLOOKUP(Sales_Data[[#This Row],[Lead Source]],_xlfn.ANCHORARRAY(Dashboard!$B$28),Dashboard!$D$28:$D$32)</f>
        <v>1</v>
      </c>
      <c r="R35">
        <f>Sales_Data[[#This Row],[Date inc]]*Sales_Data[[#This Row],[Team Inc]]*Sales_Data[[#This Row],[Rep Inc]]*Sales_Data[[#This Row],[Stage Inc]]*Sales_Data[[#This Row],[Source Inc]]</f>
        <v>1</v>
      </c>
    </row>
    <row r="36" spans="1:18" x14ac:dyDescent="0.3">
      <c r="A36" t="s">
        <v>43</v>
      </c>
      <c r="B36" s="2">
        <v>45307</v>
      </c>
      <c r="C36" t="s">
        <v>759</v>
      </c>
      <c r="D36" t="s">
        <v>764</v>
      </c>
      <c r="E36" t="s">
        <v>767</v>
      </c>
      <c r="F36" s="5">
        <v>48200</v>
      </c>
      <c r="G36" t="s">
        <v>781</v>
      </c>
      <c r="H36" s="2">
        <v>45380</v>
      </c>
      <c r="I36" t="s">
        <v>776</v>
      </c>
      <c r="J36" t="str">
        <f>IF(Sales_Data[[#This Row],[Close Date]] &lt;&gt; 0,"Closed", "Open")</f>
        <v>Closed</v>
      </c>
      <c r="K36">
        <f>IF(Sales_Data[[#This Row],[Open/Closed]] = "Closed",Sales_Data[[#This Row],[Close Date]]-Sales_Data[[#This Row],[Created Date]],"")</f>
        <v>73</v>
      </c>
      <c r="L36" s="2">
        <f>EOMONTH(Sales_Data[[#This Row],[Created Date]],0)</f>
        <v>45322</v>
      </c>
      <c r="M36" t="b">
        <f>AND(Sales_Data[[#This Row],[EoM Created]]&gt;=Index!$E$5,Sales_Data[[#This Row],[EoM Created]]&lt;=Index!$E$4)</f>
        <v>1</v>
      </c>
      <c r="N36" t="b" cm="1">
        <f t="array" ref="N36">_xlfn.XLOOKUP(Sales_Data[[#This Row],[Sales Team]],_xlfn.ANCHORARRAY(Dashboard!$B$9),Dashboard!$D$9:$D$10,,0)</f>
        <v>1</v>
      </c>
      <c r="O36" t="b" cm="1">
        <f t="array" ref="O36">_xlfn.XLOOKUP(Sales_Data[[#This Row],[Sales Rep]],_xlfn.ANCHORARRAY(Dashboard!$B$13),Dashboard!$D$13:$D$17,,0)</f>
        <v>1</v>
      </c>
      <c r="P36" t="b" cm="1">
        <f t="array" ref="P36">_xlfn.XLOOKUP(Sales_Data[[#This Row],[Stage]],_xlfn.ANCHORARRAY(Dashboard!$B$20),Dashboard!$D$20:$D$25)</f>
        <v>1</v>
      </c>
      <c r="Q36" t="b" cm="1">
        <f t="array" ref="Q36">_xlfn.XLOOKUP(Sales_Data[[#This Row],[Lead Source]],_xlfn.ANCHORARRAY(Dashboard!$B$28),Dashboard!$D$28:$D$32)</f>
        <v>1</v>
      </c>
      <c r="R36">
        <f>Sales_Data[[#This Row],[Date inc]]*Sales_Data[[#This Row],[Team Inc]]*Sales_Data[[#This Row],[Rep Inc]]*Sales_Data[[#This Row],[Stage Inc]]*Sales_Data[[#This Row],[Source Inc]]</f>
        <v>1</v>
      </c>
    </row>
    <row r="37" spans="1:18" x14ac:dyDescent="0.3">
      <c r="A37" t="s">
        <v>44</v>
      </c>
      <c r="B37" s="2">
        <v>45061</v>
      </c>
      <c r="C37" t="s">
        <v>763</v>
      </c>
      <c r="D37" t="s">
        <v>765</v>
      </c>
      <c r="E37" t="s">
        <v>769</v>
      </c>
      <c r="F37" s="5">
        <v>27800</v>
      </c>
      <c r="G37" t="s">
        <v>780</v>
      </c>
      <c r="H37" s="2">
        <v>45151</v>
      </c>
      <c r="J37" t="str">
        <f>IF(Sales_Data[[#This Row],[Close Date]] &lt;&gt; 0,"Closed", "Open")</f>
        <v>Closed</v>
      </c>
      <c r="K37">
        <f>IF(Sales_Data[[#This Row],[Open/Closed]] = "Closed",Sales_Data[[#This Row],[Close Date]]-Sales_Data[[#This Row],[Created Date]],"")</f>
        <v>90</v>
      </c>
      <c r="L37" s="2">
        <f>EOMONTH(Sales_Data[[#This Row],[Created Date]],0)</f>
        <v>45077</v>
      </c>
      <c r="M37" t="b">
        <f>AND(Sales_Data[[#This Row],[EoM Created]]&gt;=Index!$E$5,Sales_Data[[#This Row],[EoM Created]]&lt;=Index!$E$4)</f>
        <v>0</v>
      </c>
      <c r="N37" t="b" cm="1">
        <f t="array" ref="N37">_xlfn.XLOOKUP(Sales_Data[[#This Row],[Sales Team]],_xlfn.ANCHORARRAY(Dashboard!$B$9),Dashboard!$D$9:$D$10,,0)</f>
        <v>1</v>
      </c>
      <c r="O37" t="b" cm="1">
        <f t="array" ref="O37">_xlfn.XLOOKUP(Sales_Data[[#This Row],[Sales Rep]],_xlfn.ANCHORARRAY(Dashboard!$B$13),Dashboard!$D$13:$D$17,,0)</f>
        <v>1</v>
      </c>
      <c r="P37" t="b" cm="1">
        <f t="array" ref="P37">_xlfn.XLOOKUP(Sales_Data[[#This Row],[Stage]],_xlfn.ANCHORARRAY(Dashboard!$B$20),Dashboard!$D$20:$D$25)</f>
        <v>1</v>
      </c>
      <c r="Q37" t="b" cm="1">
        <f t="array" ref="Q37">_xlfn.XLOOKUP(Sales_Data[[#This Row],[Lead Source]],_xlfn.ANCHORARRAY(Dashboard!$B$28),Dashboard!$D$28:$D$32)</f>
        <v>1</v>
      </c>
      <c r="R37">
        <f>Sales_Data[[#This Row],[Date inc]]*Sales_Data[[#This Row],[Team Inc]]*Sales_Data[[#This Row],[Rep Inc]]*Sales_Data[[#This Row],[Stage Inc]]*Sales_Data[[#This Row],[Source Inc]]</f>
        <v>0</v>
      </c>
    </row>
    <row r="38" spans="1:18" x14ac:dyDescent="0.3">
      <c r="A38" t="s">
        <v>45</v>
      </c>
      <c r="B38" s="2">
        <v>45397</v>
      </c>
      <c r="C38" t="s">
        <v>761</v>
      </c>
      <c r="D38" t="s">
        <v>765</v>
      </c>
      <c r="E38" t="s">
        <v>770</v>
      </c>
      <c r="F38" s="5">
        <v>42100</v>
      </c>
      <c r="G38" t="s">
        <v>781</v>
      </c>
      <c r="H38" s="2">
        <v>45486</v>
      </c>
      <c r="I38" t="s">
        <v>777</v>
      </c>
      <c r="J38" t="str">
        <f>IF(Sales_Data[[#This Row],[Close Date]] &lt;&gt; 0,"Closed", "Open")</f>
        <v>Closed</v>
      </c>
      <c r="K38">
        <f>IF(Sales_Data[[#This Row],[Open/Closed]] = "Closed",Sales_Data[[#This Row],[Close Date]]-Sales_Data[[#This Row],[Created Date]],"")</f>
        <v>89</v>
      </c>
      <c r="L38" s="2">
        <f>EOMONTH(Sales_Data[[#This Row],[Created Date]],0)</f>
        <v>45412</v>
      </c>
      <c r="M38" t="b">
        <f>AND(Sales_Data[[#This Row],[EoM Created]]&gt;=Index!$E$5,Sales_Data[[#This Row],[EoM Created]]&lt;=Index!$E$4)</f>
        <v>1</v>
      </c>
      <c r="N38" t="b" cm="1">
        <f t="array" ref="N38">_xlfn.XLOOKUP(Sales_Data[[#This Row],[Sales Team]],_xlfn.ANCHORARRAY(Dashboard!$B$9),Dashboard!$D$9:$D$10,,0)</f>
        <v>1</v>
      </c>
      <c r="O38" t="b" cm="1">
        <f t="array" ref="O38">_xlfn.XLOOKUP(Sales_Data[[#This Row],[Sales Rep]],_xlfn.ANCHORARRAY(Dashboard!$B$13),Dashboard!$D$13:$D$17,,0)</f>
        <v>1</v>
      </c>
      <c r="P38" t="b" cm="1">
        <f t="array" ref="P38">_xlfn.XLOOKUP(Sales_Data[[#This Row],[Stage]],_xlfn.ANCHORARRAY(Dashboard!$B$20),Dashboard!$D$20:$D$25)</f>
        <v>1</v>
      </c>
      <c r="Q38" t="b" cm="1">
        <f t="array" ref="Q38">_xlfn.XLOOKUP(Sales_Data[[#This Row],[Lead Source]],_xlfn.ANCHORARRAY(Dashboard!$B$28),Dashboard!$D$28:$D$32)</f>
        <v>1</v>
      </c>
      <c r="R38">
        <f>Sales_Data[[#This Row],[Date inc]]*Sales_Data[[#This Row],[Team Inc]]*Sales_Data[[#This Row],[Rep Inc]]*Sales_Data[[#This Row],[Stage Inc]]*Sales_Data[[#This Row],[Source Inc]]</f>
        <v>1</v>
      </c>
    </row>
    <row r="39" spans="1:18" x14ac:dyDescent="0.3">
      <c r="A39" t="s">
        <v>46</v>
      </c>
      <c r="B39" s="2">
        <v>45752</v>
      </c>
      <c r="C39" t="s">
        <v>760</v>
      </c>
      <c r="D39" t="s">
        <v>764</v>
      </c>
      <c r="E39" t="s">
        <v>767</v>
      </c>
      <c r="F39" s="5">
        <v>20400</v>
      </c>
      <c r="G39" t="s">
        <v>771</v>
      </c>
      <c r="H39" s="2"/>
      <c r="J39" t="str">
        <f>IF(Sales_Data[[#This Row],[Close Date]] &lt;&gt; 0,"Closed", "Open")</f>
        <v>Open</v>
      </c>
      <c r="K39" t="str">
        <f>IF(Sales_Data[[#This Row],[Open/Closed]] = "Closed",Sales_Data[[#This Row],[Close Date]]-Sales_Data[[#This Row],[Created Date]],"")</f>
        <v/>
      </c>
      <c r="L39" s="2">
        <f>EOMONTH(Sales_Data[[#This Row],[Created Date]],0)</f>
        <v>45777</v>
      </c>
      <c r="M39" t="b">
        <f>AND(Sales_Data[[#This Row],[EoM Created]]&gt;=Index!$E$5,Sales_Data[[#This Row],[EoM Created]]&lt;=Index!$E$4)</f>
        <v>1</v>
      </c>
      <c r="N39" t="b" cm="1">
        <f t="array" ref="N39">_xlfn.XLOOKUP(Sales_Data[[#This Row],[Sales Team]],_xlfn.ANCHORARRAY(Dashboard!$B$9),Dashboard!$D$9:$D$10,,0)</f>
        <v>1</v>
      </c>
      <c r="O39" t="b" cm="1">
        <f t="array" ref="O39">_xlfn.XLOOKUP(Sales_Data[[#This Row],[Sales Rep]],_xlfn.ANCHORARRAY(Dashboard!$B$13),Dashboard!$D$13:$D$17,,0)</f>
        <v>1</v>
      </c>
      <c r="P39" t="b" cm="1">
        <f t="array" ref="P39">_xlfn.XLOOKUP(Sales_Data[[#This Row],[Stage]],_xlfn.ANCHORARRAY(Dashboard!$B$20),Dashboard!$D$20:$D$25)</f>
        <v>1</v>
      </c>
      <c r="Q39" t="b" cm="1">
        <f t="array" ref="Q39">_xlfn.XLOOKUP(Sales_Data[[#This Row],[Lead Source]],_xlfn.ANCHORARRAY(Dashboard!$B$28),Dashboard!$D$28:$D$32)</f>
        <v>1</v>
      </c>
      <c r="R39">
        <f>Sales_Data[[#This Row],[Date inc]]*Sales_Data[[#This Row],[Team Inc]]*Sales_Data[[#This Row],[Rep Inc]]*Sales_Data[[#This Row],[Stage Inc]]*Sales_Data[[#This Row],[Source Inc]]</f>
        <v>1</v>
      </c>
    </row>
    <row r="40" spans="1:18" x14ac:dyDescent="0.3">
      <c r="A40" t="s">
        <v>47</v>
      </c>
      <c r="B40" s="2">
        <v>45574</v>
      </c>
      <c r="C40" t="s">
        <v>761</v>
      </c>
      <c r="D40" t="s">
        <v>765</v>
      </c>
      <c r="E40" t="s">
        <v>769</v>
      </c>
      <c r="F40" s="5">
        <v>26700</v>
      </c>
      <c r="G40" t="s">
        <v>781</v>
      </c>
      <c r="H40" s="2">
        <v>45653</v>
      </c>
      <c r="I40" t="s">
        <v>776</v>
      </c>
      <c r="J40" t="str">
        <f>IF(Sales_Data[[#This Row],[Close Date]] &lt;&gt; 0,"Closed", "Open")</f>
        <v>Closed</v>
      </c>
      <c r="K40">
        <f>IF(Sales_Data[[#This Row],[Open/Closed]] = "Closed",Sales_Data[[#This Row],[Close Date]]-Sales_Data[[#This Row],[Created Date]],"")</f>
        <v>79</v>
      </c>
      <c r="L40" s="2">
        <f>EOMONTH(Sales_Data[[#This Row],[Created Date]],0)</f>
        <v>45596</v>
      </c>
      <c r="M40" t="b">
        <f>AND(Sales_Data[[#This Row],[EoM Created]]&gt;=Index!$E$5,Sales_Data[[#This Row],[EoM Created]]&lt;=Index!$E$4)</f>
        <v>1</v>
      </c>
      <c r="N40" t="b" cm="1">
        <f t="array" ref="N40">_xlfn.XLOOKUP(Sales_Data[[#This Row],[Sales Team]],_xlfn.ANCHORARRAY(Dashboard!$B$9),Dashboard!$D$9:$D$10,,0)</f>
        <v>1</v>
      </c>
      <c r="O40" t="b" cm="1">
        <f t="array" ref="O40">_xlfn.XLOOKUP(Sales_Data[[#This Row],[Sales Rep]],_xlfn.ANCHORARRAY(Dashboard!$B$13),Dashboard!$D$13:$D$17,,0)</f>
        <v>1</v>
      </c>
      <c r="P40" t="b" cm="1">
        <f t="array" ref="P40">_xlfn.XLOOKUP(Sales_Data[[#This Row],[Stage]],_xlfn.ANCHORARRAY(Dashboard!$B$20),Dashboard!$D$20:$D$25)</f>
        <v>1</v>
      </c>
      <c r="Q40" t="b" cm="1">
        <f t="array" ref="Q40">_xlfn.XLOOKUP(Sales_Data[[#This Row],[Lead Source]],_xlfn.ANCHORARRAY(Dashboard!$B$28),Dashboard!$D$28:$D$32)</f>
        <v>1</v>
      </c>
      <c r="R40">
        <f>Sales_Data[[#This Row],[Date inc]]*Sales_Data[[#This Row],[Team Inc]]*Sales_Data[[#This Row],[Rep Inc]]*Sales_Data[[#This Row],[Stage Inc]]*Sales_Data[[#This Row],[Source Inc]]</f>
        <v>1</v>
      </c>
    </row>
    <row r="41" spans="1:18" x14ac:dyDescent="0.3">
      <c r="A41" t="s">
        <v>48</v>
      </c>
      <c r="B41" s="2">
        <v>45260</v>
      </c>
      <c r="C41" t="s">
        <v>763</v>
      </c>
      <c r="D41" t="s">
        <v>765</v>
      </c>
      <c r="E41" t="s">
        <v>770</v>
      </c>
      <c r="F41" s="5">
        <v>42000</v>
      </c>
      <c r="G41" t="s">
        <v>781</v>
      </c>
      <c r="H41" s="2">
        <v>45349</v>
      </c>
      <c r="I41" t="s">
        <v>779</v>
      </c>
      <c r="J41" t="str">
        <f>IF(Sales_Data[[#This Row],[Close Date]] &lt;&gt; 0,"Closed", "Open")</f>
        <v>Closed</v>
      </c>
      <c r="K41">
        <f>IF(Sales_Data[[#This Row],[Open/Closed]] = "Closed",Sales_Data[[#This Row],[Close Date]]-Sales_Data[[#This Row],[Created Date]],"")</f>
        <v>89</v>
      </c>
      <c r="L41" s="2">
        <f>EOMONTH(Sales_Data[[#This Row],[Created Date]],0)</f>
        <v>45260</v>
      </c>
      <c r="M41" t="b">
        <f>AND(Sales_Data[[#This Row],[EoM Created]]&gt;=Index!$E$5,Sales_Data[[#This Row],[EoM Created]]&lt;=Index!$E$4)</f>
        <v>1</v>
      </c>
      <c r="N41" t="b" cm="1">
        <f t="array" ref="N41">_xlfn.XLOOKUP(Sales_Data[[#This Row],[Sales Team]],_xlfn.ANCHORARRAY(Dashboard!$B$9),Dashboard!$D$9:$D$10,,0)</f>
        <v>1</v>
      </c>
      <c r="O41" t="b" cm="1">
        <f t="array" ref="O41">_xlfn.XLOOKUP(Sales_Data[[#This Row],[Sales Rep]],_xlfn.ANCHORARRAY(Dashboard!$B$13),Dashboard!$D$13:$D$17,,0)</f>
        <v>1</v>
      </c>
      <c r="P41" t="b" cm="1">
        <f t="array" ref="P41">_xlfn.XLOOKUP(Sales_Data[[#This Row],[Stage]],_xlfn.ANCHORARRAY(Dashboard!$B$20),Dashboard!$D$20:$D$25)</f>
        <v>1</v>
      </c>
      <c r="Q41" t="b" cm="1">
        <f t="array" ref="Q41">_xlfn.XLOOKUP(Sales_Data[[#This Row],[Lead Source]],_xlfn.ANCHORARRAY(Dashboard!$B$28),Dashboard!$D$28:$D$32)</f>
        <v>1</v>
      </c>
      <c r="R41">
        <f>Sales_Data[[#This Row],[Date inc]]*Sales_Data[[#This Row],[Team Inc]]*Sales_Data[[#This Row],[Rep Inc]]*Sales_Data[[#This Row],[Stage Inc]]*Sales_Data[[#This Row],[Source Inc]]</f>
        <v>1</v>
      </c>
    </row>
    <row r="42" spans="1:18" x14ac:dyDescent="0.3">
      <c r="A42" t="s">
        <v>49</v>
      </c>
      <c r="B42" s="2">
        <v>45679</v>
      </c>
      <c r="C42" t="s">
        <v>761</v>
      </c>
      <c r="D42" t="s">
        <v>765</v>
      </c>
      <c r="E42" t="s">
        <v>769</v>
      </c>
      <c r="F42" s="5">
        <v>47400</v>
      </c>
      <c r="G42" t="s">
        <v>781</v>
      </c>
      <c r="H42" s="2">
        <v>45746</v>
      </c>
      <c r="I42" t="s">
        <v>776</v>
      </c>
      <c r="J42" t="str">
        <f>IF(Sales_Data[[#This Row],[Close Date]] &lt;&gt; 0,"Closed", "Open")</f>
        <v>Closed</v>
      </c>
      <c r="K42">
        <f>IF(Sales_Data[[#This Row],[Open/Closed]] = "Closed",Sales_Data[[#This Row],[Close Date]]-Sales_Data[[#This Row],[Created Date]],"")</f>
        <v>67</v>
      </c>
      <c r="L42" s="2">
        <f>EOMONTH(Sales_Data[[#This Row],[Created Date]],0)</f>
        <v>45688</v>
      </c>
      <c r="M42" t="b">
        <f>AND(Sales_Data[[#This Row],[EoM Created]]&gt;=Index!$E$5,Sales_Data[[#This Row],[EoM Created]]&lt;=Index!$E$4)</f>
        <v>1</v>
      </c>
      <c r="N42" t="b" cm="1">
        <f t="array" ref="N42">_xlfn.XLOOKUP(Sales_Data[[#This Row],[Sales Team]],_xlfn.ANCHORARRAY(Dashboard!$B$9),Dashboard!$D$9:$D$10,,0)</f>
        <v>1</v>
      </c>
      <c r="O42" t="b" cm="1">
        <f t="array" ref="O42">_xlfn.XLOOKUP(Sales_Data[[#This Row],[Sales Rep]],_xlfn.ANCHORARRAY(Dashboard!$B$13),Dashboard!$D$13:$D$17,,0)</f>
        <v>1</v>
      </c>
      <c r="P42" t="b" cm="1">
        <f t="array" ref="P42">_xlfn.XLOOKUP(Sales_Data[[#This Row],[Stage]],_xlfn.ANCHORARRAY(Dashboard!$B$20),Dashboard!$D$20:$D$25)</f>
        <v>1</v>
      </c>
      <c r="Q42" t="b" cm="1">
        <f t="array" ref="Q42">_xlfn.XLOOKUP(Sales_Data[[#This Row],[Lead Source]],_xlfn.ANCHORARRAY(Dashboard!$B$28),Dashboard!$D$28:$D$32)</f>
        <v>1</v>
      </c>
      <c r="R42">
        <f>Sales_Data[[#This Row],[Date inc]]*Sales_Data[[#This Row],[Team Inc]]*Sales_Data[[#This Row],[Rep Inc]]*Sales_Data[[#This Row],[Stage Inc]]*Sales_Data[[#This Row],[Source Inc]]</f>
        <v>1</v>
      </c>
    </row>
    <row r="43" spans="1:18" x14ac:dyDescent="0.3">
      <c r="A43" t="s">
        <v>50</v>
      </c>
      <c r="B43" s="2">
        <v>45542</v>
      </c>
      <c r="C43" t="s">
        <v>759</v>
      </c>
      <c r="D43" t="s">
        <v>764</v>
      </c>
      <c r="E43" t="s">
        <v>767</v>
      </c>
      <c r="F43" s="5">
        <v>41700</v>
      </c>
      <c r="G43" t="s">
        <v>781</v>
      </c>
      <c r="H43" s="2">
        <v>45630</v>
      </c>
      <c r="I43" t="s">
        <v>775</v>
      </c>
      <c r="J43" t="str">
        <f>IF(Sales_Data[[#This Row],[Close Date]] &lt;&gt; 0,"Closed", "Open")</f>
        <v>Closed</v>
      </c>
      <c r="K43">
        <f>IF(Sales_Data[[#This Row],[Open/Closed]] = "Closed",Sales_Data[[#This Row],[Close Date]]-Sales_Data[[#This Row],[Created Date]],"")</f>
        <v>88</v>
      </c>
      <c r="L43" s="2">
        <f>EOMONTH(Sales_Data[[#This Row],[Created Date]],0)</f>
        <v>45565</v>
      </c>
      <c r="M43" t="b">
        <f>AND(Sales_Data[[#This Row],[EoM Created]]&gt;=Index!$E$5,Sales_Data[[#This Row],[EoM Created]]&lt;=Index!$E$4)</f>
        <v>1</v>
      </c>
      <c r="N43" t="b" cm="1">
        <f t="array" ref="N43">_xlfn.XLOOKUP(Sales_Data[[#This Row],[Sales Team]],_xlfn.ANCHORARRAY(Dashboard!$B$9),Dashboard!$D$9:$D$10,,0)</f>
        <v>1</v>
      </c>
      <c r="O43" t="b" cm="1">
        <f t="array" ref="O43">_xlfn.XLOOKUP(Sales_Data[[#This Row],[Sales Rep]],_xlfn.ANCHORARRAY(Dashboard!$B$13),Dashboard!$D$13:$D$17,,0)</f>
        <v>1</v>
      </c>
      <c r="P43" t="b" cm="1">
        <f t="array" ref="P43">_xlfn.XLOOKUP(Sales_Data[[#This Row],[Stage]],_xlfn.ANCHORARRAY(Dashboard!$B$20),Dashboard!$D$20:$D$25)</f>
        <v>1</v>
      </c>
      <c r="Q43" t="b" cm="1">
        <f t="array" ref="Q43">_xlfn.XLOOKUP(Sales_Data[[#This Row],[Lead Source]],_xlfn.ANCHORARRAY(Dashboard!$B$28),Dashboard!$D$28:$D$32)</f>
        <v>1</v>
      </c>
      <c r="R43">
        <f>Sales_Data[[#This Row],[Date inc]]*Sales_Data[[#This Row],[Team Inc]]*Sales_Data[[#This Row],[Rep Inc]]*Sales_Data[[#This Row],[Stage Inc]]*Sales_Data[[#This Row],[Source Inc]]</f>
        <v>1</v>
      </c>
    </row>
    <row r="44" spans="1:18" x14ac:dyDescent="0.3">
      <c r="A44" t="s">
        <v>51</v>
      </c>
      <c r="B44" s="2">
        <v>44957</v>
      </c>
      <c r="C44" t="s">
        <v>761</v>
      </c>
      <c r="D44" t="s">
        <v>765</v>
      </c>
      <c r="E44" t="s">
        <v>769</v>
      </c>
      <c r="F44" s="5">
        <v>38800</v>
      </c>
      <c r="G44" t="s">
        <v>781</v>
      </c>
      <c r="H44" s="2">
        <v>45046</v>
      </c>
      <c r="I44" t="s">
        <v>777</v>
      </c>
      <c r="J44" t="str">
        <f>IF(Sales_Data[[#This Row],[Close Date]] &lt;&gt; 0,"Closed", "Open")</f>
        <v>Closed</v>
      </c>
      <c r="K44">
        <f>IF(Sales_Data[[#This Row],[Open/Closed]] = "Closed",Sales_Data[[#This Row],[Close Date]]-Sales_Data[[#This Row],[Created Date]],"")</f>
        <v>89</v>
      </c>
      <c r="L44" s="2">
        <f>EOMONTH(Sales_Data[[#This Row],[Created Date]],0)</f>
        <v>44957</v>
      </c>
      <c r="M44" t="b">
        <f>AND(Sales_Data[[#This Row],[EoM Created]]&gt;=Index!$E$5,Sales_Data[[#This Row],[EoM Created]]&lt;=Index!$E$4)</f>
        <v>0</v>
      </c>
      <c r="N44" t="b" cm="1">
        <f t="array" ref="N44">_xlfn.XLOOKUP(Sales_Data[[#This Row],[Sales Team]],_xlfn.ANCHORARRAY(Dashboard!$B$9),Dashboard!$D$9:$D$10,,0)</f>
        <v>1</v>
      </c>
      <c r="O44" t="b" cm="1">
        <f t="array" ref="O44">_xlfn.XLOOKUP(Sales_Data[[#This Row],[Sales Rep]],_xlfn.ANCHORARRAY(Dashboard!$B$13),Dashboard!$D$13:$D$17,,0)</f>
        <v>1</v>
      </c>
      <c r="P44" t="b" cm="1">
        <f t="array" ref="P44">_xlfn.XLOOKUP(Sales_Data[[#This Row],[Stage]],_xlfn.ANCHORARRAY(Dashboard!$B$20),Dashboard!$D$20:$D$25)</f>
        <v>1</v>
      </c>
      <c r="Q44" t="b" cm="1">
        <f t="array" ref="Q44">_xlfn.XLOOKUP(Sales_Data[[#This Row],[Lead Source]],_xlfn.ANCHORARRAY(Dashboard!$B$28),Dashboard!$D$28:$D$32)</f>
        <v>1</v>
      </c>
      <c r="R44">
        <f>Sales_Data[[#This Row],[Date inc]]*Sales_Data[[#This Row],[Team Inc]]*Sales_Data[[#This Row],[Rep Inc]]*Sales_Data[[#This Row],[Stage Inc]]*Sales_Data[[#This Row],[Source Inc]]</f>
        <v>0</v>
      </c>
    </row>
    <row r="45" spans="1:18" x14ac:dyDescent="0.3">
      <c r="A45" t="s">
        <v>52</v>
      </c>
      <c r="B45" s="2">
        <v>45752</v>
      </c>
      <c r="C45" t="s">
        <v>763</v>
      </c>
      <c r="D45" t="s">
        <v>765</v>
      </c>
      <c r="E45" t="s">
        <v>770</v>
      </c>
      <c r="F45" s="5">
        <v>37000</v>
      </c>
      <c r="G45" t="s">
        <v>781</v>
      </c>
      <c r="H45" s="2">
        <v>45832</v>
      </c>
      <c r="I45" t="s">
        <v>777</v>
      </c>
      <c r="J45" t="str">
        <f>IF(Sales_Data[[#This Row],[Close Date]] &lt;&gt; 0,"Closed", "Open")</f>
        <v>Closed</v>
      </c>
      <c r="K45">
        <f>IF(Sales_Data[[#This Row],[Open/Closed]] = "Closed",Sales_Data[[#This Row],[Close Date]]-Sales_Data[[#This Row],[Created Date]],"")</f>
        <v>80</v>
      </c>
      <c r="L45" s="2">
        <f>EOMONTH(Sales_Data[[#This Row],[Created Date]],0)</f>
        <v>45777</v>
      </c>
      <c r="M45" t="b">
        <f>AND(Sales_Data[[#This Row],[EoM Created]]&gt;=Index!$E$5,Sales_Data[[#This Row],[EoM Created]]&lt;=Index!$E$4)</f>
        <v>1</v>
      </c>
      <c r="N45" t="b" cm="1">
        <f t="array" ref="N45">_xlfn.XLOOKUP(Sales_Data[[#This Row],[Sales Team]],_xlfn.ANCHORARRAY(Dashboard!$B$9),Dashboard!$D$9:$D$10,,0)</f>
        <v>1</v>
      </c>
      <c r="O45" t="b" cm="1">
        <f t="array" ref="O45">_xlfn.XLOOKUP(Sales_Data[[#This Row],[Sales Rep]],_xlfn.ANCHORARRAY(Dashboard!$B$13),Dashboard!$D$13:$D$17,,0)</f>
        <v>1</v>
      </c>
      <c r="P45" t="b" cm="1">
        <f t="array" ref="P45">_xlfn.XLOOKUP(Sales_Data[[#This Row],[Stage]],_xlfn.ANCHORARRAY(Dashboard!$B$20),Dashboard!$D$20:$D$25)</f>
        <v>1</v>
      </c>
      <c r="Q45" t="b" cm="1">
        <f t="array" ref="Q45">_xlfn.XLOOKUP(Sales_Data[[#This Row],[Lead Source]],_xlfn.ANCHORARRAY(Dashboard!$B$28),Dashboard!$D$28:$D$32)</f>
        <v>1</v>
      </c>
      <c r="R45">
        <f>Sales_Data[[#This Row],[Date inc]]*Sales_Data[[#This Row],[Team Inc]]*Sales_Data[[#This Row],[Rep Inc]]*Sales_Data[[#This Row],[Stage Inc]]*Sales_Data[[#This Row],[Source Inc]]</f>
        <v>1</v>
      </c>
    </row>
    <row r="46" spans="1:18" x14ac:dyDescent="0.3">
      <c r="A46" t="s">
        <v>53</v>
      </c>
      <c r="B46" s="2">
        <v>44944</v>
      </c>
      <c r="C46" t="s">
        <v>763</v>
      </c>
      <c r="D46" t="s">
        <v>765</v>
      </c>
      <c r="E46" t="s">
        <v>768</v>
      </c>
      <c r="F46" s="5">
        <v>25200</v>
      </c>
      <c r="G46" t="s">
        <v>780</v>
      </c>
      <c r="H46" s="2">
        <v>45032</v>
      </c>
      <c r="J46" t="str">
        <f>IF(Sales_Data[[#This Row],[Close Date]] &lt;&gt; 0,"Closed", "Open")</f>
        <v>Closed</v>
      </c>
      <c r="K46">
        <f>IF(Sales_Data[[#This Row],[Open/Closed]] = "Closed",Sales_Data[[#This Row],[Close Date]]-Sales_Data[[#This Row],[Created Date]],"")</f>
        <v>88</v>
      </c>
      <c r="L46" s="2">
        <f>EOMONTH(Sales_Data[[#This Row],[Created Date]],0)</f>
        <v>44957</v>
      </c>
      <c r="M46" t="b">
        <f>AND(Sales_Data[[#This Row],[EoM Created]]&gt;=Index!$E$5,Sales_Data[[#This Row],[EoM Created]]&lt;=Index!$E$4)</f>
        <v>0</v>
      </c>
      <c r="N46" t="b" cm="1">
        <f t="array" ref="N46">_xlfn.XLOOKUP(Sales_Data[[#This Row],[Sales Team]],_xlfn.ANCHORARRAY(Dashboard!$B$9),Dashboard!$D$9:$D$10,,0)</f>
        <v>1</v>
      </c>
      <c r="O46" t="b" cm="1">
        <f t="array" ref="O46">_xlfn.XLOOKUP(Sales_Data[[#This Row],[Sales Rep]],_xlfn.ANCHORARRAY(Dashboard!$B$13),Dashboard!$D$13:$D$17,,0)</f>
        <v>1</v>
      </c>
      <c r="P46" t="b" cm="1">
        <f t="array" ref="P46">_xlfn.XLOOKUP(Sales_Data[[#This Row],[Stage]],_xlfn.ANCHORARRAY(Dashboard!$B$20),Dashboard!$D$20:$D$25)</f>
        <v>1</v>
      </c>
      <c r="Q46" t="b" cm="1">
        <f t="array" ref="Q46">_xlfn.XLOOKUP(Sales_Data[[#This Row],[Lead Source]],_xlfn.ANCHORARRAY(Dashboard!$B$28),Dashboard!$D$28:$D$32)</f>
        <v>1</v>
      </c>
      <c r="R46">
        <f>Sales_Data[[#This Row],[Date inc]]*Sales_Data[[#This Row],[Team Inc]]*Sales_Data[[#This Row],[Rep Inc]]*Sales_Data[[#This Row],[Stage Inc]]*Sales_Data[[#This Row],[Source Inc]]</f>
        <v>0</v>
      </c>
    </row>
    <row r="47" spans="1:18" x14ac:dyDescent="0.3">
      <c r="A47" t="s">
        <v>54</v>
      </c>
      <c r="B47" s="2">
        <v>45049</v>
      </c>
      <c r="C47" t="s">
        <v>763</v>
      </c>
      <c r="D47" t="s">
        <v>765</v>
      </c>
      <c r="E47" t="s">
        <v>770</v>
      </c>
      <c r="F47" s="5">
        <v>32800</v>
      </c>
      <c r="G47" t="s">
        <v>781</v>
      </c>
      <c r="H47" s="2">
        <v>45137</v>
      </c>
      <c r="I47" t="s">
        <v>776</v>
      </c>
      <c r="J47" t="str">
        <f>IF(Sales_Data[[#This Row],[Close Date]] &lt;&gt; 0,"Closed", "Open")</f>
        <v>Closed</v>
      </c>
      <c r="K47">
        <f>IF(Sales_Data[[#This Row],[Open/Closed]] = "Closed",Sales_Data[[#This Row],[Close Date]]-Sales_Data[[#This Row],[Created Date]],"")</f>
        <v>88</v>
      </c>
      <c r="L47" s="2">
        <f>EOMONTH(Sales_Data[[#This Row],[Created Date]],0)</f>
        <v>45077</v>
      </c>
      <c r="M47" t="b">
        <f>AND(Sales_Data[[#This Row],[EoM Created]]&gt;=Index!$E$5,Sales_Data[[#This Row],[EoM Created]]&lt;=Index!$E$4)</f>
        <v>0</v>
      </c>
      <c r="N47" t="b" cm="1">
        <f t="array" ref="N47">_xlfn.XLOOKUP(Sales_Data[[#This Row],[Sales Team]],_xlfn.ANCHORARRAY(Dashboard!$B$9),Dashboard!$D$9:$D$10,,0)</f>
        <v>1</v>
      </c>
      <c r="O47" t="b" cm="1">
        <f t="array" ref="O47">_xlfn.XLOOKUP(Sales_Data[[#This Row],[Sales Rep]],_xlfn.ANCHORARRAY(Dashboard!$B$13),Dashboard!$D$13:$D$17,,0)</f>
        <v>1</v>
      </c>
      <c r="P47" t="b" cm="1">
        <f t="array" ref="P47">_xlfn.XLOOKUP(Sales_Data[[#This Row],[Stage]],_xlfn.ANCHORARRAY(Dashboard!$B$20),Dashboard!$D$20:$D$25)</f>
        <v>1</v>
      </c>
      <c r="Q47" t="b" cm="1">
        <f t="array" ref="Q47">_xlfn.XLOOKUP(Sales_Data[[#This Row],[Lead Source]],_xlfn.ANCHORARRAY(Dashboard!$B$28),Dashboard!$D$28:$D$32)</f>
        <v>1</v>
      </c>
      <c r="R47">
        <f>Sales_Data[[#This Row],[Date inc]]*Sales_Data[[#This Row],[Team Inc]]*Sales_Data[[#This Row],[Rep Inc]]*Sales_Data[[#This Row],[Stage Inc]]*Sales_Data[[#This Row],[Source Inc]]</f>
        <v>0</v>
      </c>
    </row>
    <row r="48" spans="1:18" x14ac:dyDescent="0.3">
      <c r="A48" t="s">
        <v>55</v>
      </c>
      <c r="B48" s="2">
        <v>45260</v>
      </c>
      <c r="C48" t="s">
        <v>761</v>
      </c>
      <c r="D48" t="s">
        <v>765</v>
      </c>
      <c r="E48" t="s">
        <v>768</v>
      </c>
      <c r="F48" s="5">
        <v>35400</v>
      </c>
      <c r="G48" t="s">
        <v>781</v>
      </c>
      <c r="H48" s="2">
        <v>45322</v>
      </c>
      <c r="I48" t="s">
        <v>775</v>
      </c>
      <c r="J48" t="str">
        <f>IF(Sales_Data[[#This Row],[Close Date]] &lt;&gt; 0,"Closed", "Open")</f>
        <v>Closed</v>
      </c>
      <c r="K48">
        <f>IF(Sales_Data[[#This Row],[Open/Closed]] = "Closed",Sales_Data[[#This Row],[Close Date]]-Sales_Data[[#This Row],[Created Date]],"")</f>
        <v>62</v>
      </c>
      <c r="L48" s="2">
        <f>EOMONTH(Sales_Data[[#This Row],[Created Date]],0)</f>
        <v>45260</v>
      </c>
      <c r="M48" t="b">
        <f>AND(Sales_Data[[#This Row],[EoM Created]]&gt;=Index!$E$5,Sales_Data[[#This Row],[EoM Created]]&lt;=Index!$E$4)</f>
        <v>1</v>
      </c>
      <c r="N48" t="b" cm="1">
        <f t="array" ref="N48">_xlfn.XLOOKUP(Sales_Data[[#This Row],[Sales Team]],_xlfn.ANCHORARRAY(Dashboard!$B$9),Dashboard!$D$9:$D$10,,0)</f>
        <v>1</v>
      </c>
      <c r="O48" t="b" cm="1">
        <f t="array" ref="O48">_xlfn.XLOOKUP(Sales_Data[[#This Row],[Sales Rep]],_xlfn.ANCHORARRAY(Dashboard!$B$13),Dashboard!$D$13:$D$17,,0)</f>
        <v>1</v>
      </c>
      <c r="P48" t="b" cm="1">
        <f t="array" ref="P48">_xlfn.XLOOKUP(Sales_Data[[#This Row],[Stage]],_xlfn.ANCHORARRAY(Dashboard!$B$20),Dashboard!$D$20:$D$25)</f>
        <v>1</v>
      </c>
      <c r="Q48" t="b" cm="1">
        <f t="array" ref="Q48">_xlfn.XLOOKUP(Sales_Data[[#This Row],[Lead Source]],_xlfn.ANCHORARRAY(Dashboard!$B$28),Dashboard!$D$28:$D$32)</f>
        <v>1</v>
      </c>
      <c r="R48">
        <f>Sales_Data[[#This Row],[Date inc]]*Sales_Data[[#This Row],[Team Inc]]*Sales_Data[[#This Row],[Rep Inc]]*Sales_Data[[#This Row],[Stage Inc]]*Sales_Data[[#This Row],[Source Inc]]</f>
        <v>1</v>
      </c>
    </row>
    <row r="49" spans="1:18" x14ac:dyDescent="0.3">
      <c r="A49" t="s">
        <v>56</v>
      </c>
      <c r="B49" s="2">
        <v>45484</v>
      </c>
      <c r="C49" t="s">
        <v>763</v>
      </c>
      <c r="D49" t="s">
        <v>765</v>
      </c>
      <c r="E49" t="s">
        <v>768</v>
      </c>
      <c r="F49" s="5">
        <v>50600</v>
      </c>
      <c r="G49" t="s">
        <v>780</v>
      </c>
      <c r="H49" s="2">
        <v>45550</v>
      </c>
      <c r="J49" t="str">
        <f>IF(Sales_Data[[#This Row],[Close Date]] &lt;&gt; 0,"Closed", "Open")</f>
        <v>Closed</v>
      </c>
      <c r="K49">
        <f>IF(Sales_Data[[#This Row],[Open/Closed]] = "Closed",Sales_Data[[#This Row],[Close Date]]-Sales_Data[[#This Row],[Created Date]],"")</f>
        <v>66</v>
      </c>
      <c r="L49" s="2">
        <f>EOMONTH(Sales_Data[[#This Row],[Created Date]],0)</f>
        <v>45504</v>
      </c>
      <c r="M49" t="b">
        <f>AND(Sales_Data[[#This Row],[EoM Created]]&gt;=Index!$E$5,Sales_Data[[#This Row],[EoM Created]]&lt;=Index!$E$4)</f>
        <v>1</v>
      </c>
      <c r="N49" t="b" cm="1">
        <f t="array" ref="N49">_xlfn.XLOOKUP(Sales_Data[[#This Row],[Sales Team]],_xlfn.ANCHORARRAY(Dashboard!$B$9),Dashboard!$D$9:$D$10,,0)</f>
        <v>1</v>
      </c>
      <c r="O49" t="b" cm="1">
        <f t="array" ref="O49">_xlfn.XLOOKUP(Sales_Data[[#This Row],[Sales Rep]],_xlfn.ANCHORARRAY(Dashboard!$B$13),Dashboard!$D$13:$D$17,,0)</f>
        <v>1</v>
      </c>
      <c r="P49" t="b" cm="1">
        <f t="array" ref="P49">_xlfn.XLOOKUP(Sales_Data[[#This Row],[Stage]],_xlfn.ANCHORARRAY(Dashboard!$B$20),Dashboard!$D$20:$D$25)</f>
        <v>1</v>
      </c>
      <c r="Q49" t="b" cm="1">
        <f t="array" ref="Q49">_xlfn.XLOOKUP(Sales_Data[[#This Row],[Lead Source]],_xlfn.ANCHORARRAY(Dashboard!$B$28),Dashboard!$D$28:$D$32)</f>
        <v>1</v>
      </c>
      <c r="R49">
        <f>Sales_Data[[#This Row],[Date inc]]*Sales_Data[[#This Row],[Team Inc]]*Sales_Data[[#This Row],[Rep Inc]]*Sales_Data[[#This Row],[Stage Inc]]*Sales_Data[[#This Row],[Source Inc]]</f>
        <v>1</v>
      </c>
    </row>
    <row r="50" spans="1:18" x14ac:dyDescent="0.3">
      <c r="A50" t="s">
        <v>57</v>
      </c>
      <c r="B50" s="2">
        <v>45618</v>
      </c>
      <c r="C50" t="s">
        <v>760</v>
      </c>
      <c r="D50" t="s">
        <v>764</v>
      </c>
      <c r="E50" t="s">
        <v>767</v>
      </c>
      <c r="F50" s="5">
        <v>43400</v>
      </c>
      <c r="G50" t="s">
        <v>781</v>
      </c>
      <c r="H50" s="2">
        <v>45680</v>
      </c>
      <c r="I50" t="s">
        <v>776</v>
      </c>
      <c r="J50" t="str">
        <f>IF(Sales_Data[[#This Row],[Close Date]] &lt;&gt; 0,"Closed", "Open")</f>
        <v>Closed</v>
      </c>
      <c r="K50">
        <f>IF(Sales_Data[[#This Row],[Open/Closed]] = "Closed",Sales_Data[[#This Row],[Close Date]]-Sales_Data[[#This Row],[Created Date]],"")</f>
        <v>62</v>
      </c>
      <c r="L50" s="2">
        <f>EOMONTH(Sales_Data[[#This Row],[Created Date]],0)</f>
        <v>45626</v>
      </c>
      <c r="M50" t="b">
        <f>AND(Sales_Data[[#This Row],[EoM Created]]&gt;=Index!$E$5,Sales_Data[[#This Row],[EoM Created]]&lt;=Index!$E$4)</f>
        <v>1</v>
      </c>
      <c r="N50" t="b" cm="1">
        <f t="array" ref="N50">_xlfn.XLOOKUP(Sales_Data[[#This Row],[Sales Team]],_xlfn.ANCHORARRAY(Dashboard!$B$9),Dashboard!$D$9:$D$10,,0)</f>
        <v>1</v>
      </c>
      <c r="O50" t="b" cm="1">
        <f t="array" ref="O50">_xlfn.XLOOKUP(Sales_Data[[#This Row],[Sales Rep]],_xlfn.ANCHORARRAY(Dashboard!$B$13),Dashboard!$D$13:$D$17,,0)</f>
        <v>1</v>
      </c>
      <c r="P50" t="b" cm="1">
        <f t="array" ref="P50">_xlfn.XLOOKUP(Sales_Data[[#This Row],[Stage]],_xlfn.ANCHORARRAY(Dashboard!$B$20),Dashboard!$D$20:$D$25)</f>
        <v>1</v>
      </c>
      <c r="Q50" t="b" cm="1">
        <f t="array" ref="Q50">_xlfn.XLOOKUP(Sales_Data[[#This Row],[Lead Source]],_xlfn.ANCHORARRAY(Dashboard!$B$28),Dashboard!$D$28:$D$32)</f>
        <v>1</v>
      </c>
      <c r="R50">
        <f>Sales_Data[[#This Row],[Date inc]]*Sales_Data[[#This Row],[Team Inc]]*Sales_Data[[#This Row],[Rep Inc]]*Sales_Data[[#This Row],[Stage Inc]]*Sales_Data[[#This Row],[Source Inc]]</f>
        <v>1</v>
      </c>
    </row>
    <row r="51" spans="1:18" x14ac:dyDescent="0.3">
      <c r="A51" t="s">
        <v>58</v>
      </c>
      <c r="B51" s="2">
        <v>45027</v>
      </c>
      <c r="C51" t="s">
        <v>760</v>
      </c>
      <c r="D51" t="s">
        <v>764</v>
      </c>
      <c r="E51" t="s">
        <v>766</v>
      </c>
      <c r="F51" s="5">
        <v>22400</v>
      </c>
      <c r="G51" t="s">
        <v>781</v>
      </c>
      <c r="H51" s="2">
        <v>45103</v>
      </c>
      <c r="I51" t="s">
        <v>777</v>
      </c>
      <c r="J51" t="str">
        <f>IF(Sales_Data[[#This Row],[Close Date]] &lt;&gt; 0,"Closed", "Open")</f>
        <v>Closed</v>
      </c>
      <c r="K51">
        <f>IF(Sales_Data[[#This Row],[Open/Closed]] = "Closed",Sales_Data[[#This Row],[Close Date]]-Sales_Data[[#This Row],[Created Date]],"")</f>
        <v>76</v>
      </c>
      <c r="L51" s="2">
        <f>EOMONTH(Sales_Data[[#This Row],[Created Date]],0)</f>
        <v>45046</v>
      </c>
      <c r="M51" t="b">
        <f>AND(Sales_Data[[#This Row],[EoM Created]]&gt;=Index!$E$5,Sales_Data[[#This Row],[EoM Created]]&lt;=Index!$E$4)</f>
        <v>0</v>
      </c>
      <c r="N51" t="b" cm="1">
        <f t="array" ref="N51">_xlfn.XLOOKUP(Sales_Data[[#This Row],[Sales Team]],_xlfn.ANCHORARRAY(Dashboard!$B$9),Dashboard!$D$9:$D$10,,0)</f>
        <v>1</v>
      </c>
      <c r="O51" t="b" cm="1">
        <f t="array" ref="O51">_xlfn.XLOOKUP(Sales_Data[[#This Row],[Sales Rep]],_xlfn.ANCHORARRAY(Dashboard!$B$13),Dashboard!$D$13:$D$17,,0)</f>
        <v>1</v>
      </c>
      <c r="P51" t="b" cm="1">
        <f t="array" ref="P51">_xlfn.XLOOKUP(Sales_Data[[#This Row],[Stage]],_xlfn.ANCHORARRAY(Dashboard!$B$20),Dashboard!$D$20:$D$25)</f>
        <v>1</v>
      </c>
      <c r="Q51" t="b" cm="1">
        <f t="array" ref="Q51">_xlfn.XLOOKUP(Sales_Data[[#This Row],[Lead Source]],_xlfn.ANCHORARRAY(Dashboard!$B$28),Dashboard!$D$28:$D$32)</f>
        <v>1</v>
      </c>
      <c r="R51">
        <f>Sales_Data[[#This Row],[Date inc]]*Sales_Data[[#This Row],[Team Inc]]*Sales_Data[[#This Row],[Rep Inc]]*Sales_Data[[#This Row],[Stage Inc]]*Sales_Data[[#This Row],[Source Inc]]</f>
        <v>0</v>
      </c>
    </row>
    <row r="52" spans="1:18" x14ac:dyDescent="0.3">
      <c r="A52" t="s">
        <v>59</v>
      </c>
      <c r="B52" s="2">
        <v>44968</v>
      </c>
      <c r="C52" t="s">
        <v>760</v>
      </c>
      <c r="D52" t="s">
        <v>764</v>
      </c>
      <c r="E52" t="s">
        <v>766</v>
      </c>
      <c r="F52" s="5">
        <v>43200</v>
      </c>
      <c r="G52" t="s">
        <v>780</v>
      </c>
      <c r="H52" s="2">
        <v>45032</v>
      </c>
      <c r="J52" t="str">
        <f>IF(Sales_Data[[#This Row],[Close Date]] &lt;&gt; 0,"Closed", "Open")</f>
        <v>Closed</v>
      </c>
      <c r="K52">
        <f>IF(Sales_Data[[#This Row],[Open/Closed]] = "Closed",Sales_Data[[#This Row],[Close Date]]-Sales_Data[[#This Row],[Created Date]],"")</f>
        <v>64</v>
      </c>
      <c r="L52" s="2">
        <f>EOMONTH(Sales_Data[[#This Row],[Created Date]],0)</f>
        <v>44985</v>
      </c>
      <c r="M52" t="b">
        <f>AND(Sales_Data[[#This Row],[EoM Created]]&gt;=Index!$E$5,Sales_Data[[#This Row],[EoM Created]]&lt;=Index!$E$4)</f>
        <v>0</v>
      </c>
      <c r="N52" t="b" cm="1">
        <f t="array" ref="N52">_xlfn.XLOOKUP(Sales_Data[[#This Row],[Sales Team]],_xlfn.ANCHORARRAY(Dashboard!$B$9),Dashboard!$D$9:$D$10,,0)</f>
        <v>1</v>
      </c>
      <c r="O52" t="b" cm="1">
        <f t="array" ref="O52">_xlfn.XLOOKUP(Sales_Data[[#This Row],[Sales Rep]],_xlfn.ANCHORARRAY(Dashboard!$B$13),Dashboard!$D$13:$D$17,,0)</f>
        <v>1</v>
      </c>
      <c r="P52" t="b" cm="1">
        <f t="array" ref="P52">_xlfn.XLOOKUP(Sales_Data[[#This Row],[Stage]],_xlfn.ANCHORARRAY(Dashboard!$B$20),Dashboard!$D$20:$D$25)</f>
        <v>1</v>
      </c>
      <c r="Q52" t="b" cm="1">
        <f t="array" ref="Q52">_xlfn.XLOOKUP(Sales_Data[[#This Row],[Lead Source]],_xlfn.ANCHORARRAY(Dashboard!$B$28),Dashboard!$D$28:$D$32)</f>
        <v>1</v>
      </c>
      <c r="R52">
        <f>Sales_Data[[#This Row],[Date inc]]*Sales_Data[[#This Row],[Team Inc]]*Sales_Data[[#This Row],[Rep Inc]]*Sales_Data[[#This Row],[Stage Inc]]*Sales_Data[[#This Row],[Source Inc]]</f>
        <v>0</v>
      </c>
    </row>
    <row r="53" spans="1:18" x14ac:dyDescent="0.3">
      <c r="A53" t="s">
        <v>60</v>
      </c>
      <c r="B53" s="2">
        <v>45568</v>
      </c>
      <c r="C53" t="s">
        <v>759</v>
      </c>
      <c r="D53" t="s">
        <v>764</v>
      </c>
      <c r="E53" t="s">
        <v>767</v>
      </c>
      <c r="F53" s="5">
        <v>36100</v>
      </c>
      <c r="G53" t="s">
        <v>781</v>
      </c>
      <c r="H53" s="2">
        <v>45637</v>
      </c>
      <c r="I53" t="s">
        <v>776</v>
      </c>
      <c r="J53" t="str">
        <f>IF(Sales_Data[[#This Row],[Close Date]] &lt;&gt; 0,"Closed", "Open")</f>
        <v>Closed</v>
      </c>
      <c r="K53">
        <f>IF(Sales_Data[[#This Row],[Open/Closed]] = "Closed",Sales_Data[[#This Row],[Close Date]]-Sales_Data[[#This Row],[Created Date]],"")</f>
        <v>69</v>
      </c>
      <c r="L53" s="2">
        <f>EOMONTH(Sales_Data[[#This Row],[Created Date]],0)</f>
        <v>45596</v>
      </c>
      <c r="M53" t="b">
        <f>AND(Sales_Data[[#This Row],[EoM Created]]&gt;=Index!$E$5,Sales_Data[[#This Row],[EoM Created]]&lt;=Index!$E$4)</f>
        <v>1</v>
      </c>
      <c r="N53" t="b" cm="1">
        <f t="array" ref="N53">_xlfn.XLOOKUP(Sales_Data[[#This Row],[Sales Team]],_xlfn.ANCHORARRAY(Dashboard!$B$9),Dashboard!$D$9:$D$10,,0)</f>
        <v>1</v>
      </c>
      <c r="O53" t="b" cm="1">
        <f t="array" ref="O53">_xlfn.XLOOKUP(Sales_Data[[#This Row],[Sales Rep]],_xlfn.ANCHORARRAY(Dashboard!$B$13),Dashboard!$D$13:$D$17,,0)</f>
        <v>1</v>
      </c>
      <c r="P53" t="b" cm="1">
        <f t="array" ref="P53">_xlfn.XLOOKUP(Sales_Data[[#This Row],[Stage]],_xlfn.ANCHORARRAY(Dashboard!$B$20),Dashboard!$D$20:$D$25)</f>
        <v>1</v>
      </c>
      <c r="Q53" t="b" cm="1">
        <f t="array" ref="Q53">_xlfn.XLOOKUP(Sales_Data[[#This Row],[Lead Source]],_xlfn.ANCHORARRAY(Dashboard!$B$28),Dashboard!$D$28:$D$32)</f>
        <v>1</v>
      </c>
      <c r="R53">
        <f>Sales_Data[[#This Row],[Date inc]]*Sales_Data[[#This Row],[Team Inc]]*Sales_Data[[#This Row],[Rep Inc]]*Sales_Data[[#This Row],[Stage Inc]]*Sales_Data[[#This Row],[Source Inc]]</f>
        <v>1</v>
      </c>
    </row>
    <row r="54" spans="1:18" x14ac:dyDescent="0.3">
      <c r="A54" t="s">
        <v>61</v>
      </c>
      <c r="B54" s="2">
        <v>45457</v>
      </c>
      <c r="C54" t="s">
        <v>761</v>
      </c>
      <c r="D54" t="s">
        <v>765</v>
      </c>
      <c r="E54" t="s">
        <v>769</v>
      </c>
      <c r="F54" s="5">
        <v>33200</v>
      </c>
      <c r="G54" t="s">
        <v>781</v>
      </c>
      <c r="H54" s="2">
        <v>45518</v>
      </c>
      <c r="I54" t="s">
        <v>777</v>
      </c>
      <c r="J54" t="str">
        <f>IF(Sales_Data[[#This Row],[Close Date]] &lt;&gt; 0,"Closed", "Open")</f>
        <v>Closed</v>
      </c>
      <c r="K54">
        <f>IF(Sales_Data[[#This Row],[Open/Closed]] = "Closed",Sales_Data[[#This Row],[Close Date]]-Sales_Data[[#This Row],[Created Date]],"")</f>
        <v>61</v>
      </c>
      <c r="L54" s="2">
        <f>EOMONTH(Sales_Data[[#This Row],[Created Date]],0)</f>
        <v>45473</v>
      </c>
      <c r="M54" t="b">
        <f>AND(Sales_Data[[#This Row],[EoM Created]]&gt;=Index!$E$5,Sales_Data[[#This Row],[EoM Created]]&lt;=Index!$E$4)</f>
        <v>1</v>
      </c>
      <c r="N54" t="b" cm="1">
        <f t="array" ref="N54">_xlfn.XLOOKUP(Sales_Data[[#This Row],[Sales Team]],_xlfn.ANCHORARRAY(Dashboard!$B$9),Dashboard!$D$9:$D$10,,0)</f>
        <v>1</v>
      </c>
      <c r="O54" t="b" cm="1">
        <f t="array" ref="O54">_xlfn.XLOOKUP(Sales_Data[[#This Row],[Sales Rep]],_xlfn.ANCHORARRAY(Dashboard!$B$13),Dashboard!$D$13:$D$17,,0)</f>
        <v>1</v>
      </c>
      <c r="P54" t="b" cm="1">
        <f t="array" ref="P54">_xlfn.XLOOKUP(Sales_Data[[#This Row],[Stage]],_xlfn.ANCHORARRAY(Dashboard!$B$20),Dashboard!$D$20:$D$25)</f>
        <v>1</v>
      </c>
      <c r="Q54" t="b" cm="1">
        <f t="array" ref="Q54">_xlfn.XLOOKUP(Sales_Data[[#This Row],[Lead Source]],_xlfn.ANCHORARRAY(Dashboard!$B$28),Dashboard!$D$28:$D$32)</f>
        <v>1</v>
      </c>
      <c r="R54">
        <f>Sales_Data[[#This Row],[Date inc]]*Sales_Data[[#This Row],[Team Inc]]*Sales_Data[[#This Row],[Rep Inc]]*Sales_Data[[#This Row],[Stage Inc]]*Sales_Data[[#This Row],[Source Inc]]</f>
        <v>1</v>
      </c>
    </row>
    <row r="55" spans="1:18" x14ac:dyDescent="0.3">
      <c r="A55" t="s">
        <v>62</v>
      </c>
      <c r="B55" s="2">
        <v>45217</v>
      </c>
      <c r="C55" t="s">
        <v>763</v>
      </c>
      <c r="D55" t="s">
        <v>765</v>
      </c>
      <c r="E55" t="s">
        <v>768</v>
      </c>
      <c r="F55" s="5">
        <v>46100</v>
      </c>
      <c r="G55" t="s">
        <v>780</v>
      </c>
      <c r="H55" s="2">
        <v>45296</v>
      </c>
      <c r="J55" t="str">
        <f>IF(Sales_Data[[#This Row],[Close Date]] &lt;&gt; 0,"Closed", "Open")</f>
        <v>Closed</v>
      </c>
      <c r="K55">
        <f>IF(Sales_Data[[#This Row],[Open/Closed]] = "Closed",Sales_Data[[#This Row],[Close Date]]-Sales_Data[[#This Row],[Created Date]],"")</f>
        <v>79</v>
      </c>
      <c r="L55" s="2">
        <f>EOMONTH(Sales_Data[[#This Row],[Created Date]],0)</f>
        <v>45230</v>
      </c>
      <c r="M55" t="b">
        <f>AND(Sales_Data[[#This Row],[EoM Created]]&gt;=Index!$E$5,Sales_Data[[#This Row],[EoM Created]]&lt;=Index!$E$4)</f>
        <v>1</v>
      </c>
      <c r="N55" t="b" cm="1">
        <f t="array" ref="N55">_xlfn.XLOOKUP(Sales_Data[[#This Row],[Sales Team]],_xlfn.ANCHORARRAY(Dashboard!$B$9),Dashboard!$D$9:$D$10,,0)</f>
        <v>1</v>
      </c>
      <c r="O55" t="b" cm="1">
        <f t="array" ref="O55">_xlfn.XLOOKUP(Sales_Data[[#This Row],[Sales Rep]],_xlfn.ANCHORARRAY(Dashboard!$B$13),Dashboard!$D$13:$D$17,,0)</f>
        <v>1</v>
      </c>
      <c r="P55" t="b" cm="1">
        <f t="array" ref="P55">_xlfn.XLOOKUP(Sales_Data[[#This Row],[Stage]],_xlfn.ANCHORARRAY(Dashboard!$B$20),Dashboard!$D$20:$D$25)</f>
        <v>1</v>
      </c>
      <c r="Q55" t="b" cm="1">
        <f t="array" ref="Q55">_xlfn.XLOOKUP(Sales_Data[[#This Row],[Lead Source]],_xlfn.ANCHORARRAY(Dashboard!$B$28),Dashboard!$D$28:$D$32)</f>
        <v>1</v>
      </c>
      <c r="R55">
        <f>Sales_Data[[#This Row],[Date inc]]*Sales_Data[[#This Row],[Team Inc]]*Sales_Data[[#This Row],[Rep Inc]]*Sales_Data[[#This Row],[Stage Inc]]*Sales_Data[[#This Row],[Source Inc]]</f>
        <v>1</v>
      </c>
    </row>
    <row r="56" spans="1:18" x14ac:dyDescent="0.3">
      <c r="A56" t="s">
        <v>63</v>
      </c>
      <c r="B56" s="2">
        <v>44990</v>
      </c>
      <c r="C56" t="s">
        <v>759</v>
      </c>
      <c r="D56" t="s">
        <v>764</v>
      </c>
      <c r="E56" t="s">
        <v>767</v>
      </c>
      <c r="F56" s="5">
        <v>50300</v>
      </c>
      <c r="G56" t="s">
        <v>781</v>
      </c>
      <c r="H56" s="2">
        <v>45052</v>
      </c>
      <c r="I56" t="s">
        <v>779</v>
      </c>
      <c r="J56" t="str">
        <f>IF(Sales_Data[[#This Row],[Close Date]] &lt;&gt; 0,"Closed", "Open")</f>
        <v>Closed</v>
      </c>
      <c r="K56">
        <f>IF(Sales_Data[[#This Row],[Open/Closed]] = "Closed",Sales_Data[[#This Row],[Close Date]]-Sales_Data[[#This Row],[Created Date]],"")</f>
        <v>62</v>
      </c>
      <c r="L56" s="2">
        <f>EOMONTH(Sales_Data[[#This Row],[Created Date]],0)</f>
        <v>45016</v>
      </c>
      <c r="M56" t="b">
        <f>AND(Sales_Data[[#This Row],[EoM Created]]&gt;=Index!$E$5,Sales_Data[[#This Row],[EoM Created]]&lt;=Index!$E$4)</f>
        <v>0</v>
      </c>
      <c r="N56" t="b" cm="1">
        <f t="array" ref="N56">_xlfn.XLOOKUP(Sales_Data[[#This Row],[Sales Team]],_xlfn.ANCHORARRAY(Dashboard!$B$9),Dashboard!$D$9:$D$10,,0)</f>
        <v>1</v>
      </c>
      <c r="O56" t="b" cm="1">
        <f t="array" ref="O56">_xlfn.XLOOKUP(Sales_Data[[#This Row],[Sales Rep]],_xlfn.ANCHORARRAY(Dashboard!$B$13),Dashboard!$D$13:$D$17,,0)</f>
        <v>1</v>
      </c>
      <c r="P56" t="b" cm="1">
        <f t="array" ref="P56">_xlfn.XLOOKUP(Sales_Data[[#This Row],[Stage]],_xlfn.ANCHORARRAY(Dashboard!$B$20),Dashboard!$D$20:$D$25)</f>
        <v>1</v>
      </c>
      <c r="Q56" t="b" cm="1">
        <f t="array" ref="Q56">_xlfn.XLOOKUP(Sales_Data[[#This Row],[Lead Source]],_xlfn.ANCHORARRAY(Dashboard!$B$28),Dashboard!$D$28:$D$32)</f>
        <v>1</v>
      </c>
      <c r="R56">
        <f>Sales_Data[[#This Row],[Date inc]]*Sales_Data[[#This Row],[Team Inc]]*Sales_Data[[#This Row],[Rep Inc]]*Sales_Data[[#This Row],[Stage Inc]]*Sales_Data[[#This Row],[Source Inc]]</f>
        <v>0</v>
      </c>
    </row>
    <row r="57" spans="1:18" x14ac:dyDescent="0.3">
      <c r="A57" t="s">
        <v>64</v>
      </c>
      <c r="B57" s="2">
        <v>45257</v>
      </c>
      <c r="C57" t="s">
        <v>759</v>
      </c>
      <c r="D57" t="s">
        <v>764</v>
      </c>
      <c r="E57" t="s">
        <v>767</v>
      </c>
      <c r="F57" s="5">
        <v>49300</v>
      </c>
      <c r="G57" t="s">
        <v>780</v>
      </c>
      <c r="H57" s="2">
        <v>45317</v>
      </c>
      <c r="J57" t="str">
        <f>IF(Sales_Data[[#This Row],[Close Date]] &lt;&gt; 0,"Closed", "Open")</f>
        <v>Closed</v>
      </c>
      <c r="K57">
        <f>IF(Sales_Data[[#This Row],[Open/Closed]] = "Closed",Sales_Data[[#This Row],[Close Date]]-Sales_Data[[#This Row],[Created Date]],"")</f>
        <v>60</v>
      </c>
      <c r="L57" s="2">
        <f>EOMONTH(Sales_Data[[#This Row],[Created Date]],0)</f>
        <v>45260</v>
      </c>
      <c r="M57" t="b">
        <f>AND(Sales_Data[[#This Row],[EoM Created]]&gt;=Index!$E$5,Sales_Data[[#This Row],[EoM Created]]&lt;=Index!$E$4)</f>
        <v>1</v>
      </c>
      <c r="N57" t="b" cm="1">
        <f t="array" ref="N57">_xlfn.XLOOKUP(Sales_Data[[#This Row],[Sales Team]],_xlfn.ANCHORARRAY(Dashboard!$B$9),Dashboard!$D$9:$D$10,,0)</f>
        <v>1</v>
      </c>
      <c r="O57" t="b" cm="1">
        <f t="array" ref="O57">_xlfn.XLOOKUP(Sales_Data[[#This Row],[Sales Rep]],_xlfn.ANCHORARRAY(Dashboard!$B$13),Dashboard!$D$13:$D$17,,0)</f>
        <v>1</v>
      </c>
      <c r="P57" t="b" cm="1">
        <f t="array" ref="P57">_xlfn.XLOOKUP(Sales_Data[[#This Row],[Stage]],_xlfn.ANCHORARRAY(Dashboard!$B$20),Dashboard!$D$20:$D$25)</f>
        <v>1</v>
      </c>
      <c r="Q57" t="b" cm="1">
        <f t="array" ref="Q57">_xlfn.XLOOKUP(Sales_Data[[#This Row],[Lead Source]],_xlfn.ANCHORARRAY(Dashboard!$B$28),Dashboard!$D$28:$D$32)</f>
        <v>1</v>
      </c>
      <c r="R57">
        <f>Sales_Data[[#This Row],[Date inc]]*Sales_Data[[#This Row],[Team Inc]]*Sales_Data[[#This Row],[Rep Inc]]*Sales_Data[[#This Row],[Stage Inc]]*Sales_Data[[#This Row],[Source Inc]]</f>
        <v>1</v>
      </c>
    </row>
    <row r="58" spans="1:18" x14ac:dyDescent="0.3">
      <c r="A58" t="s">
        <v>65</v>
      </c>
      <c r="B58" s="2">
        <v>45418</v>
      </c>
      <c r="C58" t="s">
        <v>760</v>
      </c>
      <c r="D58" t="s">
        <v>764</v>
      </c>
      <c r="E58" t="s">
        <v>766</v>
      </c>
      <c r="F58" s="5">
        <v>31600</v>
      </c>
      <c r="G58" t="s">
        <v>781</v>
      </c>
      <c r="H58" s="2">
        <v>45507</v>
      </c>
      <c r="I58" t="s">
        <v>776</v>
      </c>
      <c r="J58" t="str">
        <f>IF(Sales_Data[[#This Row],[Close Date]] &lt;&gt; 0,"Closed", "Open")</f>
        <v>Closed</v>
      </c>
      <c r="K58">
        <f>IF(Sales_Data[[#This Row],[Open/Closed]] = "Closed",Sales_Data[[#This Row],[Close Date]]-Sales_Data[[#This Row],[Created Date]],"")</f>
        <v>89</v>
      </c>
      <c r="L58" s="2">
        <f>EOMONTH(Sales_Data[[#This Row],[Created Date]],0)</f>
        <v>45443</v>
      </c>
      <c r="M58" t="b">
        <f>AND(Sales_Data[[#This Row],[EoM Created]]&gt;=Index!$E$5,Sales_Data[[#This Row],[EoM Created]]&lt;=Index!$E$4)</f>
        <v>1</v>
      </c>
      <c r="N58" t="b" cm="1">
        <f t="array" ref="N58">_xlfn.XLOOKUP(Sales_Data[[#This Row],[Sales Team]],_xlfn.ANCHORARRAY(Dashboard!$B$9),Dashboard!$D$9:$D$10,,0)</f>
        <v>1</v>
      </c>
      <c r="O58" t="b" cm="1">
        <f t="array" ref="O58">_xlfn.XLOOKUP(Sales_Data[[#This Row],[Sales Rep]],_xlfn.ANCHORARRAY(Dashboard!$B$13),Dashboard!$D$13:$D$17,,0)</f>
        <v>1</v>
      </c>
      <c r="P58" t="b" cm="1">
        <f t="array" ref="P58">_xlfn.XLOOKUP(Sales_Data[[#This Row],[Stage]],_xlfn.ANCHORARRAY(Dashboard!$B$20),Dashboard!$D$20:$D$25)</f>
        <v>1</v>
      </c>
      <c r="Q58" t="b" cm="1">
        <f t="array" ref="Q58">_xlfn.XLOOKUP(Sales_Data[[#This Row],[Lead Source]],_xlfn.ANCHORARRAY(Dashboard!$B$28),Dashboard!$D$28:$D$32)</f>
        <v>1</v>
      </c>
      <c r="R58">
        <f>Sales_Data[[#This Row],[Date inc]]*Sales_Data[[#This Row],[Team Inc]]*Sales_Data[[#This Row],[Rep Inc]]*Sales_Data[[#This Row],[Stage Inc]]*Sales_Data[[#This Row],[Source Inc]]</f>
        <v>1</v>
      </c>
    </row>
    <row r="59" spans="1:18" x14ac:dyDescent="0.3">
      <c r="A59" t="s">
        <v>66</v>
      </c>
      <c r="B59" s="2">
        <v>45161</v>
      </c>
      <c r="C59" t="s">
        <v>761</v>
      </c>
      <c r="D59" t="s">
        <v>765</v>
      </c>
      <c r="E59" t="s">
        <v>768</v>
      </c>
      <c r="F59" s="5">
        <v>36900</v>
      </c>
      <c r="G59" t="s">
        <v>781</v>
      </c>
      <c r="H59" s="2">
        <v>45231</v>
      </c>
      <c r="I59" t="s">
        <v>777</v>
      </c>
      <c r="J59" t="str">
        <f>IF(Sales_Data[[#This Row],[Close Date]] &lt;&gt; 0,"Closed", "Open")</f>
        <v>Closed</v>
      </c>
      <c r="K59">
        <f>IF(Sales_Data[[#This Row],[Open/Closed]] = "Closed",Sales_Data[[#This Row],[Close Date]]-Sales_Data[[#This Row],[Created Date]],"")</f>
        <v>70</v>
      </c>
      <c r="L59" s="2">
        <f>EOMONTH(Sales_Data[[#This Row],[Created Date]],0)</f>
        <v>45169</v>
      </c>
      <c r="M59" t="b">
        <f>AND(Sales_Data[[#This Row],[EoM Created]]&gt;=Index!$E$5,Sales_Data[[#This Row],[EoM Created]]&lt;=Index!$E$4)</f>
        <v>1</v>
      </c>
      <c r="N59" t="b" cm="1">
        <f t="array" ref="N59">_xlfn.XLOOKUP(Sales_Data[[#This Row],[Sales Team]],_xlfn.ANCHORARRAY(Dashboard!$B$9),Dashboard!$D$9:$D$10,,0)</f>
        <v>1</v>
      </c>
      <c r="O59" t="b" cm="1">
        <f t="array" ref="O59">_xlfn.XLOOKUP(Sales_Data[[#This Row],[Sales Rep]],_xlfn.ANCHORARRAY(Dashboard!$B$13),Dashboard!$D$13:$D$17,,0)</f>
        <v>1</v>
      </c>
      <c r="P59" t="b" cm="1">
        <f t="array" ref="P59">_xlfn.XLOOKUP(Sales_Data[[#This Row],[Stage]],_xlfn.ANCHORARRAY(Dashboard!$B$20),Dashboard!$D$20:$D$25)</f>
        <v>1</v>
      </c>
      <c r="Q59" t="b" cm="1">
        <f t="array" ref="Q59">_xlfn.XLOOKUP(Sales_Data[[#This Row],[Lead Source]],_xlfn.ANCHORARRAY(Dashboard!$B$28),Dashboard!$D$28:$D$32)</f>
        <v>1</v>
      </c>
      <c r="R59">
        <f>Sales_Data[[#This Row],[Date inc]]*Sales_Data[[#This Row],[Team Inc]]*Sales_Data[[#This Row],[Rep Inc]]*Sales_Data[[#This Row],[Stage Inc]]*Sales_Data[[#This Row],[Source Inc]]</f>
        <v>1</v>
      </c>
    </row>
    <row r="60" spans="1:18" x14ac:dyDescent="0.3">
      <c r="A60" t="s">
        <v>67</v>
      </c>
      <c r="B60" s="2">
        <v>45766</v>
      </c>
      <c r="C60" t="s">
        <v>763</v>
      </c>
      <c r="D60" t="s">
        <v>765</v>
      </c>
      <c r="E60" t="s">
        <v>769</v>
      </c>
      <c r="F60" s="5">
        <v>43300</v>
      </c>
      <c r="G60" t="s">
        <v>771</v>
      </c>
      <c r="H60" s="2"/>
      <c r="J60" t="str">
        <f>IF(Sales_Data[[#This Row],[Close Date]] &lt;&gt; 0,"Closed", "Open")</f>
        <v>Open</v>
      </c>
      <c r="K60" t="str">
        <f>IF(Sales_Data[[#This Row],[Open/Closed]] = "Closed",Sales_Data[[#This Row],[Close Date]]-Sales_Data[[#This Row],[Created Date]],"")</f>
        <v/>
      </c>
      <c r="L60" s="2">
        <f>EOMONTH(Sales_Data[[#This Row],[Created Date]],0)</f>
        <v>45777</v>
      </c>
      <c r="M60" t="b">
        <f>AND(Sales_Data[[#This Row],[EoM Created]]&gt;=Index!$E$5,Sales_Data[[#This Row],[EoM Created]]&lt;=Index!$E$4)</f>
        <v>1</v>
      </c>
      <c r="N60" t="b" cm="1">
        <f t="array" ref="N60">_xlfn.XLOOKUP(Sales_Data[[#This Row],[Sales Team]],_xlfn.ANCHORARRAY(Dashboard!$B$9),Dashboard!$D$9:$D$10,,0)</f>
        <v>1</v>
      </c>
      <c r="O60" t="b" cm="1">
        <f t="array" ref="O60">_xlfn.XLOOKUP(Sales_Data[[#This Row],[Sales Rep]],_xlfn.ANCHORARRAY(Dashboard!$B$13),Dashboard!$D$13:$D$17,,0)</f>
        <v>1</v>
      </c>
      <c r="P60" t="b" cm="1">
        <f t="array" ref="P60">_xlfn.XLOOKUP(Sales_Data[[#This Row],[Stage]],_xlfn.ANCHORARRAY(Dashboard!$B$20),Dashboard!$D$20:$D$25)</f>
        <v>1</v>
      </c>
      <c r="Q60" t="b" cm="1">
        <f t="array" ref="Q60">_xlfn.XLOOKUP(Sales_Data[[#This Row],[Lead Source]],_xlfn.ANCHORARRAY(Dashboard!$B$28),Dashboard!$D$28:$D$32)</f>
        <v>1</v>
      </c>
      <c r="R60">
        <f>Sales_Data[[#This Row],[Date inc]]*Sales_Data[[#This Row],[Team Inc]]*Sales_Data[[#This Row],[Rep Inc]]*Sales_Data[[#This Row],[Stage Inc]]*Sales_Data[[#This Row],[Source Inc]]</f>
        <v>1</v>
      </c>
    </row>
    <row r="61" spans="1:18" x14ac:dyDescent="0.3">
      <c r="A61" t="s">
        <v>68</v>
      </c>
      <c r="B61" s="2">
        <v>45797</v>
      </c>
      <c r="C61" t="s">
        <v>760</v>
      </c>
      <c r="D61" t="s">
        <v>764</v>
      </c>
      <c r="E61" t="s">
        <v>766</v>
      </c>
      <c r="F61" s="5">
        <v>49800</v>
      </c>
      <c r="G61" t="s">
        <v>773</v>
      </c>
      <c r="H61" s="2"/>
      <c r="J61" t="str">
        <f>IF(Sales_Data[[#This Row],[Close Date]] &lt;&gt; 0,"Closed", "Open")</f>
        <v>Open</v>
      </c>
      <c r="K61" t="str">
        <f>IF(Sales_Data[[#This Row],[Open/Closed]] = "Closed",Sales_Data[[#This Row],[Close Date]]-Sales_Data[[#This Row],[Created Date]],"")</f>
        <v/>
      </c>
      <c r="L61" s="2">
        <f>EOMONTH(Sales_Data[[#This Row],[Created Date]],0)</f>
        <v>45808</v>
      </c>
      <c r="M61" t="b">
        <f>AND(Sales_Data[[#This Row],[EoM Created]]&gt;=Index!$E$5,Sales_Data[[#This Row],[EoM Created]]&lt;=Index!$E$4)</f>
        <v>1</v>
      </c>
      <c r="N61" t="b" cm="1">
        <f t="array" ref="N61">_xlfn.XLOOKUP(Sales_Data[[#This Row],[Sales Team]],_xlfn.ANCHORARRAY(Dashboard!$B$9),Dashboard!$D$9:$D$10,,0)</f>
        <v>1</v>
      </c>
      <c r="O61" t="b" cm="1">
        <f t="array" ref="O61">_xlfn.XLOOKUP(Sales_Data[[#This Row],[Sales Rep]],_xlfn.ANCHORARRAY(Dashboard!$B$13),Dashboard!$D$13:$D$17,,0)</f>
        <v>1</v>
      </c>
      <c r="P61" t="b" cm="1">
        <f t="array" ref="P61">_xlfn.XLOOKUP(Sales_Data[[#This Row],[Stage]],_xlfn.ANCHORARRAY(Dashboard!$B$20),Dashboard!$D$20:$D$25)</f>
        <v>1</v>
      </c>
      <c r="Q61" t="b" cm="1">
        <f t="array" ref="Q61">_xlfn.XLOOKUP(Sales_Data[[#This Row],[Lead Source]],_xlfn.ANCHORARRAY(Dashboard!$B$28),Dashboard!$D$28:$D$32)</f>
        <v>1</v>
      </c>
      <c r="R61">
        <f>Sales_Data[[#This Row],[Date inc]]*Sales_Data[[#This Row],[Team Inc]]*Sales_Data[[#This Row],[Rep Inc]]*Sales_Data[[#This Row],[Stage Inc]]*Sales_Data[[#This Row],[Source Inc]]</f>
        <v>1</v>
      </c>
    </row>
    <row r="62" spans="1:18" x14ac:dyDescent="0.3">
      <c r="A62" t="s">
        <v>69</v>
      </c>
      <c r="B62" s="2">
        <v>45665</v>
      </c>
      <c r="C62" t="s">
        <v>759</v>
      </c>
      <c r="D62" t="s">
        <v>764</v>
      </c>
      <c r="E62" t="s">
        <v>766</v>
      </c>
      <c r="F62" s="5">
        <v>35200</v>
      </c>
      <c r="G62" t="s">
        <v>781</v>
      </c>
      <c r="H62" s="2">
        <v>45729</v>
      </c>
      <c r="I62" t="s">
        <v>777</v>
      </c>
      <c r="J62" t="str">
        <f>IF(Sales_Data[[#This Row],[Close Date]] &lt;&gt; 0,"Closed", "Open")</f>
        <v>Closed</v>
      </c>
      <c r="K62">
        <f>IF(Sales_Data[[#This Row],[Open/Closed]] = "Closed",Sales_Data[[#This Row],[Close Date]]-Sales_Data[[#This Row],[Created Date]],"")</f>
        <v>64</v>
      </c>
      <c r="L62" s="2">
        <f>EOMONTH(Sales_Data[[#This Row],[Created Date]],0)</f>
        <v>45688</v>
      </c>
      <c r="M62" t="b">
        <f>AND(Sales_Data[[#This Row],[EoM Created]]&gt;=Index!$E$5,Sales_Data[[#This Row],[EoM Created]]&lt;=Index!$E$4)</f>
        <v>1</v>
      </c>
      <c r="N62" t="b" cm="1">
        <f t="array" ref="N62">_xlfn.XLOOKUP(Sales_Data[[#This Row],[Sales Team]],_xlfn.ANCHORARRAY(Dashboard!$B$9),Dashboard!$D$9:$D$10,,0)</f>
        <v>1</v>
      </c>
      <c r="O62" t="b" cm="1">
        <f t="array" ref="O62">_xlfn.XLOOKUP(Sales_Data[[#This Row],[Sales Rep]],_xlfn.ANCHORARRAY(Dashboard!$B$13),Dashboard!$D$13:$D$17,,0)</f>
        <v>1</v>
      </c>
      <c r="P62" t="b" cm="1">
        <f t="array" ref="P62">_xlfn.XLOOKUP(Sales_Data[[#This Row],[Stage]],_xlfn.ANCHORARRAY(Dashboard!$B$20),Dashboard!$D$20:$D$25)</f>
        <v>1</v>
      </c>
      <c r="Q62" t="b" cm="1">
        <f t="array" ref="Q62">_xlfn.XLOOKUP(Sales_Data[[#This Row],[Lead Source]],_xlfn.ANCHORARRAY(Dashboard!$B$28),Dashboard!$D$28:$D$32)</f>
        <v>1</v>
      </c>
      <c r="R62">
        <f>Sales_Data[[#This Row],[Date inc]]*Sales_Data[[#This Row],[Team Inc]]*Sales_Data[[#This Row],[Rep Inc]]*Sales_Data[[#This Row],[Stage Inc]]*Sales_Data[[#This Row],[Source Inc]]</f>
        <v>1</v>
      </c>
    </row>
    <row r="63" spans="1:18" x14ac:dyDescent="0.3">
      <c r="A63" t="s">
        <v>70</v>
      </c>
      <c r="B63" s="2">
        <v>45701</v>
      </c>
      <c r="C63" t="s">
        <v>762</v>
      </c>
      <c r="D63" t="s">
        <v>764</v>
      </c>
      <c r="E63" t="s">
        <v>767</v>
      </c>
      <c r="F63" s="5">
        <v>38100</v>
      </c>
      <c r="G63" t="s">
        <v>781</v>
      </c>
      <c r="H63" s="2">
        <v>45786</v>
      </c>
      <c r="I63" t="s">
        <v>775</v>
      </c>
      <c r="J63" t="str">
        <f>IF(Sales_Data[[#This Row],[Close Date]] &lt;&gt; 0,"Closed", "Open")</f>
        <v>Closed</v>
      </c>
      <c r="K63">
        <f>IF(Sales_Data[[#This Row],[Open/Closed]] = "Closed",Sales_Data[[#This Row],[Close Date]]-Sales_Data[[#This Row],[Created Date]],"")</f>
        <v>85</v>
      </c>
      <c r="L63" s="2">
        <f>EOMONTH(Sales_Data[[#This Row],[Created Date]],0)</f>
        <v>45716</v>
      </c>
      <c r="M63" t="b">
        <f>AND(Sales_Data[[#This Row],[EoM Created]]&gt;=Index!$E$5,Sales_Data[[#This Row],[EoM Created]]&lt;=Index!$E$4)</f>
        <v>1</v>
      </c>
      <c r="N63" t="b" cm="1">
        <f t="array" ref="N63">_xlfn.XLOOKUP(Sales_Data[[#This Row],[Sales Team]],_xlfn.ANCHORARRAY(Dashboard!$B$9),Dashboard!$D$9:$D$10,,0)</f>
        <v>1</v>
      </c>
      <c r="O63" t="b" cm="1">
        <f t="array" ref="O63">_xlfn.XLOOKUP(Sales_Data[[#This Row],[Sales Rep]],_xlfn.ANCHORARRAY(Dashboard!$B$13),Dashboard!$D$13:$D$17,,0)</f>
        <v>1</v>
      </c>
      <c r="P63" t="b" cm="1">
        <f t="array" ref="P63">_xlfn.XLOOKUP(Sales_Data[[#This Row],[Stage]],_xlfn.ANCHORARRAY(Dashboard!$B$20),Dashboard!$D$20:$D$25)</f>
        <v>1</v>
      </c>
      <c r="Q63" t="b" cm="1">
        <f t="array" ref="Q63">_xlfn.XLOOKUP(Sales_Data[[#This Row],[Lead Source]],_xlfn.ANCHORARRAY(Dashboard!$B$28),Dashboard!$D$28:$D$32)</f>
        <v>1</v>
      </c>
      <c r="R63">
        <f>Sales_Data[[#This Row],[Date inc]]*Sales_Data[[#This Row],[Team Inc]]*Sales_Data[[#This Row],[Rep Inc]]*Sales_Data[[#This Row],[Stage Inc]]*Sales_Data[[#This Row],[Source Inc]]</f>
        <v>1</v>
      </c>
    </row>
    <row r="64" spans="1:18" x14ac:dyDescent="0.3">
      <c r="A64" t="s">
        <v>71</v>
      </c>
      <c r="B64" s="2">
        <v>45665</v>
      </c>
      <c r="C64" t="s">
        <v>762</v>
      </c>
      <c r="D64" t="s">
        <v>764</v>
      </c>
      <c r="E64" t="s">
        <v>766</v>
      </c>
      <c r="F64" s="5">
        <v>28900</v>
      </c>
      <c r="G64" t="s">
        <v>780</v>
      </c>
      <c r="H64" s="2">
        <v>45735</v>
      </c>
      <c r="J64" t="str">
        <f>IF(Sales_Data[[#This Row],[Close Date]] &lt;&gt; 0,"Closed", "Open")</f>
        <v>Closed</v>
      </c>
      <c r="K64">
        <f>IF(Sales_Data[[#This Row],[Open/Closed]] = "Closed",Sales_Data[[#This Row],[Close Date]]-Sales_Data[[#This Row],[Created Date]],"")</f>
        <v>70</v>
      </c>
      <c r="L64" s="2">
        <f>EOMONTH(Sales_Data[[#This Row],[Created Date]],0)</f>
        <v>45688</v>
      </c>
      <c r="M64" t="b">
        <f>AND(Sales_Data[[#This Row],[EoM Created]]&gt;=Index!$E$5,Sales_Data[[#This Row],[EoM Created]]&lt;=Index!$E$4)</f>
        <v>1</v>
      </c>
      <c r="N64" t="b" cm="1">
        <f t="array" ref="N64">_xlfn.XLOOKUP(Sales_Data[[#This Row],[Sales Team]],_xlfn.ANCHORARRAY(Dashboard!$B$9),Dashboard!$D$9:$D$10,,0)</f>
        <v>1</v>
      </c>
      <c r="O64" t="b" cm="1">
        <f t="array" ref="O64">_xlfn.XLOOKUP(Sales_Data[[#This Row],[Sales Rep]],_xlfn.ANCHORARRAY(Dashboard!$B$13),Dashboard!$D$13:$D$17,,0)</f>
        <v>1</v>
      </c>
      <c r="P64" t="b" cm="1">
        <f t="array" ref="P64">_xlfn.XLOOKUP(Sales_Data[[#This Row],[Stage]],_xlfn.ANCHORARRAY(Dashboard!$B$20),Dashboard!$D$20:$D$25)</f>
        <v>1</v>
      </c>
      <c r="Q64" t="b" cm="1">
        <f t="array" ref="Q64">_xlfn.XLOOKUP(Sales_Data[[#This Row],[Lead Source]],_xlfn.ANCHORARRAY(Dashboard!$B$28),Dashboard!$D$28:$D$32)</f>
        <v>1</v>
      </c>
      <c r="R64">
        <f>Sales_Data[[#This Row],[Date inc]]*Sales_Data[[#This Row],[Team Inc]]*Sales_Data[[#This Row],[Rep Inc]]*Sales_Data[[#This Row],[Stage Inc]]*Sales_Data[[#This Row],[Source Inc]]</f>
        <v>1</v>
      </c>
    </row>
    <row r="65" spans="1:18" x14ac:dyDescent="0.3">
      <c r="A65" t="s">
        <v>72</v>
      </c>
      <c r="B65" s="2">
        <v>45031</v>
      </c>
      <c r="C65" t="s">
        <v>761</v>
      </c>
      <c r="D65" t="s">
        <v>765</v>
      </c>
      <c r="E65" t="s">
        <v>770</v>
      </c>
      <c r="F65" s="5">
        <v>28000</v>
      </c>
      <c r="G65" t="s">
        <v>781</v>
      </c>
      <c r="H65" s="2">
        <v>45113</v>
      </c>
      <c r="I65" t="s">
        <v>776</v>
      </c>
      <c r="J65" t="str">
        <f>IF(Sales_Data[[#This Row],[Close Date]] &lt;&gt; 0,"Closed", "Open")</f>
        <v>Closed</v>
      </c>
      <c r="K65">
        <f>IF(Sales_Data[[#This Row],[Open/Closed]] = "Closed",Sales_Data[[#This Row],[Close Date]]-Sales_Data[[#This Row],[Created Date]],"")</f>
        <v>82</v>
      </c>
      <c r="L65" s="2">
        <f>EOMONTH(Sales_Data[[#This Row],[Created Date]],0)</f>
        <v>45046</v>
      </c>
      <c r="M65" t="b">
        <f>AND(Sales_Data[[#This Row],[EoM Created]]&gt;=Index!$E$5,Sales_Data[[#This Row],[EoM Created]]&lt;=Index!$E$4)</f>
        <v>0</v>
      </c>
      <c r="N65" t="b" cm="1">
        <f t="array" ref="N65">_xlfn.XLOOKUP(Sales_Data[[#This Row],[Sales Team]],_xlfn.ANCHORARRAY(Dashboard!$B$9),Dashboard!$D$9:$D$10,,0)</f>
        <v>1</v>
      </c>
      <c r="O65" t="b" cm="1">
        <f t="array" ref="O65">_xlfn.XLOOKUP(Sales_Data[[#This Row],[Sales Rep]],_xlfn.ANCHORARRAY(Dashboard!$B$13),Dashboard!$D$13:$D$17,,0)</f>
        <v>1</v>
      </c>
      <c r="P65" t="b" cm="1">
        <f t="array" ref="P65">_xlfn.XLOOKUP(Sales_Data[[#This Row],[Stage]],_xlfn.ANCHORARRAY(Dashboard!$B$20),Dashboard!$D$20:$D$25)</f>
        <v>1</v>
      </c>
      <c r="Q65" t="b" cm="1">
        <f t="array" ref="Q65">_xlfn.XLOOKUP(Sales_Data[[#This Row],[Lead Source]],_xlfn.ANCHORARRAY(Dashboard!$B$28),Dashboard!$D$28:$D$32)</f>
        <v>1</v>
      </c>
      <c r="R65">
        <f>Sales_Data[[#This Row],[Date inc]]*Sales_Data[[#This Row],[Team Inc]]*Sales_Data[[#This Row],[Rep Inc]]*Sales_Data[[#This Row],[Stage Inc]]*Sales_Data[[#This Row],[Source Inc]]</f>
        <v>0</v>
      </c>
    </row>
    <row r="66" spans="1:18" x14ac:dyDescent="0.3">
      <c r="A66" t="s">
        <v>73</v>
      </c>
      <c r="B66" s="2">
        <v>45452</v>
      </c>
      <c r="C66" t="s">
        <v>760</v>
      </c>
      <c r="D66" t="s">
        <v>764</v>
      </c>
      <c r="E66" t="s">
        <v>767</v>
      </c>
      <c r="F66" s="5">
        <v>48100</v>
      </c>
      <c r="G66" t="s">
        <v>780</v>
      </c>
      <c r="H66" s="2">
        <v>45521</v>
      </c>
      <c r="J66" t="str">
        <f>IF(Sales_Data[[#This Row],[Close Date]] &lt;&gt; 0,"Closed", "Open")</f>
        <v>Closed</v>
      </c>
      <c r="K66">
        <f>IF(Sales_Data[[#This Row],[Open/Closed]] = "Closed",Sales_Data[[#This Row],[Close Date]]-Sales_Data[[#This Row],[Created Date]],"")</f>
        <v>69</v>
      </c>
      <c r="L66" s="2">
        <f>EOMONTH(Sales_Data[[#This Row],[Created Date]],0)</f>
        <v>45473</v>
      </c>
      <c r="M66" t="b">
        <f>AND(Sales_Data[[#This Row],[EoM Created]]&gt;=Index!$E$5,Sales_Data[[#This Row],[EoM Created]]&lt;=Index!$E$4)</f>
        <v>1</v>
      </c>
      <c r="N66" t="b" cm="1">
        <f t="array" ref="N66">_xlfn.XLOOKUP(Sales_Data[[#This Row],[Sales Team]],_xlfn.ANCHORARRAY(Dashboard!$B$9),Dashboard!$D$9:$D$10,,0)</f>
        <v>1</v>
      </c>
      <c r="O66" t="b" cm="1">
        <f t="array" ref="O66">_xlfn.XLOOKUP(Sales_Data[[#This Row],[Sales Rep]],_xlfn.ANCHORARRAY(Dashboard!$B$13),Dashboard!$D$13:$D$17,,0)</f>
        <v>1</v>
      </c>
      <c r="P66" t="b" cm="1">
        <f t="array" ref="P66">_xlfn.XLOOKUP(Sales_Data[[#This Row],[Stage]],_xlfn.ANCHORARRAY(Dashboard!$B$20),Dashboard!$D$20:$D$25)</f>
        <v>1</v>
      </c>
      <c r="Q66" t="b" cm="1">
        <f t="array" ref="Q66">_xlfn.XLOOKUP(Sales_Data[[#This Row],[Lead Source]],_xlfn.ANCHORARRAY(Dashboard!$B$28),Dashboard!$D$28:$D$32)</f>
        <v>1</v>
      </c>
      <c r="R66">
        <f>Sales_Data[[#This Row],[Date inc]]*Sales_Data[[#This Row],[Team Inc]]*Sales_Data[[#This Row],[Rep Inc]]*Sales_Data[[#This Row],[Stage Inc]]*Sales_Data[[#This Row],[Source Inc]]</f>
        <v>1</v>
      </c>
    </row>
    <row r="67" spans="1:18" x14ac:dyDescent="0.3">
      <c r="A67" t="s">
        <v>74</v>
      </c>
      <c r="B67" s="2">
        <v>44984</v>
      </c>
      <c r="C67" t="s">
        <v>759</v>
      </c>
      <c r="D67" t="s">
        <v>764</v>
      </c>
      <c r="E67" t="s">
        <v>767</v>
      </c>
      <c r="F67" s="5">
        <v>53600</v>
      </c>
      <c r="G67" t="s">
        <v>781</v>
      </c>
      <c r="H67" s="2">
        <v>45067</v>
      </c>
      <c r="I67" t="s">
        <v>775</v>
      </c>
      <c r="J67" t="str">
        <f>IF(Sales_Data[[#This Row],[Close Date]] &lt;&gt; 0,"Closed", "Open")</f>
        <v>Closed</v>
      </c>
      <c r="K67">
        <f>IF(Sales_Data[[#This Row],[Open/Closed]] = "Closed",Sales_Data[[#This Row],[Close Date]]-Sales_Data[[#This Row],[Created Date]],"")</f>
        <v>83</v>
      </c>
      <c r="L67" s="2">
        <f>EOMONTH(Sales_Data[[#This Row],[Created Date]],0)</f>
        <v>44985</v>
      </c>
      <c r="M67" t="b">
        <f>AND(Sales_Data[[#This Row],[EoM Created]]&gt;=Index!$E$5,Sales_Data[[#This Row],[EoM Created]]&lt;=Index!$E$4)</f>
        <v>0</v>
      </c>
      <c r="N67" t="b" cm="1">
        <f t="array" ref="N67">_xlfn.XLOOKUP(Sales_Data[[#This Row],[Sales Team]],_xlfn.ANCHORARRAY(Dashboard!$B$9),Dashboard!$D$9:$D$10,,0)</f>
        <v>1</v>
      </c>
      <c r="O67" t="b" cm="1">
        <f t="array" ref="O67">_xlfn.XLOOKUP(Sales_Data[[#This Row],[Sales Rep]],_xlfn.ANCHORARRAY(Dashboard!$B$13),Dashboard!$D$13:$D$17,,0)</f>
        <v>1</v>
      </c>
      <c r="P67" t="b" cm="1">
        <f t="array" ref="P67">_xlfn.XLOOKUP(Sales_Data[[#This Row],[Stage]],_xlfn.ANCHORARRAY(Dashboard!$B$20),Dashboard!$D$20:$D$25)</f>
        <v>1</v>
      </c>
      <c r="Q67" t="b" cm="1">
        <f t="array" ref="Q67">_xlfn.XLOOKUP(Sales_Data[[#This Row],[Lead Source]],_xlfn.ANCHORARRAY(Dashboard!$B$28),Dashboard!$D$28:$D$32)</f>
        <v>1</v>
      </c>
      <c r="R67">
        <f>Sales_Data[[#This Row],[Date inc]]*Sales_Data[[#This Row],[Team Inc]]*Sales_Data[[#This Row],[Rep Inc]]*Sales_Data[[#This Row],[Stage Inc]]*Sales_Data[[#This Row],[Source Inc]]</f>
        <v>0</v>
      </c>
    </row>
    <row r="68" spans="1:18" x14ac:dyDescent="0.3">
      <c r="A68" t="s">
        <v>75</v>
      </c>
      <c r="B68" s="2">
        <v>45406</v>
      </c>
      <c r="C68" t="s">
        <v>763</v>
      </c>
      <c r="D68" t="s">
        <v>765</v>
      </c>
      <c r="E68" t="s">
        <v>770</v>
      </c>
      <c r="F68" s="5">
        <v>39300</v>
      </c>
      <c r="G68" t="s">
        <v>780</v>
      </c>
      <c r="H68" s="2">
        <v>45471</v>
      </c>
      <c r="J68" t="str">
        <f>IF(Sales_Data[[#This Row],[Close Date]] &lt;&gt; 0,"Closed", "Open")</f>
        <v>Closed</v>
      </c>
      <c r="K68">
        <f>IF(Sales_Data[[#This Row],[Open/Closed]] = "Closed",Sales_Data[[#This Row],[Close Date]]-Sales_Data[[#This Row],[Created Date]],"")</f>
        <v>65</v>
      </c>
      <c r="L68" s="2">
        <f>EOMONTH(Sales_Data[[#This Row],[Created Date]],0)</f>
        <v>45412</v>
      </c>
      <c r="M68" t="b">
        <f>AND(Sales_Data[[#This Row],[EoM Created]]&gt;=Index!$E$5,Sales_Data[[#This Row],[EoM Created]]&lt;=Index!$E$4)</f>
        <v>1</v>
      </c>
      <c r="N68" t="b" cm="1">
        <f t="array" ref="N68">_xlfn.XLOOKUP(Sales_Data[[#This Row],[Sales Team]],_xlfn.ANCHORARRAY(Dashboard!$B$9),Dashboard!$D$9:$D$10,,0)</f>
        <v>1</v>
      </c>
      <c r="O68" t="b" cm="1">
        <f t="array" ref="O68">_xlfn.XLOOKUP(Sales_Data[[#This Row],[Sales Rep]],_xlfn.ANCHORARRAY(Dashboard!$B$13),Dashboard!$D$13:$D$17,,0)</f>
        <v>1</v>
      </c>
      <c r="P68" t="b" cm="1">
        <f t="array" ref="P68">_xlfn.XLOOKUP(Sales_Data[[#This Row],[Stage]],_xlfn.ANCHORARRAY(Dashboard!$B$20),Dashboard!$D$20:$D$25)</f>
        <v>1</v>
      </c>
      <c r="Q68" t="b" cm="1">
        <f t="array" ref="Q68">_xlfn.XLOOKUP(Sales_Data[[#This Row],[Lead Source]],_xlfn.ANCHORARRAY(Dashboard!$B$28),Dashboard!$D$28:$D$32)</f>
        <v>1</v>
      </c>
      <c r="R68">
        <f>Sales_Data[[#This Row],[Date inc]]*Sales_Data[[#This Row],[Team Inc]]*Sales_Data[[#This Row],[Rep Inc]]*Sales_Data[[#This Row],[Stage Inc]]*Sales_Data[[#This Row],[Source Inc]]</f>
        <v>1</v>
      </c>
    </row>
    <row r="69" spans="1:18" x14ac:dyDescent="0.3">
      <c r="A69" t="s">
        <v>76</v>
      </c>
      <c r="B69" s="2">
        <v>45723</v>
      </c>
      <c r="C69" t="s">
        <v>760</v>
      </c>
      <c r="D69" t="s">
        <v>764</v>
      </c>
      <c r="E69" t="s">
        <v>767</v>
      </c>
      <c r="F69" s="5">
        <v>50000</v>
      </c>
      <c r="G69" t="s">
        <v>780</v>
      </c>
      <c r="H69" s="2">
        <v>45791</v>
      </c>
      <c r="J69" t="str">
        <f>IF(Sales_Data[[#This Row],[Close Date]] &lt;&gt; 0,"Closed", "Open")</f>
        <v>Closed</v>
      </c>
      <c r="K69">
        <f>IF(Sales_Data[[#This Row],[Open/Closed]] = "Closed",Sales_Data[[#This Row],[Close Date]]-Sales_Data[[#This Row],[Created Date]],"")</f>
        <v>68</v>
      </c>
      <c r="L69" s="2">
        <f>EOMONTH(Sales_Data[[#This Row],[Created Date]],0)</f>
        <v>45747</v>
      </c>
      <c r="M69" t="b">
        <f>AND(Sales_Data[[#This Row],[EoM Created]]&gt;=Index!$E$5,Sales_Data[[#This Row],[EoM Created]]&lt;=Index!$E$4)</f>
        <v>1</v>
      </c>
      <c r="N69" t="b" cm="1">
        <f t="array" ref="N69">_xlfn.XLOOKUP(Sales_Data[[#This Row],[Sales Team]],_xlfn.ANCHORARRAY(Dashboard!$B$9),Dashboard!$D$9:$D$10,,0)</f>
        <v>1</v>
      </c>
      <c r="O69" t="b" cm="1">
        <f t="array" ref="O69">_xlfn.XLOOKUP(Sales_Data[[#This Row],[Sales Rep]],_xlfn.ANCHORARRAY(Dashboard!$B$13),Dashboard!$D$13:$D$17,,0)</f>
        <v>1</v>
      </c>
      <c r="P69" t="b" cm="1">
        <f t="array" ref="P69">_xlfn.XLOOKUP(Sales_Data[[#This Row],[Stage]],_xlfn.ANCHORARRAY(Dashboard!$B$20),Dashboard!$D$20:$D$25)</f>
        <v>1</v>
      </c>
      <c r="Q69" t="b" cm="1">
        <f t="array" ref="Q69">_xlfn.XLOOKUP(Sales_Data[[#This Row],[Lead Source]],_xlfn.ANCHORARRAY(Dashboard!$B$28),Dashboard!$D$28:$D$32)</f>
        <v>1</v>
      </c>
      <c r="R69">
        <f>Sales_Data[[#This Row],[Date inc]]*Sales_Data[[#This Row],[Team Inc]]*Sales_Data[[#This Row],[Rep Inc]]*Sales_Data[[#This Row],[Stage Inc]]*Sales_Data[[#This Row],[Source Inc]]</f>
        <v>1</v>
      </c>
    </row>
    <row r="70" spans="1:18" x14ac:dyDescent="0.3">
      <c r="A70" t="s">
        <v>77</v>
      </c>
      <c r="B70" s="2">
        <v>45618</v>
      </c>
      <c r="C70" t="s">
        <v>760</v>
      </c>
      <c r="D70" t="s">
        <v>764</v>
      </c>
      <c r="E70" t="s">
        <v>767</v>
      </c>
      <c r="F70" s="5">
        <v>43600</v>
      </c>
      <c r="G70" t="s">
        <v>780</v>
      </c>
      <c r="H70" s="2">
        <v>45705</v>
      </c>
      <c r="J70" t="str">
        <f>IF(Sales_Data[[#This Row],[Close Date]] &lt;&gt; 0,"Closed", "Open")</f>
        <v>Closed</v>
      </c>
      <c r="K70">
        <f>IF(Sales_Data[[#This Row],[Open/Closed]] = "Closed",Sales_Data[[#This Row],[Close Date]]-Sales_Data[[#This Row],[Created Date]],"")</f>
        <v>87</v>
      </c>
      <c r="L70" s="2">
        <f>EOMONTH(Sales_Data[[#This Row],[Created Date]],0)</f>
        <v>45626</v>
      </c>
      <c r="M70" t="b">
        <f>AND(Sales_Data[[#This Row],[EoM Created]]&gt;=Index!$E$5,Sales_Data[[#This Row],[EoM Created]]&lt;=Index!$E$4)</f>
        <v>1</v>
      </c>
      <c r="N70" t="b" cm="1">
        <f t="array" ref="N70">_xlfn.XLOOKUP(Sales_Data[[#This Row],[Sales Team]],_xlfn.ANCHORARRAY(Dashboard!$B$9),Dashboard!$D$9:$D$10,,0)</f>
        <v>1</v>
      </c>
      <c r="O70" t="b" cm="1">
        <f t="array" ref="O70">_xlfn.XLOOKUP(Sales_Data[[#This Row],[Sales Rep]],_xlfn.ANCHORARRAY(Dashboard!$B$13),Dashboard!$D$13:$D$17,,0)</f>
        <v>1</v>
      </c>
      <c r="P70" t="b" cm="1">
        <f t="array" ref="P70">_xlfn.XLOOKUP(Sales_Data[[#This Row],[Stage]],_xlfn.ANCHORARRAY(Dashboard!$B$20),Dashboard!$D$20:$D$25)</f>
        <v>1</v>
      </c>
      <c r="Q70" t="b" cm="1">
        <f t="array" ref="Q70">_xlfn.XLOOKUP(Sales_Data[[#This Row],[Lead Source]],_xlfn.ANCHORARRAY(Dashboard!$B$28),Dashboard!$D$28:$D$32)</f>
        <v>1</v>
      </c>
      <c r="R70">
        <f>Sales_Data[[#This Row],[Date inc]]*Sales_Data[[#This Row],[Team Inc]]*Sales_Data[[#This Row],[Rep Inc]]*Sales_Data[[#This Row],[Stage Inc]]*Sales_Data[[#This Row],[Source Inc]]</f>
        <v>1</v>
      </c>
    </row>
    <row r="71" spans="1:18" x14ac:dyDescent="0.3">
      <c r="A71" t="s">
        <v>78</v>
      </c>
      <c r="B71" s="2">
        <v>45504</v>
      </c>
      <c r="C71" t="s">
        <v>760</v>
      </c>
      <c r="D71" t="s">
        <v>764</v>
      </c>
      <c r="E71" t="s">
        <v>766</v>
      </c>
      <c r="F71" s="5">
        <v>33500</v>
      </c>
      <c r="G71" t="s">
        <v>781</v>
      </c>
      <c r="H71" s="2">
        <v>45565</v>
      </c>
      <c r="I71" t="s">
        <v>778</v>
      </c>
      <c r="J71" t="str">
        <f>IF(Sales_Data[[#This Row],[Close Date]] &lt;&gt; 0,"Closed", "Open")</f>
        <v>Closed</v>
      </c>
      <c r="K71">
        <f>IF(Sales_Data[[#This Row],[Open/Closed]] = "Closed",Sales_Data[[#This Row],[Close Date]]-Sales_Data[[#This Row],[Created Date]],"")</f>
        <v>61</v>
      </c>
      <c r="L71" s="2">
        <f>EOMONTH(Sales_Data[[#This Row],[Created Date]],0)</f>
        <v>45504</v>
      </c>
      <c r="M71" t="b">
        <f>AND(Sales_Data[[#This Row],[EoM Created]]&gt;=Index!$E$5,Sales_Data[[#This Row],[EoM Created]]&lt;=Index!$E$4)</f>
        <v>1</v>
      </c>
      <c r="N71" t="b" cm="1">
        <f t="array" ref="N71">_xlfn.XLOOKUP(Sales_Data[[#This Row],[Sales Team]],_xlfn.ANCHORARRAY(Dashboard!$B$9),Dashboard!$D$9:$D$10,,0)</f>
        <v>1</v>
      </c>
      <c r="O71" t="b" cm="1">
        <f t="array" ref="O71">_xlfn.XLOOKUP(Sales_Data[[#This Row],[Sales Rep]],_xlfn.ANCHORARRAY(Dashboard!$B$13),Dashboard!$D$13:$D$17,,0)</f>
        <v>1</v>
      </c>
      <c r="P71" t="b" cm="1">
        <f t="array" ref="P71">_xlfn.XLOOKUP(Sales_Data[[#This Row],[Stage]],_xlfn.ANCHORARRAY(Dashboard!$B$20),Dashboard!$D$20:$D$25)</f>
        <v>1</v>
      </c>
      <c r="Q71" t="b" cm="1">
        <f t="array" ref="Q71">_xlfn.XLOOKUP(Sales_Data[[#This Row],[Lead Source]],_xlfn.ANCHORARRAY(Dashboard!$B$28),Dashboard!$D$28:$D$32)</f>
        <v>1</v>
      </c>
      <c r="R71">
        <f>Sales_Data[[#This Row],[Date inc]]*Sales_Data[[#This Row],[Team Inc]]*Sales_Data[[#This Row],[Rep Inc]]*Sales_Data[[#This Row],[Stage Inc]]*Sales_Data[[#This Row],[Source Inc]]</f>
        <v>1</v>
      </c>
    </row>
    <row r="72" spans="1:18" x14ac:dyDescent="0.3">
      <c r="A72" t="s">
        <v>79</v>
      </c>
      <c r="B72" s="2">
        <v>44931</v>
      </c>
      <c r="C72" t="s">
        <v>763</v>
      </c>
      <c r="D72" t="s">
        <v>765</v>
      </c>
      <c r="E72" t="s">
        <v>770</v>
      </c>
      <c r="F72" s="5">
        <v>43600</v>
      </c>
      <c r="G72" t="s">
        <v>780</v>
      </c>
      <c r="H72" s="2">
        <v>45005</v>
      </c>
      <c r="J72" t="str">
        <f>IF(Sales_Data[[#This Row],[Close Date]] &lt;&gt; 0,"Closed", "Open")</f>
        <v>Closed</v>
      </c>
      <c r="K72">
        <f>IF(Sales_Data[[#This Row],[Open/Closed]] = "Closed",Sales_Data[[#This Row],[Close Date]]-Sales_Data[[#This Row],[Created Date]],"")</f>
        <v>74</v>
      </c>
      <c r="L72" s="2">
        <f>EOMONTH(Sales_Data[[#This Row],[Created Date]],0)</f>
        <v>44957</v>
      </c>
      <c r="M72" t="b">
        <f>AND(Sales_Data[[#This Row],[EoM Created]]&gt;=Index!$E$5,Sales_Data[[#This Row],[EoM Created]]&lt;=Index!$E$4)</f>
        <v>0</v>
      </c>
      <c r="N72" t="b" cm="1">
        <f t="array" ref="N72">_xlfn.XLOOKUP(Sales_Data[[#This Row],[Sales Team]],_xlfn.ANCHORARRAY(Dashboard!$B$9),Dashboard!$D$9:$D$10,,0)</f>
        <v>1</v>
      </c>
      <c r="O72" t="b" cm="1">
        <f t="array" ref="O72">_xlfn.XLOOKUP(Sales_Data[[#This Row],[Sales Rep]],_xlfn.ANCHORARRAY(Dashboard!$B$13),Dashboard!$D$13:$D$17,,0)</f>
        <v>1</v>
      </c>
      <c r="P72" t="b" cm="1">
        <f t="array" ref="P72">_xlfn.XLOOKUP(Sales_Data[[#This Row],[Stage]],_xlfn.ANCHORARRAY(Dashboard!$B$20),Dashboard!$D$20:$D$25)</f>
        <v>1</v>
      </c>
      <c r="Q72" t="b" cm="1">
        <f t="array" ref="Q72">_xlfn.XLOOKUP(Sales_Data[[#This Row],[Lead Source]],_xlfn.ANCHORARRAY(Dashboard!$B$28),Dashboard!$D$28:$D$32)</f>
        <v>1</v>
      </c>
      <c r="R72">
        <f>Sales_Data[[#This Row],[Date inc]]*Sales_Data[[#This Row],[Team Inc]]*Sales_Data[[#This Row],[Rep Inc]]*Sales_Data[[#This Row],[Stage Inc]]*Sales_Data[[#This Row],[Source Inc]]</f>
        <v>0</v>
      </c>
    </row>
    <row r="73" spans="1:18" x14ac:dyDescent="0.3">
      <c r="A73" t="s">
        <v>80</v>
      </c>
      <c r="B73" s="2">
        <v>45287</v>
      </c>
      <c r="C73" t="s">
        <v>760</v>
      </c>
      <c r="D73" t="s">
        <v>764</v>
      </c>
      <c r="E73" t="s">
        <v>766</v>
      </c>
      <c r="F73" s="5">
        <v>55400</v>
      </c>
      <c r="G73" t="s">
        <v>781</v>
      </c>
      <c r="H73" s="2">
        <v>45369</v>
      </c>
      <c r="I73" t="s">
        <v>778</v>
      </c>
      <c r="J73" t="str">
        <f>IF(Sales_Data[[#This Row],[Close Date]] &lt;&gt; 0,"Closed", "Open")</f>
        <v>Closed</v>
      </c>
      <c r="K73">
        <f>IF(Sales_Data[[#This Row],[Open/Closed]] = "Closed",Sales_Data[[#This Row],[Close Date]]-Sales_Data[[#This Row],[Created Date]],"")</f>
        <v>82</v>
      </c>
      <c r="L73" s="2">
        <f>EOMONTH(Sales_Data[[#This Row],[Created Date]],0)</f>
        <v>45291</v>
      </c>
      <c r="M73" t="b">
        <f>AND(Sales_Data[[#This Row],[EoM Created]]&gt;=Index!$E$5,Sales_Data[[#This Row],[EoM Created]]&lt;=Index!$E$4)</f>
        <v>1</v>
      </c>
      <c r="N73" t="b" cm="1">
        <f t="array" ref="N73">_xlfn.XLOOKUP(Sales_Data[[#This Row],[Sales Team]],_xlfn.ANCHORARRAY(Dashboard!$B$9),Dashboard!$D$9:$D$10,,0)</f>
        <v>1</v>
      </c>
      <c r="O73" t="b" cm="1">
        <f t="array" ref="O73">_xlfn.XLOOKUP(Sales_Data[[#This Row],[Sales Rep]],_xlfn.ANCHORARRAY(Dashboard!$B$13),Dashboard!$D$13:$D$17,,0)</f>
        <v>1</v>
      </c>
      <c r="P73" t="b" cm="1">
        <f t="array" ref="P73">_xlfn.XLOOKUP(Sales_Data[[#This Row],[Stage]],_xlfn.ANCHORARRAY(Dashboard!$B$20),Dashboard!$D$20:$D$25)</f>
        <v>1</v>
      </c>
      <c r="Q73" t="b" cm="1">
        <f t="array" ref="Q73">_xlfn.XLOOKUP(Sales_Data[[#This Row],[Lead Source]],_xlfn.ANCHORARRAY(Dashboard!$B$28),Dashboard!$D$28:$D$32)</f>
        <v>1</v>
      </c>
      <c r="R73">
        <f>Sales_Data[[#This Row],[Date inc]]*Sales_Data[[#This Row],[Team Inc]]*Sales_Data[[#This Row],[Rep Inc]]*Sales_Data[[#This Row],[Stage Inc]]*Sales_Data[[#This Row],[Source Inc]]</f>
        <v>1</v>
      </c>
    </row>
    <row r="74" spans="1:18" x14ac:dyDescent="0.3">
      <c r="A74" t="s">
        <v>81</v>
      </c>
      <c r="B74" s="2">
        <v>45625</v>
      </c>
      <c r="C74" t="s">
        <v>759</v>
      </c>
      <c r="D74" t="s">
        <v>764</v>
      </c>
      <c r="E74" t="s">
        <v>766</v>
      </c>
      <c r="F74" s="5">
        <v>39600</v>
      </c>
      <c r="G74" t="s">
        <v>780</v>
      </c>
      <c r="H74" s="2">
        <v>45693</v>
      </c>
      <c r="J74" t="str">
        <f>IF(Sales_Data[[#This Row],[Close Date]] &lt;&gt; 0,"Closed", "Open")</f>
        <v>Closed</v>
      </c>
      <c r="K74">
        <f>IF(Sales_Data[[#This Row],[Open/Closed]] = "Closed",Sales_Data[[#This Row],[Close Date]]-Sales_Data[[#This Row],[Created Date]],"")</f>
        <v>68</v>
      </c>
      <c r="L74" s="2">
        <f>EOMONTH(Sales_Data[[#This Row],[Created Date]],0)</f>
        <v>45626</v>
      </c>
      <c r="M74" t="b">
        <f>AND(Sales_Data[[#This Row],[EoM Created]]&gt;=Index!$E$5,Sales_Data[[#This Row],[EoM Created]]&lt;=Index!$E$4)</f>
        <v>1</v>
      </c>
      <c r="N74" t="b" cm="1">
        <f t="array" ref="N74">_xlfn.XLOOKUP(Sales_Data[[#This Row],[Sales Team]],_xlfn.ANCHORARRAY(Dashboard!$B$9),Dashboard!$D$9:$D$10,,0)</f>
        <v>1</v>
      </c>
      <c r="O74" t="b" cm="1">
        <f t="array" ref="O74">_xlfn.XLOOKUP(Sales_Data[[#This Row],[Sales Rep]],_xlfn.ANCHORARRAY(Dashboard!$B$13),Dashboard!$D$13:$D$17,,0)</f>
        <v>1</v>
      </c>
      <c r="P74" t="b" cm="1">
        <f t="array" ref="P74">_xlfn.XLOOKUP(Sales_Data[[#This Row],[Stage]],_xlfn.ANCHORARRAY(Dashboard!$B$20),Dashboard!$D$20:$D$25)</f>
        <v>1</v>
      </c>
      <c r="Q74" t="b" cm="1">
        <f t="array" ref="Q74">_xlfn.XLOOKUP(Sales_Data[[#This Row],[Lead Source]],_xlfn.ANCHORARRAY(Dashboard!$B$28),Dashboard!$D$28:$D$32)</f>
        <v>1</v>
      </c>
      <c r="R74">
        <f>Sales_Data[[#This Row],[Date inc]]*Sales_Data[[#This Row],[Team Inc]]*Sales_Data[[#This Row],[Rep Inc]]*Sales_Data[[#This Row],[Stage Inc]]*Sales_Data[[#This Row],[Source Inc]]</f>
        <v>1</v>
      </c>
    </row>
    <row r="75" spans="1:18" x14ac:dyDescent="0.3">
      <c r="A75" t="s">
        <v>82</v>
      </c>
      <c r="B75" s="2">
        <v>45059</v>
      </c>
      <c r="C75" t="s">
        <v>759</v>
      </c>
      <c r="D75" t="s">
        <v>764</v>
      </c>
      <c r="E75" t="s">
        <v>767</v>
      </c>
      <c r="F75" s="5">
        <v>55600</v>
      </c>
      <c r="G75" t="s">
        <v>780</v>
      </c>
      <c r="H75" s="2">
        <v>45145</v>
      </c>
      <c r="J75" t="str">
        <f>IF(Sales_Data[[#This Row],[Close Date]] &lt;&gt; 0,"Closed", "Open")</f>
        <v>Closed</v>
      </c>
      <c r="K75">
        <f>IF(Sales_Data[[#This Row],[Open/Closed]] = "Closed",Sales_Data[[#This Row],[Close Date]]-Sales_Data[[#This Row],[Created Date]],"")</f>
        <v>86</v>
      </c>
      <c r="L75" s="2">
        <f>EOMONTH(Sales_Data[[#This Row],[Created Date]],0)</f>
        <v>45077</v>
      </c>
      <c r="M75" t="b">
        <f>AND(Sales_Data[[#This Row],[EoM Created]]&gt;=Index!$E$5,Sales_Data[[#This Row],[EoM Created]]&lt;=Index!$E$4)</f>
        <v>0</v>
      </c>
      <c r="N75" t="b" cm="1">
        <f t="array" ref="N75">_xlfn.XLOOKUP(Sales_Data[[#This Row],[Sales Team]],_xlfn.ANCHORARRAY(Dashboard!$B$9),Dashboard!$D$9:$D$10,,0)</f>
        <v>1</v>
      </c>
      <c r="O75" t="b" cm="1">
        <f t="array" ref="O75">_xlfn.XLOOKUP(Sales_Data[[#This Row],[Sales Rep]],_xlfn.ANCHORARRAY(Dashboard!$B$13),Dashboard!$D$13:$D$17,,0)</f>
        <v>1</v>
      </c>
      <c r="P75" t="b" cm="1">
        <f t="array" ref="P75">_xlfn.XLOOKUP(Sales_Data[[#This Row],[Stage]],_xlfn.ANCHORARRAY(Dashboard!$B$20),Dashboard!$D$20:$D$25)</f>
        <v>1</v>
      </c>
      <c r="Q75" t="b" cm="1">
        <f t="array" ref="Q75">_xlfn.XLOOKUP(Sales_Data[[#This Row],[Lead Source]],_xlfn.ANCHORARRAY(Dashboard!$B$28),Dashboard!$D$28:$D$32)</f>
        <v>1</v>
      </c>
      <c r="R75">
        <f>Sales_Data[[#This Row],[Date inc]]*Sales_Data[[#This Row],[Team Inc]]*Sales_Data[[#This Row],[Rep Inc]]*Sales_Data[[#This Row],[Stage Inc]]*Sales_Data[[#This Row],[Source Inc]]</f>
        <v>0</v>
      </c>
    </row>
    <row r="76" spans="1:18" x14ac:dyDescent="0.3">
      <c r="A76" t="s">
        <v>83</v>
      </c>
      <c r="B76" s="2">
        <v>45602</v>
      </c>
      <c r="C76" t="s">
        <v>759</v>
      </c>
      <c r="D76" t="s">
        <v>764</v>
      </c>
      <c r="E76" t="s">
        <v>767</v>
      </c>
      <c r="F76" s="5">
        <v>13800</v>
      </c>
      <c r="G76" t="s">
        <v>781</v>
      </c>
      <c r="H76" s="2">
        <v>45687</v>
      </c>
      <c r="I76" t="s">
        <v>777</v>
      </c>
      <c r="J76" t="str">
        <f>IF(Sales_Data[[#This Row],[Close Date]] &lt;&gt; 0,"Closed", "Open")</f>
        <v>Closed</v>
      </c>
      <c r="K76">
        <f>IF(Sales_Data[[#This Row],[Open/Closed]] = "Closed",Sales_Data[[#This Row],[Close Date]]-Sales_Data[[#This Row],[Created Date]],"")</f>
        <v>85</v>
      </c>
      <c r="L76" s="2">
        <f>EOMONTH(Sales_Data[[#This Row],[Created Date]],0)</f>
        <v>45626</v>
      </c>
      <c r="M76" t="b">
        <f>AND(Sales_Data[[#This Row],[EoM Created]]&gt;=Index!$E$5,Sales_Data[[#This Row],[EoM Created]]&lt;=Index!$E$4)</f>
        <v>1</v>
      </c>
      <c r="N76" t="b" cm="1">
        <f t="array" ref="N76">_xlfn.XLOOKUP(Sales_Data[[#This Row],[Sales Team]],_xlfn.ANCHORARRAY(Dashboard!$B$9),Dashboard!$D$9:$D$10,,0)</f>
        <v>1</v>
      </c>
      <c r="O76" t="b" cm="1">
        <f t="array" ref="O76">_xlfn.XLOOKUP(Sales_Data[[#This Row],[Sales Rep]],_xlfn.ANCHORARRAY(Dashboard!$B$13),Dashboard!$D$13:$D$17,,0)</f>
        <v>1</v>
      </c>
      <c r="P76" t="b" cm="1">
        <f t="array" ref="P76">_xlfn.XLOOKUP(Sales_Data[[#This Row],[Stage]],_xlfn.ANCHORARRAY(Dashboard!$B$20),Dashboard!$D$20:$D$25)</f>
        <v>1</v>
      </c>
      <c r="Q76" t="b" cm="1">
        <f t="array" ref="Q76">_xlfn.XLOOKUP(Sales_Data[[#This Row],[Lead Source]],_xlfn.ANCHORARRAY(Dashboard!$B$28),Dashboard!$D$28:$D$32)</f>
        <v>1</v>
      </c>
      <c r="R76">
        <f>Sales_Data[[#This Row],[Date inc]]*Sales_Data[[#This Row],[Team Inc]]*Sales_Data[[#This Row],[Rep Inc]]*Sales_Data[[#This Row],[Stage Inc]]*Sales_Data[[#This Row],[Source Inc]]</f>
        <v>1</v>
      </c>
    </row>
    <row r="77" spans="1:18" x14ac:dyDescent="0.3">
      <c r="A77" t="s">
        <v>84</v>
      </c>
      <c r="B77" s="2">
        <v>45243</v>
      </c>
      <c r="C77" t="s">
        <v>759</v>
      </c>
      <c r="D77" t="s">
        <v>764</v>
      </c>
      <c r="E77" t="s">
        <v>766</v>
      </c>
      <c r="F77" s="5">
        <v>48200</v>
      </c>
      <c r="G77" t="s">
        <v>781</v>
      </c>
      <c r="H77" s="2">
        <v>45313</v>
      </c>
      <c r="I77" t="s">
        <v>776</v>
      </c>
      <c r="J77" t="str">
        <f>IF(Sales_Data[[#This Row],[Close Date]] &lt;&gt; 0,"Closed", "Open")</f>
        <v>Closed</v>
      </c>
      <c r="K77">
        <f>IF(Sales_Data[[#This Row],[Open/Closed]] = "Closed",Sales_Data[[#This Row],[Close Date]]-Sales_Data[[#This Row],[Created Date]],"")</f>
        <v>70</v>
      </c>
      <c r="L77" s="2">
        <f>EOMONTH(Sales_Data[[#This Row],[Created Date]],0)</f>
        <v>45260</v>
      </c>
      <c r="M77" t="b">
        <f>AND(Sales_Data[[#This Row],[EoM Created]]&gt;=Index!$E$5,Sales_Data[[#This Row],[EoM Created]]&lt;=Index!$E$4)</f>
        <v>1</v>
      </c>
      <c r="N77" t="b" cm="1">
        <f t="array" ref="N77">_xlfn.XLOOKUP(Sales_Data[[#This Row],[Sales Team]],_xlfn.ANCHORARRAY(Dashboard!$B$9),Dashboard!$D$9:$D$10,,0)</f>
        <v>1</v>
      </c>
      <c r="O77" t="b" cm="1">
        <f t="array" ref="O77">_xlfn.XLOOKUP(Sales_Data[[#This Row],[Sales Rep]],_xlfn.ANCHORARRAY(Dashboard!$B$13),Dashboard!$D$13:$D$17,,0)</f>
        <v>1</v>
      </c>
      <c r="P77" t="b" cm="1">
        <f t="array" ref="P77">_xlfn.XLOOKUP(Sales_Data[[#This Row],[Stage]],_xlfn.ANCHORARRAY(Dashboard!$B$20),Dashboard!$D$20:$D$25)</f>
        <v>1</v>
      </c>
      <c r="Q77" t="b" cm="1">
        <f t="array" ref="Q77">_xlfn.XLOOKUP(Sales_Data[[#This Row],[Lead Source]],_xlfn.ANCHORARRAY(Dashboard!$B$28),Dashboard!$D$28:$D$32)</f>
        <v>1</v>
      </c>
      <c r="R77">
        <f>Sales_Data[[#This Row],[Date inc]]*Sales_Data[[#This Row],[Team Inc]]*Sales_Data[[#This Row],[Rep Inc]]*Sales_Data[[#This Row],[Stage Inc]]*Sales_Data[[#This Row],[Source Inc]]</f>
        <v>1</v>
      </c>
    </row>
    <row r="78" spans="1:18" x14ac:dyDescent="0.3">
      <c r="A78" t="s">
        <v>85</v>
      </c>
      <c r="B78" s="2">
        <v>45342</v>
      </c>
      <c r="C78" t="s">
        <v>759</v>
      </c>
      <c r="D78" t="s">
        <v>764</v>
      </c>
      <c r="E78" t="s">
        <v>767</v>
      </c>
      <c r="F78" s="5">
        <v>40900</v>
      </c>
      <c r="G78" t="s">
        <v>780</v>
      </c>
      <c r="H78" s="2">
        <v>45414</v>
      </c>
      <c r="J78" t="str">
        <f>IF(Sales_Data[[#This Row],[Close Date]] &lt;&gt; 0,"Closed", "Open")</f>
        <v>Closed</v>
      </c>
      <c r="K78">
        <f>IF(Sales_Data[[#This Row],[Open/Closed]] = "Closed",Sales_Data[[#This Row],[Close Date]]-Sales_Data[[#This Row],[Created Date]],"")</f>
        <v>72</v>
      </c>
      <c r="L78" s="2">
        <f>EOMONTH(Sales_Data[[#This Row],[Created Date]],0)</f>
        <v>45351</v>
      </c>
      <c r="M78" t="b">
        <f>AND(Sales_Data[[#This Row],[EoM Created]]&gt;=Index!$E$5,Sales_Data[[#This Row],[EoM Created]]&lt;=Index!$E$4)</f>
        <v>1</v>
      </c>
      <c r="N78" t="b" cm="1">
        <f t="array" ref="N78">_xlfn.XLOOKUP(Sales_Data[[#This Row],[Sales Team]],_xlfn.ANCHORARRAY(Dashboard!$B$9),Dashboard!$D$9:$D$10,,0)</f>
        <v>1</v>
      </c>
      <c r="O78" t="b" cm="1">
        <f t="array" ref="O78">_xlfn.XLOOKUP(Sales_Data[[#This Row],[Sales Rep]],_xlfn.ANCHORARRAY(Dashboard!$B$13),Dashboard!$D$13:$D$17,,0)</f>
        <v>1</v>
      </c>
      <c r="P78" t="b" cm="1">
        <f t="array" ref="P78">_xlfn.XLOOKUP(Sales_Data[[#This Row],[Stage]],_xlfn.ANCHORARRAY(Dashboard!$B$20),Dashboard!$D$20:$D$25)</f>
        <v>1</v>
      </c>
      <c r="Q78" t="b" cm="1">
        <f t="array" ref="Q78">_xlfn.XLOOKUP(Sales_Data[[#This Row],[Lead Source]],_xlfn.ANCHORARRAY(Dashboard!$B$28),Dashboard!$D$28:$D$32)</f>
        <v>1</v>
      </c>
      <c r="R78">
        <f>Sales_Data[[#This Row],[Date inc]]*Sales_Data[[#This Row],[Team Inc]]*Sales_Data[[#This Row],[Rep Inc]]*Sales_Data[[#This Row],[Stage Inc]]*Sales_Data[[#This Row],[Source Inc]]</f>
        <v>1</v>
      </c>
    </row>
    <row r="79" spans="1:18" x14ac:dyDescent="0.3">
      <c r="A79" t="s">
        <v>86</v>
      </c>
      <c r="B79" s="2">
        <v>45669</v>
      </c>
      <c r="C79" t="s">
        <v>762</v>
      </c>
      <c r="D79" t="s">
        <v>764</v>
      </c>
      <c r="E79" t="s">
        <v>767</v>
      </c>
      <c r="F79" s="5">
        <v>37000</v>
      </c>
      <c r="G79" t="s">
        <v>781</v>
      </c>
      <c r="H79" s="2">
        <v>45754</v>
      </c>
      <c r="I79" t="s">
        <v>779</v>
      </c>
      <c r="J79" t="str">
        <f>IF(Sales_Data[[#This Row],[Close Date]] &lt;&gt; 0,"Closed", "Open")</f>
        <v>Closed</v>
      </c>
      <c r="K79">
        <f>IF(Sales_Data[[#This Row],[Open/Closed]] = "Closed",Sales_Data[[#This Row],[Close Date]]-Sales_Data[[#This Row],[Created Date]],"")</f>
        <v>85</v>
      </c>
      <c r="L79" s="2">
        <f>EOMONTH(Sales_Data[[#This Row],[Created Date]],0)</f>
        <v>45688</v>
      </c>
      <c r="M79" t="b">
        <f>AND(Sales_Data[[#This Row],[EoM Created]]&gt;=Index!$E$5,Sales_Data[[#This Row],[EoM Created]]&lt;=Index!$E$4)</f>
        <v>1</v>
      </c>
      <c r="N79" t="b" cm="1">
        <f t="array" ref="N79">_xlfn.XLOOKUP(Sales_Data[[#This Row],[Sales Team]],_xlfn.ANCHORARRAY(Dashboard!$B$9),Dashboard!$D$9:$D$10,,0)</f>
        <v>1</v>
      </c>
      <c r="O79" t="b" cm="1">
        <f t="array" ref="O79">_xlfn.XLOOKUP(Sales_Data[[#This Row],[Sales Rep]],_xlfn.ANCHORARRAY(Dashboard!$B$13),Dashboard!$D$13:$D$17,,0)</f>
        <v>1</v>
      </c>
      <c r="P79" t="b" cm="1">
        <f t="array" ref="P79">_xlfn.XLOOKUP(Sales_Data[[#This Row],[Stage]],_xlfn.ANCHORARRAY(Dashboard!$B$20),Dashboard!$D$20:$D$25)</f>
        <v>1</v>
      </c>
      <c r="Q79" t="b" cm="1">
        <f t="array" ref="Q79">_xlfn.XLOOKUP(Sales_Data[[#This Row],[Lead Source]],_xlfn.ANCHORARRAY(Dashboard!$B$28),Dashboard!$D$28:$D$32)</f>
        <v>1</v>
      </c>
      <c r="R79">
        <f>Sales_Data[[#This Row],[Date inc]]*Sales_Data[[#This Row],[Team Inc]]*Sales_Data[[#This Row],[Rep Inc]]*Sales_Data[[#This Row],[Stage Inc]]*Sales_Data[[#This Row],[Source Inc]]</f>
        <v>1</v>
      </c>
    </row>
    <row r="80" spans="1:18" x14ac:dyDescent="0.3">
      <c r="A80" t="s">
        <v>87</v>
      </c>
      <c r="B80" s="2">
        <v>45112</v>
      </c>
      <c r="C80" t="s">
        <v>762</v>
      </c>
      <c r="D80" t="s">
        <v>764</v>
      </c>
      <c r="E80" t="s">
        <v>766</v>
      </c>
      <c r="F80" s="5">
        <v>40900</v>
      </c>
      <c r="G80" t="s">
        <v>781</v>
      </c>
      <c r="H80" s="2">
        <v>45184</v>
      </c>
      <c r="I80" t="s">
        <v>778</v>
      </c>
      <c r="J80" t="str">
        <f>IF(Sales_Data[[#This Row],[Close Date]] &lt;&gt; 0,"Closed", "Open")</f>
        <v>Closed</v>
      </c>
      <c r="K80">
        <f>IF(Sales_Data[[#This Row],[Open/Closed]] = "Closed",Sales_Data[[#This Row],[Close Date]]-Sales_Data[[#This Row],[Created Date]],"")</f>
        <v>72</v>
      </c>
      <c r="L80" s="2">
        <f>EOMONTH(Sales_Data[[#This Row],[Created Date]],0)</f>
        <v>45138</v>
      </c>
      <c r="M80" t="b">
        <f>AND(Sales_Data[[#This Row],[EoM Created]]&gt;=Index!$E$5,Sales_Data[[#This Row],[EoM Created]]&lt;=Index!$E$4)</f>
        <v>1</v>
      </c>
      <c r="N80" t="b" cm="1">
        <f t="array" ref="N80">_xlfn.XLOOKUP(Sales_Data[[#This Row],[Sales Team]],_xlfn.ANCHORARRAY(Dashboard!$B$9),Dashboard!$D$9:$D$10,,0)</f>
        <v>1</v>
      </c>
      <c r="O80" t="b" cm="1">
        <f t="array" ref="O80">_xlfn.XLOOKUP(Sales_Data[[#This Row],[Sales Rep]],_xlfn.ANCHORARRAY(Dashboard!$B$13),Dashboard!$D$13:$D$17,,0)</f>
        <v>1</v>
      </c>
      <c r="P80" t="b" cm="1">
        <f t="array" ref="P80">_xlfn.XLOOKUP(Sales_Data[[#This Row],[Stage]],_xlfn.ANCHORARRAY(Dashboard!$B$20),Dashboard!$D$20:$D$25)</f>
        <v>1</v>
      </c>
      <c r="Q80" t="b" cm="1">
        <f t="array" ref="Q80">_xlfn.XLOOKUP(Sales_Data[[#This Row],[Lead Source]],_xlfn.ANCHORARRAY(Dashboard!$B$28),Dashboard!$D$28:$D$32)</f>
        <v>1</v>
      </c>
      <c r="R80">
        <f>Sales_Data[[#This Row],[Date inc]]*Sales_Data[[#This Row],[Team Inc]]*Sales_Data[[#This Row],[Rep Inc]]*Sales_Data[[#This Row],[Stage Inc]]*Sales_Data[[#This Row],[Source Inc]]</f>
        <v>1</v>
      </c>
    </row>
    <row r="81" spans="1:18" x14ac:dyDescent="0.3">
      <c r="A81" t="s">
        <v>88</v>
      </c>
      <c r="B81" s="2">
        <v>45669</v>
      </c>
      <c r="C81" t="s">
        <v>762</v>
      </c>
      <c r="D81" t="s">
        <v>764</v>
      </c>
      <c r="E81" t="s">
        <v>767</v>
      </c>
      <c r="F81" s="5">
        <v>20100</v>
      </c>
      <c r="G81" t="s">
        <v>781</v>
      </c>
      <c r="H81" s="2">
        <v>45747</v>
      </c>
      <c r="I81" t="s">
        <v>776</v>
      </c>
      <c r="J81" t="str">
        <f>IF(Sales_Data[[#This Row],[Close Date]] &lt;&gt; 0,"Closed", "Open")</f>
        <v>Closed</v>
      </c>
      <c r="K81">
        <f>IF(Sales_Data[[#This Row],[Open/Closed]] = "Closed",Sales_Data[[#This Row],[Close Date]]-Sales_Data[[#This Row],[Created Date]],"")</f>
        <v>78</v>
      </c>
      <c r="L81" s="2">
        <f>EOMONTH(Sales_Data[[#This Row],[Created Date]],0)</f>
        <v>45688</v>
      </c>
      <c r="M81" t="b">
        <f>AND(Sales_Data[[#This Row],[EoM Created]]&gt;=Index!$E$5,Sales_Data[[#This Row],[EoM Created]]&lt;=Index!$E$4)</f>
        <v>1</v>
      </c>
      <c r="N81" t="b" cm="1">
        <f t="array" ref="N81">_xlfn.XLOOKUP(Sales_Data[[#This Row],[Sales Team]],_xlfn.ANCHORARRAY(Dashboard!$B$9),Dashboard!$D$9:$D$10,,0)</f>
        <v>1</v>
      </c>
      <c r="O81" t="b" cm="1">
        <f t="array" ref="O81">_xlfn.XLOOKUP(Sales_Data[[#This Row],[Sales Rep]],_xlfn.ANCHORARRAY(Dashboard!$B$13),Dashboard!$D$13:$D$17,,0)</f>
        <v>1</v>
      </c>
      <c r="P81" t="b" cm="1">
        <f t="array" ref="P81">_xlfn.XLOOKUP(Sales_Data[[#This Row],[Stage]],_xlfn.ANCHORARRAY(Dashboard!$B$20),Dashboard!$D$20:$D$25)</f>
        <v>1</v>
      </c>
      <c r="Q81" t="b" cm="1">
        <f t="array" ref="Q81">_xlfn.XLOOKUP(Sales_Data[[#This Row],[Lead Source]],_xlfn.ANCHORARRAY(Dashboard!$B$28),Dashboard!$D$28:$D$32)</f>
        <v>1</v>
      </c>
      <c r="R81">
        <f>Sales_Data[[#This Row],[Date inc]]*Sales_Data[[#This Row],[Team Inc]]*Sales_Data[[#This Row],[Rep Inc]]*Sales_Data[[#This Row],[Stage Inc]]*Sales_Data[[#This Row],[Source Inc]]</f>
        <v>1</v>
      </c>
    </row>
    <row r="82" spans="1:18" x14ac:dyDescent="0.3">
      <c r="A82" t="s">
        <v>89</v>
      </c>
      <c r="B82" s="2">
        <v>45613</v>
      </c>
      <c r="C82" t="s">
        <v>761</v>
      </c>
      <c r="D82" t="s">
        <v>765</v>
      </c>
      <c r="E82" t="s">
        <v>769</v>
      </c>
      <c r="F82" s="5">
        <v>37800</v>
      </c>
      <c r="G82" t="s">
        <v>780</v>
      </c>
      <c r="H82" s="2">
        <v>45696</v>
      </c>
      <c r="J82" t="str">
        <f>IF(Sales_Data[[#This Row],[Close Date]] &lt;&gt; 0,"Closed", "Open")</f>
        <v>Closed</v>
      </c>
      <c r="K82">
        <f>IF(Sales_Data[[#This Row],[Open/Closed]] = "Closed",Sales_Data[[#This Row],[Close Date]]-Sales_Data[[#This Row],[Created Date]],"")</f>
        <v>83</v>
      </c>
      <c r="L82" s="2">
        <f>EOMONTH(Sales_Data[[#This Row],[Created Date]],0)</f>
        <v>45626</v>
      </c>
      <c r="M82" t="b">
        <f>AND(Sales_Data[[#This Row],[EoM Created]]&gt;=Index!$E$5,Sales_Data[[#This Row],[EoM Created]]&lt;=Index!$E$4)</f>
        <v>1</v>
      </c>
      <c r="N82" t="b" cm="1">
        <f t="array" ref="N82">_xlfn.XLOOKUP(Sales_Data[[#This Row],[Sales Team]],_xlfn.ANCHORARRAY(Dashboard!$B$9),Dashboard!$D$9:$D$10,,0)</f>
        <v>1</v>
      </c>
      <c r="O82" t="b" cm="1">
        <f t="array" ref="O82">_xlfn.XLOOKUP(Sales_Data[[#This Row],[Sales Rep]],_xlfn.ANCHORARRAY(Dashboard!$B$13),Dashboard!$D$13:$D$17,,0)</f>
        <v>1</v>
      </c>
      <c r="P82" t="b" cm="1">
        <f t="array" ref="P82">_xlfn.XLOOKUP(Sales_Data[[#This Row],[Stage]],_xlfn.ANCHORARRAY(Dashboard!$B$20),Dashboard!$D$20:$D$25)</f>
        <v>1</v>
      </c>
      <c r="Q82" t="b" cm="1">
        <f t="array" ref="Q82">_xlfn.XLOOKUP(Sales_Data[[#This Row],[Lead Source]],_xlfn.ANCHORARRAY(Dashboard!$B$28),Dashboard!$D$28:$D$32)</f>
        <v>1</v>
      </c>
      <c r="R82">
        <f>Sales_Data[[#This Row],[Date inc]]*Sales_Data[[#This Row],[Team Inc]]*Sales_Data[[#This Row],[Rep Inc]]*Sales_Data[[#This Row],[Stage Inc]]*Sales_Data[[#This Row],[Source Inc]]</f>
        <v>1</v>
      </c>
    </row>
    <row r="83" spans="1:18" x14ac:dyDescent="0.3">
      <c r="A83" t="s">
        <v>90</v>
      </c>
      <c r="B83" s="2">
        <v>45178</v>
      </c>
      <c r="C83" t="s">
        <v>760</v>
      </c>
      <c r="D83" t="s">
        <v>764</v>
      </c>
      <c r="E83" t="s">
        <v>767</v>
      </c>
      <c r="F83" s="5">
        <v>43600</v>
      </c>
      <c r="G83" t="s">
        <v>780</v>
      </c>
      <c r="H83" s="2">
        <v>45253</v>
      </c>
      <c r="J83" t="str">
        <f>IF(Sales_Data[[#This Row],[Close Date]] &lt;&gt; 0,"Closed", "Open")</f>
        <v>Closed</v>
      </c>
      <c r="K83">
        <f>IF(Sales_Data[[#This Row],[Open/Closed]] = "Closed",Sales_Data[[#This Row],[Close Date]]-Sales_Data[[#This Row],[Created Date]],"")</f>
        <v>75</v>
      </c>
      <c r="L83" s="2">
        <f>EOMONTH(Sales_Data[[#This Row],[Created Date]],0)</f>
        <v>45199</v>
      </c>
      <c r="M83" t="b">
        <f>AND(Sales_Data[[#This Row],[EoM Created]]&gt;=Index!$E$5,Sales_Data[[#This Row],[EoM Created]]&lt;=Index!$E$4)</f>
        <v>1</v>
      </c>
      <c r="N83" t="b" cm="1">
        <f t="array" ref="N83">_xlfn.XLOOKUP(Sales_Data[[#This Row],[Sales Team]],_xlfn.ANCHORARRAY(Dashboard!$B$9),Dashboard!$D$9:$D$10,,0)</f>
        <v>1</v>
      </c>
      <c r="O83" t="b" cm="1">
        <f t="array" ref="O83">_xlfn.XLOOKUP(Sales_Data[[#This Row],[Sales Rep]],_xlfn.ANCHORARRAY(Dashboard!$B$13),Dashboard!$D$13:$D$17,,0)</f>
        <v>1</v>
      </c>
      <c r="P83" t="b" cm="1">
        <f t="array" ref="P83">_xlfn.XLOOKUP(Sales_Data[[#This Row],[Stage]],_xlfn.ANCHORARRAY(Dashboard!$B$20),Dashboard!$D$20:$D$25)</f>
        <v>1</v>
      </c>
      <c r="Q83" t="b" cm="1">
        <f t="array" ref="Q83">_xlfn.XLOOKUP(Sales_Data[[#This Row],[Lead Source]],_xlfn.ANCHORARRAY(Dashboard!$B$28),Dashboard!$D$28:$D$32)</f>
        <v>1</v>
      </c>
      <c r="R83">
        <f>Sales_Data[[#This Row],[Date inc]]*Sales_Data[[#This Row],[Team Inc]]*Sales_Data[[#This Row],[Rep Inc]]*Sales_Data[[#This Row],[Stage Inc]]*Sales_Data[[#This Row],[Source Inc]]</f>
        <v>1</v>
      </c>
    </row>
    <row r="84" spans="1:18" x14ac:dyDescent="0.3">
      <c r="A84" t="s">
        <v>91</v>
      </c>
      <c r="B84" s="2">
        <v>45194</v>
      </c>
      <c r="C84" t="s">
        <v>761</v>
      </c>
      <c r="D84" t="s">
        <v>765</v>
      </c>
      <c r="E84" t="s">
        <v>770</v>
      </c>
      <c r="F84" s="5">
        <v>54800</v>
      </c>
      <c r="G84" t="s">
        <v>781</v>
      </c>
      <c r="H84" s="2">
        <v>45274</v>
      </c>
      <c r="I84" t="s">
        <v>779</v>
      </c>
      <c r="J84" t="str">
        <f>IF(Sales_Data[[#This Row],[Close Date]] &lt;&gt; 0,"Closed", "Open")</f>
        <v>Closed</v>
      </c>
      <c r="K84">
        <f>IF(Sales_Data[[#This Row],[Open/Closed]] = "Closed",Sales_Data[[#This Row],[Close Date]]-Sales_Data[[#This Row],[Created Date]],"")</f>
        <v>80</v>
      </c>
      <c r="L84" s="2">
        <f>EOMONTH(Sales_Data[[#This Row],[Created Date]],0)</f>
        <v>45199</v>
      </c>
      <c r="M84" t="b">
        <f>AND(Sales_Data[[#This Row],[EoM Created]]&gt;=Index!$E$5,Sales_Data[[#This Row],[EoM Created]]&lt;=Index!$E$4)</f>
        <v>1</v>
      </c>
      <c r="N84" t="b" cm="1">
        <f t="array" ref="N84">_xlfn.XLOOKUP(Sales_Data[[#This Row],[Sales Team]],_xlfn.ANCHORARRAY(Dashboard!$B$9),Dashboard!$D$9:$D$10,,0)</f>
        <v>1</v>
      </c>
      <c r="O84" t="b" cm="1">
        <f t="array" ref="O84">_xlfn.XLOOKUP(Sales_Data[[#This Row],[Sales Rep]],_xlfn.ANCHORARRAY(Dashboard!$B$13),Dashboard!$D$13:$D$17,,0)</f>
        <v>1</v>
      </c>
      <c r="P84" t="b" cm="1">
        <f t="array" ref="P84">_xlfn.XLOOKUP(Sales_Data[[#This Row],[Stage]],_xlfn.ANCHORARRAY(Dashboard!$B$20),Dashboard!$D$20:$D$25)</f>
        <v>1</v>
      </c>
      <c r="Q84" t="b" cm="1">
        <f t="array" ref="Q84">_xlfn.XLOOKUP(Sales_Data[[#This Row],[Lead Source]],_xlfn.ANCHORARRAY(Dashboard!$B$28),Dashboard!$D$28:$D$32)</f>
        <v>1</v>
      </c>
      <c r="R84">
        <f>Sales_Data[[#This Row],[Date inc]]*Sales_Data[[#This Row],[Team Inc]]*Sales_Data[[#This Row],[Rep Inc]]*Sales_Data[[#This Row],[Stage Inc]]*Sales_Data[[#This Row],[Source Inc]]</f>
        <v>1</v>
      </c>
    </row>
    <row r="85" spans="1:18" x14ac:dyDescent="0.3">
      <c r="A85" t="s">
        <v>92</v>
      </c>
      <c r="B85" s="2">
        <v>45818</v>
      </c>
      <c r="C85" t="s">
        <v>760</v>
      </c>
      <c r="D85" t="s">
        <v>764</v>
      </c>
      <c r="E85" t="s">
        <v>766</v>
      </c>
      <c r="F85" s="5">
        <v>34800</v>
      </c>
      <c r="G85" t="s">
        <v>781</v>
      </c>
      <c r="H85" s="2">
        <v>45884</v>
      </c>
      <c r="I85" t="s">
        <v>775</v>
      </c>
      <c r="J85" t="str">
        <f>IF(Sales_Data[[#This Row],[Close Date]] &lt;&gt; 0,"Closed", "Open")</f>
        <v>Closed</v>
      </c>
      <c r="K85">
        <f>IF(Sales_Data[[#This Row],[Open/Closed]] = "Closed",Sales_Data[[#This Row],[Close Date]]-Sales_Data[[#This Row],[Created Date]],"")</f>
        <v>66</v>
      </c>
      <c r="L85" s="2">
        <f>EOMONTH(Sales_Data[[#This Row],[Created Date]],0)</f>
        <v>45838</v>
      </c>
      <c r="M85" t="b">
        <f>AND(Sales_Data[[#This Row],[EoM Created]]&gt;=Index!$E$5,Sales_Data[[#This Row],[EoM Created]]&lt;=Index!$E$4)</f>
        <v>1</v>
      </c>
      <c r="N85" t="b" cm="1">
        <f t="array" ref="N85">_xlfn.XLOOKUP(Sales_Data[[#This Row],[Sales Team]],_xlfn.ANCHORARRAY(Dashboard!$B$9),Dashboard!$D$9:$D$10,,0)</f>
        <v>1</v>
      </c>
      <c r="O85" t="b" cm="1">
        <f t="array" ref="O85">_xlfn.XLOOKUP(Sales_Data[[#This Row],[Sales Rep]],_xlfn.ANCHORARRAY(Dashboard!$B$13),Dashboard!$D$13:$D$17,,0)</f>
        <v>1</v>
      </c>
      <c r="P85" t="b" cm="1">
        <f t="array" ref="P85">_xlfn.XLOOKUP(Sales_Data[[#This Row],[Stage]],_xlfn.ANCHORARRAY(Dashboard!$B$20),Dashboard!$D$20:$D$25)</f>
        <v>1</v>
      </c>
      <c r="Q85" t="b" cm="1">
        <f t="array" ref="Q85">_xlfn.XLOOKUP(Sales_Data[[#This Row],[Lead Source]],_xlfn.ANCHORARRAY(Dashboard!$B$28),Dashboard!$D$28:$D$32)</f>
        <v>1</v>
      </c>
      <c r="R85">
        <f>Sales_Data[[#This Row],[Date inc]]*Sales_Data[[#This Row],[Team Inc]]*Sales_Data[[#This Row],[Rep Inc]]*Sales_Data[[#This Row],[Stage Inc]]*Sales_Data[[#This Row],[Source Inc]]</f>
        <v>1</v>
      </c>
    </row>
    <row r="86" spans="1:18" x14ac:dyDescent="0.3">
      <c r="A86" t="s">
        <v>93</v>
      </c>
      <c r="B86" s="2">
        <v>45368</v>
      </c>
      <c r="C86" t="s">
        <v>760</v>
      </c>
      <c r="D86" t="s">
        <v>764</v>
      </c>
      <c r="E86" t="s">
        <v>766</v>
      </c>
      <c r="F86" s="5">
        <v>31900</v>
      </c>
      <c r="G86" t="s">
        <v>781</v>
      </c>
      <c r="H86" s="2">
        <v>45441</v>
      </c>
      <c r="I86" t="s">
        <v>775</v>
      </c>
      <c r="J86" t="str">
        <f>IF(Sales_Data[[#This Row],[Close Date]] &lt;&gt; 0,"Closed", "Open")</f>
        <v>Closed</v>
      </c>
      <c r="K86">
        <f>IF(Sales_Data[[#This Row],[Open/Closed]] = "Closed",Sales_Data[[#This Row],[Close Date]]-Sales_Data[[#This Row],[Created Date]],"")</f>
        <v>73</v>
      </c>
      <c r="L86" s="2">
        <f>EOMONTH(Sales_Data[[#This Row],[Created Date]],0)</f>
        <v>45382</v>
      </c>
      <c r="M86" t="b">
        <f>AND(Sales_Data[[#This Row],[EoM Created]]&gt;=Index!$E$5,Sales_Data[[#This Row],[EoM Created]]&lt;=Index!$E$4)</f>
        <v>1</v>
      </c>
      <c r="N86" t="b" cm="1">
        <f t="array" ref="N86">_xlfn.XLOOKUP(Sales_Data[[#This Row],[Sales Team]],_xlfn.ANCHORARRAY(Dashboard!$B$9),Dashboard!$D$9:$D$10,,0)</f>
        <v>1</v>
      </c>
      <c r="O86" t="b" cm="1">
        <f t="array" ref="O86">_xlfn.XLOOKUP(Sales_Data[[#This Row],[Sales Rep]],_xlfn.ANCHORARRAY(Dashboard!$B$13),Dashboard!$D$13:$D$17,,0)</f>
        <v>1</v>
      </c>
      <c r="P86" t="b" cm="1">
        <f t="array" ref="P86">_xlfn.XLOOKUP(Sales_Data[[#This Row],[Stage]],_xlfn.ANCHORARRAY(Dashboard!$B$20),Dashboard!$D$20:$D$25)</f>
        <v>1</v>
      </c>
      <c r="Q86" t="b" cm="1">
        <f t="array" ref="Q86">_xlfn.XLOOKUP(Sales_Data[[#This Row],[Lead Source]],_xlfn.ANCHORARRAY(Dashboard!$B$28),Dashboard!$D$28:$D$32)</f>
        <v>1</v>
      </c>
      <c r="R86">
        <f>Sales_Data[[#This Row],[Date inc]]*Sales_Data[[#This Row],[Team Inc]]*Sales_Data[[#This Row],[Rep Inc]]*Sales_Data[[#This Row],[Stage Inc]]*Sales_Data[[#This Row],[Source Inc]]</f>
        <v>1</v>
      </c>
    </row>
    <row r="87" spans="1:18" x14ac:dyDescent="0.3">
      <c r="A87" t="s">
        <v>94</v>
      </c>
      <c r="B87" s="2">
        <v>45340</v>
      </c>
      <c r="C87" t="s">
        <v>761</v>
      </c>
      <c r="D87" t="s">
        <v>765</v>
      </c>
      <c r="E87" t="s">
        <v>770</v>
      </c>
      <c r="F87" s="5">
        <v>35000</v>
      </c>
      <c r="G87" t="s">
        <v>781</v>
      </c>
      <c r="H87" s="2">
        <v>45405</v>
      </c>
      <c r="I87" t="s">
        <v>775</v>
      </c>
      <c r="J87" t="str">
        <f>IF(Sales_Data[[#This Row],[Close Date]] &lt;&gt; 0,"Closed", "Open")</f>
        <v>Closed</v>
      </c>
      <c r="K87">
        <f>IF(Sales_Data[[#This Row],[Open/Closed]] = "Closed",Sales_Data[[#This Row],[Close Date]]-Sales_Data[[#This Row],[Created Date]],"")</f>
        <v>65</v>
      </c>
      <c r="L87" s="2">
        <f>EOMONTH(Sales_Data[[#This Row],[Created Date]],0)</f>
        <v>45351</v>
      </c>
      <c r="M87" t="b">
        <f>AND(Sales_Data[[#This Row],[EoM Created]]&gt;=Index!$E$5,Sales_Data[[#This Row],[EoM Created]]&lt;=Index!$E$4)</f>
        <v>1</v>
      </c>
      <c r="N87" t="b" cm="1">
        <f t="array" ref="N87">_xlfn.XLOOKUP(Sales_Data[[#This Row],[Sales Team]],_xlfn.ANCHORARRAY(Dashboard!$B$9),Dashboard!$D$9:$D$10,,0)</f>
        <v>1</v>
      </c>
      <c r="O87" t="b" cm="1">
        <f t="array" ref="O87">_xlfn.XLOOKUP(Sales_Data[[#This Row],[Sales Rep]],_xlfn.ANCHORARRAY(Dashboard!$B$13),Dashboard!$D$13:$D$17,,0)</f>
        <v>1</v>
      </c>
      <c r="P87" t="b" cm="1">
        <f t="array" ref="P87">_xlfn.XLOOKUP(Sales_Data[[#This Row],[Stage]],_xlfn.ANCHORARRAY(Dashboard!$B$20),Dashboard!$D$20:$D$25)</f>
        <v>1</v>
      </c>
      <c r="Q87" t="b" cm="1">
        <f t="array" ref="Q87">_xlfn.XLOOKUP(Sales_Data[[#This Row],[Lead Source]],_xlfn.ANCHORARRAY(Dashboard!$B$28),Dashboard!$D$28:$D$32)</f>
        <v>1</v>
      </c>
      <c r="R87">
        <f>Sales_Data[[#This Row],[Date inc]]*Sales_Data[[#This Row],[Team Inc]]*Sales_Data[[#This Row],[Rep Inc]]*Sales_Data[[#This Row],[Stage Inc]]*Sales_Data[[#This Row],[Source Inc]]</f>
        <v>1</v>
      </c>
    </row>
    <row r="88" spans="1:18" x14ac:dyDescent="0.3">
      <c r="A88" t="s">
        <v>95</v>
      </c>
      <c r="B88" s="2">
        <v>44988</v>
      </c>
      <c r="C88" t="s">
        <v>760</v>
      </c>
      <c r="D88" t="s">
        <v>764</v>
      </c>
      <c r="E88" t="s">
        <v>767</v>
      </c>
      <c r="F88" s="5">
        <v>49200</v>
      </c>
      <c r="G88" t="s">
        <v>781</v>
      </c>
      <c r="H88" s="2">
        <v>45072</v>
      </c>
      <c r="I88" t="s">
        <v>775</v>
      </c>
      <c r="J88" t="str">
        <f>IF(Sales_Data[[#This Row],[Close Date]] &lt;&gt; 0,"Closed", "Open")</f>
        <v>Closed</v>
      </c>
      <c r="K88">
        <f>IF(Sales_Data[[#This Row],[Open/Closed]] = "Closed",Sales_Data[[#This Row],[Close Date]]-Sales_Data[[#This Row],[Created Date]],"")</f>
        <v>84</v>
      </c>
      <c r="L88" s="2">
        <f>EOMONTH(Sales_Data[[#This Row],[Created Date]],0)</f>
        <v>45016</v>
      </c>
      <c r="M88" t="b">
        <f>AND(Sales_Data[[#This Row],[EoM Created]]&gt;=Index!$E$5,Sales_Data[[#This Row],[EoM Created]]&lt;=Index!$E$4)</f>
        <v>0</v>
      </c>
      <c r="N88" t="b" cm="1">
        <f t="array" ref="N88">_xlfn.XLOOKUP(Sales_Data[[#This Row],[Sales Team]],_xlfn.ANCHORARRAY(Dashboard!$B$9),Dashboard!$D$9:$D$10,,0)</f>
        <v>1</v>
      </c>
      <c r="O88" t="b" cm="1">
        <f t="array" ref="O88">_xlfn.XLOOKUP(Sales_Data[[#This Row],[Sales Rep]],_xlfn.ANCHORARRAY(Dashboard!$B$13),Dashboard!$D$13:$D$17,,0)</f>
        <v>1</v>
      </c>
      <c r="P88" t="b" cm="1">
        <f t="array" ref="P88">_xlfn.XLOOKUP(Sales_Data[[#This Row],[Stage]],_xlfn.ANCHORARRAY(Dashboard!$B$20),Dashboard!$D$20:$D$25)</f>
        <v>1</v>
      </c>
      <c r="Q88" t="b" cm="1">
        <f t="array" ref="Q88">_xlfn.XLOOKUP(Sales_Data[[#This Row],[Lead Source]],_xlfn.ANCHORARRAY(Dashboard!$B$28),Dashboard!$D$28:$D$32)</f>
        <v>1</v>
      </c>
      <c r="R88">
        <f>Sales_Data[[#This Row],[Date inc]]*Sales_Data[[#This Row],[Team Inc]]*Sales_Data[[#This Row],[Rep Inc]]*Sales_Data[[#This Row],[Stage Inc]]*Sales_Data[[#This Row],[Source Inc]]</f>
        <v>0</v>
      </c>
    </row>
    <row r="89" spans="1:18" x14ac:dyDescent="0.3">
      <c r="A89" t="s">
        <v>96</v>
      </c>
      <c r="B89" s="2">
        <v>45254</v>
      </c>
      <c r="C89" t="s">
        <v>761</v>
      </c>
      <c r="D89" t="s">
        <v>765</v>
      </c>
      <c r="E89" t="s">
        <v>769</v>
      </c>
      <c r="F89" s="5">
        <v>43300</v>
      </c>
      <c r="G89" t="s">
        <v>781</v>
      </c>
      <c r="H89" s="2">
        <v>45333</v>
      </c>
      <c r="I89" t="s">
        <v>779</v>
      </c>
      <c r="J89" t="str">
        <f>IF(Sales_Data[[#This Row],[Close Date]] &lt;&gt; 0,"Closed", "Open")</f>
        <v>Closed</v>
      </c>
      <c r="K89">
        <f>IF(Sales_Data[[#This Row],[Open/Closed]] = "Closed",Sales_Data[[#This Row],[Close Date]]-Sales_Data[[#This Row],[Created Date]],"")</f>
        <v>79</v>
      </c>
      <c r="L89" s="2">
        <f>EOMONTH(Sales_Data[[#This Row],[Created Date]],0)</f>
        <v>45260</v>
      </c>
      <c r="M89" t="b">
        <f>AND(Sales_Data[[#This Row],[EoM Created]]&gt;=Index!$E$5,Sales_Data[[#This Row],[EoM Created]]&lt;=Index!$E$4)</f>
        <v>1</v>
      </c>
      <c r="N89" t="b" cm="1">
        <f t="array" ref="N89">_xlfn.XLOOKUP(Sales_Data[[#This Row],[Sales Team]],_xlfn.ANCHORARRAY(Dashboard!$B$9),Dashboard!$D$9:$D$10,,0)</f>
        <v>1</v>
      </c>
      <c r="O89" t="b" cm="1">
        <f t="array" ref="O89">_xlfn.XLOOKUP(Sales_Data[[#This Row],[Sales Rep]],_xlfn.ANCHORARRAY(Dashboard!$B$13),Dashboard!$D$13:$D$17,,0)</f>
        <v>1</v>
      </c>
      <c r="P89" t="b" cm="1">
        <f t="array" ref="P89">_xlfn.XLOOKUP(Sales_Data[[#This Row],[Stage]],_xlfn.ANCHORARRAY(Dashboard!$B$20),Dashboard!$D$20:$D$25)</f>
        <v>1</v>
      </c>
      <c r="Q89" t="b" cm="1">
        <f t="array" ref="Q89">_xlfn.XLOOKUP(Sales_Data[[#This Row],[Lead Source]],_xlfn.ANCHORARRAY(Dashboard!$B$28),Dashboard!$D$28:$D$32)</f>
        <v>1</v>
      </c>
      <c r="R89">
        <f>Sales_Data[[#This Row],[Date inc]]*Sales_Data[[#This Row],[Team Inc]]*Sales_Data[[#This Row],[Rep Inc]]*Sales_Data[[#This Row],[Stage Inc]]*Sales_Data[[#This Row],[Source Inc]]</f>
        <v>1</v>
      </c>
    </row>
    <row r="90" spans="1:18" x14ac:dyDescent="0.3">
      <c r="A90" t="s">
        <v>97</v>
      </c>
      <c r="B90" s="2">
        <v>44977</v>
      </c>
      <c r="C90" t="s">
        <v>762</v>
      </c>
      <c r="D90" t="s">
        <v>764</v>
      </c>
      <c r="E90" t="s">
        <v>766</v>
      </c>
      <c r="F90" s="5">
        <v>34700</v>
      </c>
      <c r="G90" t="s">
        <v>781</v>
      </c>
      <c r="H90" s="2">
        <v>45039</v>
      </c>
      <c r="I90" t="s">
        <v>776</v>
      </c>
      <c r="J90" t="str">
        <f>IF(Sales_Data[[#This Row],[Close Date]] &lt;&gt; 0,"Closed", "Open")</f>
        <v>Closed</v>
      </c>
      <c r="K90">
        <f>IF(Sales_Data[[#This Row],[Open/Closed]] = "Closed",Sales_Data[[#This Row],[Close Date]]-Sales_Data[[#This Row],[Created Date]],"")</f>
        <v>62</v>
      </c>
      <c r="L90" s="2">
        <f>EOMONTH(Sales_Data[[#This Row],[Created Date]],0)</f>
        <v>44985</v>
      </c>
      <c r="M90" t="b">
        <f>AND(Sales_Data[[#This Row],[EoM Created]]&gt;=Index!$E$5,Sales_Data[[#This Row],[EoM Created]]&lt;=Index!$E$4)</f>
        <v>0</v>
      </c>
      <c r="N90" t="b" cm="1">
        <f t="array" ref="N90">_xlfn.XLOOKUP(Sales_Data[[#This Row],[Sales Team]],_xlfn.ANCHORARRAY(Dashboard!$B$9),Dashboard!$D$9:$D$10,,0)</f>
        <v>1</v>
      </c>
      <c r="O90" t="b" cm="1">
        <f t="array" ref="O90">_xlfn.XLOOKUP(Sales_Data[[#This Row],[Sales Rep]],_xlfn.ANCHORARRAY(Dashboard!$B$13),Dashboard!$D$13:$D$17,,0)</f>
        <v>1</v>
      </c>
      <c r="P90" t="b" cm="1">
        <f t="array" ref="P90">_xlfn.XLOOKUP(Sales_Data[[#This Row],[Stage]],_xlfn.ANCHORARRAY(Dashboard!$B$20),Dashboard!$D$20:$D$25)</f>
        <v>1</v>
      </c>
      <c r="Q90" t="b" cm="1">
        <f t="array" ref="Q90">_xlfn.XLOOKUP(Sales_Data[[#This Row],[Lead Source]],_xlfn.ANCHORARRAY(Dashboard!$B$28),Dashboard!$D$28:$D$32)</f>
        <v>1</v>
      </c>
      <c r="R90">
        <f>Sales_Data[[#This Row],[Date inc]]*Sales_Data[[#This Row],[Team Inc]]*Sales_Data[[#This Row],[Rep Inc]]*Sales_Data[[#This Row],[Stage Inc]]*Sales_Data[[#This Row],[Source Inc]]</f>
        <v>0</v>
      </c>
    </row>
    <row r="91" spans="1:18" x14ac:dyDescent="0.3">
      <c r="A91" t="s">
        <v>98</v>
      </c>
      <c r="B91" s="2">
        <v>45174</v>
      </c>
      <c r="C91" t="s">
        <v>759</v>
      </c>
      <c r="D91" t="s">
        <v>764</v>
      </c>
      <c r="E91" t="s">
        <v>766</v>
      </c>
      <c r="F91" s="5">
        <v>45100</v>
      </c>
      <c r="G91" t="s">
        <v>781</v>
      </c>
      <c r="H91" s="2">
        <v>45251</v>
      </c>
      <c r="I91" t="s">
        <v>775</v>
      </c>
      <c r="J91" t="str">
        <f>IF(Sales_Data[[#This Row],[Close Date]] &lt;&gt; 0,"Closed", "Open")</f>
        <v>Closed</v>
      </c>
      <c r="K91">
        <f>IF(Sales_Data[[#This Row],[Open/Closed]] = "Closed",Sales_Data[[#This Row],[Close Date]]-Sales_Data[[#This Row],[Created Date]],"")</f>
        <v>77</v>
      </c>
      <c r="L91" s="2">
        <f>EOMONTH(Sales_Data[[#This Row],[Created Date]],0)</f>
        <v>45199</v>
      </c>
      <c r="M91" t="b">
        <f>AND(Sales_Data[[#This Row],[EoM Created]]&gt;=Index!$E$5,Sales_Data[[#This Row],[EoM Created]]&lt;=Index!$E$4)</f>
        <v>1</v>
      </c>
      <c r="N91" t="b" cm="1">
        <f t="array" ref="N91">_xlfn.XLOOKUP(Sales_Data[[#This Row],[Sales Team]],_xlfn.ANCHORARRAY(Dashboard!$B$9),Dashboard!$D$9:$D$10,,0)</f>
        <v>1</v>
      </c>
      <c r="O91" t="b" cm="1">
        <f t="array" ref="O91">_xlfn.XLOOKUP(Sales_Data[[#This Row],[Sales Rep]],_xlfn.ANCHORARRAY(Dashboard!$B$13),Dashboard!$D$13:$D$17,,0)</f>
        <v>1</v>
      </c>
      <c r="P91" t="b" cm="1">
        <f t="array" ref="P91">_xlfn.XLOOKUP(Sales_Data[[#This Row],[Stage]],_xlfn.ANCHORARRAY(Dashboard!$B$20),Dashboard!$D$20:$D$25)</f>
        <v>1</v>
      </c>
      <c r="Q91" t="b" cm="1">
        <f t="array" ref="Q91">_xlfn.XLOOKUP(Sales_Data[[#This Row],[Lead Source]],_xlfn.ANCHORARRAY(Dashboard!$B$28),Dashboard!$D$28:$D$32)</f>
        <v>1</v>
      </c>
      <c r="R91">
        <f>Sales_Data[[#This Row],[Date inc]]*Sales_Data[[#This Row],[Team Inc]]*Sales_Data[[#This Row],[Rep Inc]]*Sales_Data[[#This Row],[Stage Inc]]*Sales_Data[[#This Row],[Source Inc]]</f>
        <v>1</v>
      </c>
    </row>
    <row r="92" spans="1:18" x14ac:dyDescent="0.3">
      <c r="A92" t="s">
        <v>99</v>
      </c>
      <c r="B92" s="2">
        <v>45024</v>
      </c>
      <c r="C92" t="s">
        <v>761</v>
      </c>
      <c r="D92" t="s">
        <v>765</v>
      </c>
      <c r="E92" t="s">
        <v>769</v>
      </c>
      <c r="F92" s="5">
        <v>41000</v>
      </c>
      <c r="G92" t="s">
        <v>781</v>
      </c>
      <c r="H92" s="2">
        <v>45087</v>
      </c>
      <c r="I92" t="s">
        <v>775</v>
      </c>
      <c r="J92" t="str">
        <f>IF(Sales_Data[[#This Row],[Close Date]] &lt;&gt; 0,"Closed", "Open")</f>
        <v>Closed</v>
      </c>
      <c r="K92">
        <f>IF(Sales_Data[[#This Row],[Open/Closed]] = "Closed",Sales_Data[[#This Row],[Close Date]]-Sales_Data[[#This Row],[Created Date]],"")</f>
        <v>63</v>
      </c>
      <c r="L92" s="2">
        <f>EOMONTH(Sales_Data[[#This Row],[Created Date]],0)</f>
        <v>45046</v>
      </c>
      <c r="M92" t="b">
        <f>AND(Sales_Data[[#This Row],[EoM Created]]&gt;=Index!$E$5,Sales_Data[[#This Row],[EoM Created]]&lt;=Index!$E$4)</f>
        <v>0</v>
      </c>
      <c r="N92" t="b" cm="1">
        <f t="array" ref="N92">_xlfn.XLOOKUP(Sales_Data[[#This Row],[Sales Team]],_xlfn.ANCHORARRAY(Dashboard!$B$9),Dashboard!$D$9:$D$10,,0)</f>
        <v>1</v>
      </c>
      <c r="O92" t="b" cm="1">
        <f t="array" ref="O92">_xlfn.XLOOKUP(Sales_Data[[#This Row],[Sales Rep]],_xlfn.ANCHORARRAY(Dashboard!$B$13),Dashboard!$D$13:$D$17,,0)</f>
        <v>1</v>
      </c>
      <c r="P92" t="b" cm="1">
        <f t="array" ref="P92">_xlfn.XLOOKUP(Sales_Data[[#This Row],[Stage]],_xlfn.ANCHORARRAY(Dashboard!$B$20),Dashboard!$D$20:$D$25)</f>
        <v>1</v>
      </c>
      <c r="Q92" t="b" cm="1">
        <f t="array" ref="Q92">_xlfn.XLOOKUP(Sales_Data[[#This Row],[Lead Source]],_xlfn.ANCHORARRAY(Dashboard!$B$28),Dashboard!$D$28:$D$32)</f>
        <v>1</v>
      </c>
      <c r="R92">
        <f>Sales_Data[[#This Row],[Date inc]]*Sales_Data[[#This Row],[Team Inc]]*Sales_Data[[#This Row],[Rep Inc]]*Sales_Data[[#This Row],[Stage Inc]]*Sales_Data[[#This Row],[Source Inc]]</f>
        <v>0</v>
      </c>
    </row>
    <row r="93" spans="1:18" x14ac:dyDescent="0.3">
      <c r="A93" t="s">
        <v>100</v>
      </c>
      <c r="B93" s="2">
        <v>45053</v>
      </c>
      <c r="C93" t="s">
        <v>760</v>
      </c>
      <c r="D93" t="s">
        <v>764</v>
      </c>
      <c r="E93" t="s">
        <v>767</v>
      </c>
      <c r="F93" s="5">
        <v>49700</v>
      </c>
      <c r="G93" t="s">
        <v>781</v>
      </c>
      <c r="H93" s="2">
        <v>45134</v>
      </c>
      <c r="I93" t="s">
        <v>779</v>
      </c>
      <c r="J93" t="str">
        <f>IF(Sales_Data[[#This Row],[Close Date]] &lt;&gt; 0,"Closed", "Open")</f>
        <v>Closed</v>
      </c>
      <c r="K93">
        <f>IF(Sales_Data[[#This Row],[Open/Closed]] = "Closed",Sales_Data[[#This Row],[Close Date]]-Sales_Data[[#This Row],[Created Date]],"")</f>
        <v>81</v>
      </c>
      <c r="L93" s="2">
        <f>EOMONTH(Sales_Data[[#This Row],[Created Date]],0)</f>
        <v>45077</v>
      </c>
      <c r="M93" t="b">
        <f>AND(Sales_Data[[#This Row],[EoM Created]]&gt;=Index!$E$5,Sales_Data[[#This Row],[EoM Created]]&lt;=Index!$E$4)</f>
        <v>0</v>
      </c>
      <c r="N93" t="b" cm="1">
        <f t="array" ref="N93">_xlfn.XLOOKUP(Sales_Data[[#This Row],[Sales Team]],_xlfn.ANCHORARRAY(Dashboard!$B$9),Dashboard!$D$9:$D$10,,0)</f>
        <v>1</v>
      </c>
      <c r="O93" t="b" cm="1">
        <f t="array" ref="O93">_xlfn.XLOOKUP(Sales_Data[[#This Row],[Sales Rep]],_xlfn.ANCHORARRAY(Dashboard!$B$13),Dashboard!$D$13:$D$17,,0)</f>
        <v>1</v>
      </c>
      <c r="P93" t="b" cm="1">
        <f t="array" ref="P93">_xlfn.XLOOKUP(Sales_Data[[#This Row],[Stage]],_xlfn.ANCHORARRAY(Dashboard!$B$20),Dashboard!$D$20:$D$25)</f>
        <v>1</v>
      </c>
      <c r="Q93" t="b" cm="1">
        <f t="array" ref="Q93">_xlfn.XLOOKUP(Sales_Data[[#This Row],[Lead Source]],_xlfn.ANCHORARRAY(Dashboard!$B$28),Dashboard!$D$28:$D$32)</f>
        <v>1</v>
      </c>
      <c r="R93">
        <f>Sales_Data[[#This Row],[Date inc]]*Sales_Data[[#This Row],[Team Inc]]*Sales_Data[[#This Row],[Rep Inc]]*Sales_Data[[#This Row],[Stage Inc]]*Sales_Data[[#This Row],[Source Inc]]</f>
        <v>0</v>
      </c>
    </row>
    <row r="94" spans="1:18" x14ac:dyDescent="0.3">
      <c r="A94" t="s">
        <v>101</v>
      </c>
      <c r="B94" s="2">
        <v>45814</v>
      </c>
      <c r="C94" t="s">
        <v>760</v>
      </c>
      <c r="D94" t="s">
        <v>764</v>
      </c>
      <c r="E94" t="s">
        <v>766</v>
      </c>
      <c r="F94" s="5">
        <v>33000</v>
      </c>
      <c r="G94" t="s">
        <v>773</v>
      </c>
      <c r="H94" s="2"/>
      <c r="J94" t="str">
        <f>IF(Sales_Data[[#This Row],[Close Date]] &lt;&gt; 0,"Closed", "Open")</f>
        <v>Open</v>
      </c>
      <c r="K94" t="str">
        <f>IF(Sales_Data[[#This Row],[Open/Closed]] = "Closed",Sales_Data[[#This Row],[Close Date]]-Sales_Data[[#This Row],[Created Date]],"")</f>
        <v/>
      </c>
      <c r="L94" s="2">
        <f>EOMONTH(Sales_Data[[#This Row],[Created Date]],0)</f>
        <v>45838</v>
      </c>
      <c r="M94" t="b">
        <f>AND(Sales_Data[[#This Row],[EoM Created]]&gt;=Index!$E$5,Sales_Data[[#This Row],[EoM Created]]&lt;=Index!$E$4)</f>
        <v>1</v>
      </c>
      <c r="N94" t="b" cm="1">
        <f t="array" ref="N94">_xlfn.XLOOKUP(Sales_Data[[#This Row],[Sales Team]],_xlfn.ANCHORARRAY(Dashboard!$B$9),Dashboard!$D$9:$D$10,,0)</f>
        <v>1</v>
      </c>
      <c r="O94" t="b" cm="1">
        <f t="array" ref="O94">_xlfn.XLOOKUP(Sales_Data[[#This Row],[Sales Rep]],_xlfn.ANCHORARRAY(Dashboard!$B$13),Dashboard!$D$13:$D$17,,0)</f>
        <v>1</v>
      </c>
      <c r="P94" t="b" cm="1">
        <f t="array" ref="P94">_xlfn.XLOOKUP(Sales_Data[[#This Row],[Stage]],_xlfn.ANCHORARRAY(Dashboard!$B$20),Dashboard!$D$20:$D$25)</f>
        <v>1</v>
      </c>
      <c r="Q94" t="b" cm="1">
        <f t="array" ref="Q94">_xlfn.XLOOKUP(Sales_Data[[#This Row],[Lead Source]],_xlfn.ANCHORARRAY(Dashboard!$B$28),Dashboard!$D$28:$D$32)</f>
        <v>1</v>
      </c>
      <c r="R94">
        <f>Sales_Data[[#This Row],[Date inc]]*Sales_Data[[#This Row],[Team Inc]]*Sales_Data[[#This Row],[Rep Inc]]*Sales_Data[[#This Row],[Stage Inc]]*Sales_Data[[#This Row],[Source Inc]]</f>
        <v>1</v>
      </c>
    </row>
    <row r="95" spans="1:18" x14ac:dyDescent="0.3">
      <c r="A95" t="s">
        <v>102</v>
      </c>
      <c r="B95" s="2">
        <v>45125</v>
      </c>
      <c r="C95" t="s">
        <v>761</v>
      </c>
      <c r="D95" t="s">
        <v>765</v>
      </c>
      <c r="E95" t="s">
        <v>769</v>
      </c>
      <c r="F95" s="5">
        <v>36700</v>
      </c>
      <c r="G95" t="s">
        <v>781</v>
      </c>
      <c r="H95" s="2">
        <v>45215</v>
      </c>
      <c r="I95" t="s">
        <v>776</v>
      </c>
      <c r="J95" t="str">
        <f>IF(Sales_Data[[#This Row],[Close Date]] &lt;&gt; 0,"Closed", "Open")</f>
        <v>Closed</v>
      </c>
      <c r="K95">
        <f>IF(Sales_Data[[#This Row],[Open/Closed]] = "Closed",Sales_Data[[#This Row],[Close Date]]-Sales_Data[[#This Row],[Created Date]],"")</f>
        <v>90</v>
      </c>
      <c r="L95" s="2">
        <f>EOMONTH(Sales_Data[[#This Row],[Created Date]],0)</f>
        <v>45138</v>
      </c>
      <c r="M95" t="b">
        <f>AND(Sales_Data[[#This Row],[EoM Created]]&gt;=Index!$E$5,Sales_Data[[#This Row],[EoM Created]]&lt;=Index!$E$4)</f>
        <v>1</v>
      </c>
      <c r="N95" t="b" cm="1">
        <f t="array" ref="N95">_xlfn.XLOOKUP(Sales_Data[[#This Row],[Sales Team]],_xlfn.ANCHORARRAY(Dashboard!$B$9),Dashboard!$D$9:$D$10,,0)</f>
        <v>1</v>
      </c>
      <c r="O95" t="b" cm="1">
        <f t="array" ref="O95">_xlfn.XLOOKUP(Sales_Data[[#This Row],[Sales Rep]],_xlfn.ANCHORARRAY(Dashboard!$B$13),Dashboard!$D$13:$D$17,,0)</f>
        <v>1</v>
      </c>
      <c r="P95" t="b" cm="1">
        <f t="array" ref="P95">_xlfn.XLOOKUP(Sales_Data[[#This Row],[Stage]],_xlfn.ANCHORARRAY(Dashboard!$B$20),Dashboard!$D$20:$D$25)</f>
        <v>1</v>
      </c>
      <c r="Q95" t="b" cm="1">
        <f t="array" ref="Q95">_xlfn.XLOOKUP(Sales_Data[[#This Row],[Lead Source]],_xlfn.ANCHORARRAY(Dashboard!$B$28),Dashboard!$D$28:$D$32)</f>
        <v>1</v>
      </c>
      <c r="R95">
        <f>Sales_Data[[#This Row],[Date inc]]*Sales_Data[[#This Row],[Team Inc]]*Sales_Data[[#This Row],[Rep Inc]]*Sales_Data[[#This Row],[Stage Inc]]*Sales_Data[[#This Row],[Source Inc]]</f>
        <v>1</v>
      </c>
    </row>
    <row r="96" spans="1:18" x14ac:dyDescent="0.3">
      <c r="A96" t="s">
        <v>103</v>
      </c>
      <c r="B96" s="2">
        <v>45353</v>
      </c>
      <c r="C96" t="s">
        <v>762</v>
      </c>
      <c r="D96" t="s">
        <v>764</v>
      </c>
      <c r="E96" t="s">
        <v>767</v>
      </c>
      <c r="F96" s="5">
        <v>36100</v>
      </c>
      <c r="G96" t="s">
        <v>781</v>
      </c>
      <c r="H96" s="2">
        <v>45443</v>
      </c>
      <c r="I96" t="s">
        <v>778</v>
      </c>
      <c r="J96" t="str">
        <f>IF(Sales_Data[[#This Row],[Close Date]] &lt;&gt; 0,"Closed", "Open")</f>
        <v>Closed</v>
      </c>
      <c r="K96">
        <f>IF(Sales_Data[[#This Row],[Open/Closed]] = "Closed",Sales_Data[[#This Row],[Close Date]]-Sales_Data[[#This Row],[Created Date]],"")</f>
        <v>90</v>
      </c>
      <c r="L96" s="2">
        <f>EOMONTH(Sales_Data[[#This Row],[Created Date]],0)</f>
        <v>45382</v>
      </c>
      <c r="M96" t="b">
        <f>AND(Sales_Data[[#This Row],[EoM Created]]&gt;=Index!$E$5,Sales_Data[[#This Row],[EoM Created]]&lt;=Index!$E$4)</f>
        <v>1</v>
      </c>
      <c r="N96" t="b" cm="1">
        <f t="array" ref="N96">_xlfn.XLOOKUP(Sales_Data[[#This Row],[Sales Team]],_xlfn.ANCHORARRAY(Dashboard!$B$9),Dashboard!$D$9:$D$10,,0)</f>
        <v>1</v>
      </c>
      <c r="O96" t="b" cm="1">
        <f t="array" ref="O96">_xlfn.XLOOKUP(Sales_Data[[#This Row],[Sales Rep]],_xlfn.ANCHORARRAY(Dashboard!$B$13),Dashboard!$D$13:$D$17,,0)</f>
        <v>1</v>
      </c>
      <c r="P96" t="b" cm="1">
        <f t="array" ref="P96">_xlfn.XLOOKUP(Sales_Data[[#This Row],[Stage]],_xlfn.ANCHORARRAY(Dashboard!$B$20),Dashboard!$D$20:$D$25)</f>
        <v>1</v>
      </c>
      <c r="Q96" t="b" cm="1">
        <f t="array" ref="Q96">_xlfn.XLOOKUP(Sales_Data[[#This Row],[Lead Source]],_xlfn.ANCHORARRAY(Dashboard!$B$28),Dashboard!$D$28:$D$32)</f>
        <v>1</v>
      </c>
      <c r="R96">
        <f>Sales_Data[[#This Row],[Date inc]]*Sales_Data[[#This Row],[Team Inc]]*Sales_Data[[#This Row],[Rep Inc]]*Sales_Data[[#This Row],[Stage Inc]]*Sales_Data[[#This Row],[Source Inc]]</f>
        <v>1</v>
      </c>
    </row>
    <row r="97" spans="1:18" x14ac:dyDescent="0.3">
      <c r="A97" t="s">
        <v>104</v>
      </c>
      <c r="B97" s="2">
        <v>45191</v>
      </c>
      <c r="C97" t="s">
        <v>761</v>
      </c>
      <c r="D97" t="s">
        <v>765</v>
      </c>
      <c r="E97" t="s">
        <v>768</v>
      </c>
      <c r="F97" s="5">
        <v>25400</v>
      </c>
      <c r="G97" t="s">
        <v>781</v>
      </c>
      <c r="H97" s="2">
        <v>45252</v>
      </c>
      <c r="I97" t="s">
        <v>777</v>
      </c>
      <c r="J97" t="str">
        <f>IF(Sales_Data[[#This Row],[Close Date]] &lt;&gt; 0,"Closed", "Open")</f>
        <v>Closed</v>
      </c>
      <c r="K97">
        <f>IF(Sales_Data[[#This Row],[Open/Closed]] = "Closed",Sales_Data[[#This Row],[Close Date]]-Sales_Data[[#This Row],[Created Date]],"")</f>
        <v>61</v>
      </c>
      <c r="L97" s="2">
        <f>EOMONTH(Sales_Data[[#This Row],[Created Date]],0)</f>
        <v>45199</v>
      </c>
      <c r="M97" t="b">
        <f>AND(Sales_Data[[#This Row],[EoM Created]]&gt;=Index!$E$5,Sales_Data[[#This Row],[EoM Created]]&lt;=Index!$E$4)</f>
        <v>1</v>
      </c>
      <c r="N97" t="b" cm="1">
        <f t="array" ref="N97">_xlfn.XLOOKUP(Sales_Data[[#This Row],[Sales Team]],_xlfn.ANCHORARRAY(Dashboard!$B$9),Dashboard!$D$9:$D$10,,0)</f>
        <v>1</v>
      </c>
      <c r="O97" t="b" cm="1">
        <f t="array" ref="O97">_xlfn.XLOOKUP(Sales_Data[[#This Row],[Sales Rep]],_xlfn.ANCHORARRAY(Dashboard!$B$13),Dashboard!$D$13:$D$17,,0)</f>
        <v>1</v>
      </c>
      <c r="P97" t="b" cm="1">
        <f t="array" ref="P97">_xlfn.XLOOKUP(Sales_Data[[#This Row],[Stage]],_xlfn.ANCHORARRAY(Dashboard!$B$20),Dashboard!$D$20:$D$25)</f>
        <v>1</v>
      </c>
      <c r="Q97" t="b" cm="1">
        <f t="array" ref="Q97">_xlfn.XLOOKUP(Sales_Data[[#This Row],[Lead Source]],_xlfn.ANCHORARRAY(Dashboard!$B$28),Dashboard!$D$28:$D$32)</f>
        <v>1</v>
      </c>
      <c r="R97">
        <f>Sales_Data[[#This Row],[Date inc]]*Sales_Data[[#This Row],[Team Inc]]*Sales_Data[[#This Row],[Rep Inc]]*Sales_Data[[#This Row],[Stage Inc]]*Sales_Data[[#This Row],[Source Inc]]</f>
        <v>1</v>
      </c>
    </row>
    <row r="98" spans="1:18" x14ac:dyDescent="0.3">
      <c r="A98" t="s">
        <v>105</v>
      </c>
      <c r="B98" s="2">
        <v>45141</v>
      </c>
      <c r="C98" t="s">
        <v>761</v>
      </c>
      <c r="D98" t="s">
        <v>765</v>
      </c>
      <c r="E98" t="s">
        <v>769</v>
      </c>
      <c r="F98" s="5">
        <v>43000</v>
      </c>
      <c r="G98" t="s">
        <v>781</v>
      </c>
      <c r="H98" s="2">
        <v>45222</v>
      </c>
      <c r="I98" t="s">
        <v>775</v>
      </c>
      <c r="J98" t="str">
        <f>IF(Sales_Data[[#This Row],[Close Date]] &lt;&gt; 0,"Closed", "Open")</f>
        <v>Closed</v>
      </c>
      <c r="K98">
        <f>IF(Sales_Data[[#This Row],[Open/Closed]] = "Closed",Sales_Data[[#This Row],[Close Date]]-Sales_Data[[#This Row],[Created Date]],"")</f>
        <v>81</v>
      </c>
      <c r="L98" s="2">
        <f>EOMONTH(Sales_Data[[#This Row],[Created Date]],0)</f>
        <v>45169</v>
      </c>
      <c r="M98" t="b">
        <f>AND(Sales_Data[[#This Row],[EoM Created]]&gt;=Index!$E$5,Sales_Data[[#This Row],[EoM Created]]&lt;=Index!$E$4)</f>
        <v>1</v>
      </c>
      <c r="N98" t="b" cm="1">
        <f t="array" ref="N98">_xlfn.XLOOKUP(Sales_Data[[#This Row],[Sales Team]],_xlfn.ANCHORARRAY(Dashboard!$B$9),Dashboard!$D$9:$D$10,,0)</f>
        <v>1</v>
      </c>
      <c r="O98" t="b" cm="1">
        <f t="array" ref="O98">_xlfn.XLOOKUP(Sales_Data[[#This Row],[Sales Rep]],_xlfn.ANCHORARRAY(Dashboard!$B$13),Dashboard!$D$13:$D$17,,0)</f>
        <v>1</v>
      </c>
      <c r="P98" t="b" cm="1">
        <f t="array" ref="P98">_xlfn.XLOOKUP(Sales_Data[[#This Row],[Stage]],_xlfn.ANCHORARRAY(Dashboard!$B$20),Dashboard!$D$20:$D$25)</f>
        <v>1</v>
      </c>
      <c r="Q98" t="b" cm="1">
        <f t="array" ref="Q98">_xlfn.XLOOKUP(Sales_Data[[#This Row],[Lead Source]],_xlfn.ANCHORARRAY(Dashboard!$B$28),Dashboard!$D$28:$D$32)</f>
        <v>1</v>
      </c>
      <c r="R98">
        <f>Sales_Data[[#This Row],[Date inc]]*Sales_Data[[#This Row],[Team Inc]]*Sales_Data[[#This Row],[Rep Inc]]*Sales_Data[[#This Row],[Stage Inc]]*Sales_Data[[#This Row],[Source Inc]]</f>
        <v>1</v>
      </c>
    </row>
    <row r="99" spans="1:18" x14ac:dyDescent="0.3">
      <c r="A99" t="s">
        <v>106</v>
      </c>
      <c r="B99" s="2">
        <v>45265</v>
      </c>
      <c r="C99" t="s">
        <v>761</v>
      </c>
      <c r="D99" t="s">
        <v>765</v>
      </c>
      <c r="E99" t="s">
        <v>768</v>
      </c>
      <c r="F99" s="5">
        <v>42600</v>
      </c>
      <c r="G99" t="s">
        <v>781</v>
      </c>
      <c r="H99" s="2">
        <v>45333</v>
      </c>
      <c r="I99" t="s">
        <v>777</v>
      </c>
      <c r="J99" t="str">
        <f>IF(Sales_Data[[#This Row],[Close Date]] &lt;&gt; 0,"Closed", "Open")</f>
        <v>Closed</v>
      </c>
      <c r="K99">
        <f>IF(Sales_Data[[#This Row],[Open/Closed]] = "Closed",Sales_Data[[#This Row],[Close Date]]-Sales_Data[[#This Row],[Created Date]],"")</f>
        <v>68</v>
      </c>
      <c r="L99" s="2">
        <f>EOMONTH(Sales_Data[[#This Row],[Created Date]],0)</f>
        <v>45291</v>
      </c>
      <c r="M99" t="b">
        <f>AND(Sales_Data[[#This Row],[EoM Created]]&gt;=Index!$E$5,Sales_Data[[#This Row],[EoM Created]]&lt;=Index!$E$4)</f>
        <v>1</v>
      </c>
      <c r="N99" t="b" cm="1">
        <f t="array" ref="N99">_xlfn.XLOOKUP(Sales_Data[[#This Row],[Sales Team]],_xlfn.ANCHORARRAY(Dashboard!$B$9),Dashboard!$D$9:$D$10,,0)</f>
        <v>1</v>
      </c>
      <c r="O99" t="b" cm="1">
        <f t="array" ref="O99">_xlfn.XLOOKUP(Sales_Data[[#This Row],[Sales Rep]],_xlfn.ANCHORARRAY(Dashboard!$B$13),Dashboard!$D$13:$D$17,,0)</f>
        <v>1</v>
      </c>
      <c r="P99" t="b" cm="1">
        <f t="array" ref="P99">_xlfn.XLOOKUP(Sales_Data[[#This Row],[Stage]],_xlfn.ANCHORARRAY(Dashboard!$B$20),Dashboard!$D$20:$D$25)</f>
        <v>1</v>
      </c>
      <c r="Q99" t="b" cm="1">
        <f t="array" ref="Q99">_xlfn.XLOOKUP(Sales_Data[[#This Row],[Lead Source]],_xlfn.ANCHORARRAY(Dashboard!$B$28),Dashboard!$D$28:$D$32)</f>
        <v>1</v>
      </c>
      <c r="R99">
        <f>Sales_Data[[#This Row],[Date inc]]*Sales_Data[[#This Row],[Team Inc]]*Sales_Data[[#This Row],[Rep Inc]]*Sales_Data[[#This Row],[Stage Inc]]*Sales_Data[[#This Row],[Source Inc]]</f>
        <v>1</v>
      </c>
    </row>
    <row r="100" spans="1:18" x14ac:dyDescent="0.3">
      <c r="A100" t="s">
        <v>107</v>
      </c>
      <c r="B100" s="2">
        <v>45585</v>
      </c>
      <c r="C100" t="s">
        <v>763</v>
      </c>
      <c r="D100" t="s">
        <v>765</v>
      </c>
      <c r="E100" t="s">
        <v>770</v>
      </c>
      <c r="F100" s="5">
        <v>40100</v>
      </c>
      <c r="G100" t="s">
        <v>781</v>
      </c>
      <c r="H100" s="2">
        <v>45657</v>
      </c>
      <c r="I100" t="s">
        <v>776</v>
      </c>
      <c r="J100" t="str">
        <f>IF(Sales_Data[[#This Row],[Close Date]] &lt;&gt; 0,"Closed", "Open")</f>
        <v>Closed</v>
      </c>
      <c r="K100">
        <f>IF(Sales_Data[[#This Row],[Open/Closed]] = "Closed",Sales_Data[[#This Row],[Close Date]]-Sales_Data[[#This Row],[Created Date]],"")</f>
        <v>72</v>
      </c>
      <c r="L100" s="2">
        <f>EOMONTH(Sales_Data[[#This Row],[Created Date]],0)</f>
        <v>45596</v>
      </c>
      <c r="M100" t="b">
        <f>AND(Sales_Data[[#This Row],[EoM Created]]&gt;=Index!$E$5,Sales_Data[[#This Row],[EoM Created]]&lt;=Index!$E$4)</f>
        <v>1</v>
      </c>
      <c r="N100" t="b" cm="1">
        <f t="array" ref="N100">_xlfn.XLOOKUP(Sales_Data[[#This Row],[Sales Team]],_xlfn.ANCHORARRAY(Dashboard!$B$9),Dashboard!$D$9:$D$10,,0)</f>
        <v>1</v>
      </c>
      <c r="O100" t="b" cm="1">
        <f t="array" ref="O100">_xlfn.XLOOKUP(Sales_Data[[#This Row],[Sales Rep]],_xlfn.ANCHORARRAY(Dashboard!$B$13),Dashboard!$D$13:$D$17,,0)</f>
        <v>1</v>
      </c>
      <c r="P100" t="b" cm="1">
        <f t="array" ref="P100">_xlfn.XLOOKUP(Sales_Data[[#This Row],[Stage]],_xlfn.ANCHORARRAY(Dashboard!$B$20),Dashboard!$D$20:$D$25)</f>
        <v>1</v>
      </c>
      <c r="Q100" t="b" cm="1">
        <f t="array" ref="Q100">_xlfn.XLOOKUP(Sales_Data[[#This Row],[Lead Source]],_xlfn.ANCHORARRAY(Dashboard!$B$28),Dashboard!$D$28:$D$32)</f>
        <v>1</v>
      </c>
      <c r="R100">
        <f>Sales_Data[[#This Row],[Date inc]]*Sales_Data[[#This Row],[Team Inc]]*Sales_Data[[#This Row],[Rep Inc]]*Sales_Data[[#This Row],[Stage Inc]]*Sales_Data[[#This Row],[Source Inc]]</f>
        <v>1</v>
      </c>
    </row>
    <row r="101" spans="1:18" x14ac:dyDescent="0.3">
      <c r="A101" t="s">
        <v>108</v>
      </c>
      <c r="B101" s="2">
        <v>45428</v>
      </c>
      <c r="C101" t="s">
        <v>759</v>
      </c>
      <c r="D101" t="s">
        <v>764</v>
      </c>
      <c r="E101" t="s">
        <v>767</v>
      </c>
      <c r="F101" s="5">
        <v>37700</v>
      </c>
      <c r="G101" t="s">
        <v>780</v>
      </c>
      <c r="H101" s="2">
        <v>45501</v>
      </c>
      <c r="J101" t="str">
        <f>IF(Sales_Data[[#This Row],[Close Date]] &lt;&gt; 0,"Closed", "Open")</f>
        <v>Closed</v>
      </c>
      <c r="K101">
        <f>IF(Sales_Data[[#This Row],[Open/Closed]] = "Closed",Sales_Data[[#This Row],[Close Date]]-Sales_Data[[#This Row],[Created Date]],"")</f>
        <v>73</v>
      </c>
      <c r="L101" s="2">
        <f>EOMONTH(Sales_Data[[#This Row],[Created Date]],0)</f>
        <v>45443</v>
      </c>
      <c r="M101" t="b">
        <f>AND(Sales_Data[[#This Row],[EoM Created]]&gt;=Index!$E$5,Sales_Data[[#This Row],[EoM Created]]&lt;=Index!$E$4)</f>
        <v>1</v>
      </c>
      <c r="N101" t="b" cm="1">
        <f t="array" ref="N101">_xlfn.XLOOKUP(Sales_Data[[#This Row],[Sales Team]],_xlfn.ANCHORARRAY(Dashboard!$B$9),Dashboard!$D$9:$D$10,,0)</f>
        <v>1</v>
      </c>
      <c r="O101" t="b" cm="1">
        <f t="array" ref="O101">_xlfn.XLOOKUP(Sales_Data[[#This Row],[Sales Rep]],_xlfn.ANCHORARRAY(Dashboard!$B$13),Dashboard!$D$13:$D$17,,0)</f>
        <v>1</v>
      </c>
      <c r="P101" t="b" cm="1">
        <f t="array" ref="P101">_xlfn.XLOOKUP(Sales_Data[[#This Row],[Stage]],_xlfn.ANCHORARRAY(Dashboard!$B$20),Dashboard!$D$20:$D$25)</f>
        <v>1</v>
      </c>
      <c r="Q101" t="b" cm="1">
        <f t="array" ref="Q101">_xlfn.XLOOKUP(Sales_Data[[#This Row],[Lead Source]],_xlfn.ANCHORARRAY(Dashboard!$B$28),Dashboard!$D$28:$D$32)</f>
        <v>1</v>
      </c>
      <c r="R101">
        <f>Sales_Data[[#This Row],[Date inc]]*Sales_Data[[#This Row],[Team Inc]]*Sales_Data[[#This Row],[Rep Inc]]*Sales_Data[[#This Row],[Stage Inc]]*Sales_Data[[#This Row],[Source Inc]]</f>
        <v>1</v>
      </c>
    </row>
    <row r="102" spans="1:18" x14ac:dyDescent="0.3">
      <c r="A102" t="s">
        <v>109</v>
      </c>
      <c r="B102" s="2">
        <v>45372</v>
      </c>
      <c r="C102" t="s">
        <v>763</v>
      </c>
      <c r="D102" t="s">
        <v>765</v>
      </c>
      <c r="E102" t="s">
        <v>770</v>
      </c>
      <c r="F102" s="5">
        <v>25800</v>
      </c>
      <c r="G102" t="s">
        <v>780</v>
      </c>
      <c r="H102" s="2">
        <v>45438</v>
      </c>
      <c r="J102" t="str">
        <f>IF(Sales_Data[[#This Row],[Close Date]] &lt;&gt; 0,"Closed", "Open")</f>
        <v>Closed</v>
      </c>
      <c r="K102">
        <f>IF(Sales_Data[[#This Row],[Open/Closed]] = "Closed",Sales_Data[[#This Row],[Close Date]]-Sales_Data[[#This Row],[Created Date]],"")</f>
        <v>66</v>
      </c>
      <c r="L102" s="2">
        <f>EOMONTH(Sales_Data[[#This Row],[Created Date]],0)</f>
        <v>45382</v>
      </c>
      <c r="M102" t="b">
        <f>AND(Sales_Data[[#This Row],[EoM Created]]&gt;=Index!$E$5,Sales_Data[[#This Row],[EoM Created]]&lt;=Index!$E$4)</f>
        <v>1</v>
      </c>
      <c r="N102" t="b" cm="1">
        <f t="array" ref="N102">_xlfn.XLOOKUP(Sales_Data[[#This Row],[Sales Team]],_xlfn.ANCHORARRAY(Dashboard!$B$9),Dashboard!$D$9:$D$10,,0)</f>
        <v>1</v>
      </c>
      <c r="O102" t="b" cm="1">
        <f t="array" ref="O102">_xlfn.XLOOKUP(Sales_Data[[#This Row],[Sales Rep]],_xlfn.ANCHORARRAY(Dashboard!$B$13),Dashboard!$D$13:$D$17,,0)</f>
        <v>1</v>
      </c>
      <c r="P102" t="b" cm="1">
        <f t="array" ref="P102">_xlfn.XLOOKUP(Sales_Data[[#This Row],[Stage]],_xlfn.ANCHORARRAY(Dashboard!$B$20),Dashboard!$D$20:$D$25)</f>
        <v>1</v>
      </c>
      <c r="Q102" t="b" cm="1">
        <f t="array" ref="Q102">_xlfn.XLOOKUP(Sales_Data[[#This Row],[Lead Source]],_xlfn.ANCHORARRAY(Dashboard!$B$28),Dashboard!$D$28:$D$32)</f>
        <v>1</v>
      </c>
      <c r="R102">
        <f>Sales_Data[[#This Row],[Date inc]]*Sales_Data[[#This Row],[Team Inc]]*Sales_Data[[#This Row],[Rep Inc]]*Sales_Data[[#This Row],[Stage Inc]]*Sales_Data[[#This Row],[Source Inc]]</f>
        <v>1</v>
      </c>
    </row>
    <row r="103" spans="1:18" x14ac:dyDescent="0.3">
      <c r="A103" t="s">
        <v>110</v>
      </c>
      <c r="B103" s="2">
        <v>45081</v>
      </c>
      <c r="C103" t="s">
        <v>763</v>
      </c>
      <c r="D103" t="s">
        <v>765</v>
      </c>
      <c r="E103" t="s">
        <v>769</v>
      </c>
      <c r="F103" s="5">
        <v>35800</v>
      </c>
      <c r="G103" t="s">
        <v>781</v>
      </c>
      <c r="H103" s="2">
        <v>45150</v>
      </c>
      <c r="I103" t="s">
        <v>776</v>
      </c>
      <c r="J103" t="str">
        <f>IF(Sales_Data[[#This Row],[Close Date]] &lt;&gt; 0,"Closed", "Open")</f>
        <v>Closed</v>
      </c>
      <c r="K103">
        <f>IF(Sales_Data[[#This Row],[Open/Closed]] = "Closed",Sales_Data[[#This Row],[Close Date]]-Sales_Data[[#This Row],[Created Date]],"")</f>
        <v>69</v>
      </c>
      <c r="L103" s="2">
        <f>EOMONTH(Sales_Data[[#This Row],[Created Date]],0)</f>
        <v>45107</v>
      </c>
      <c r="M103" t="b">
        <f>AND(Sales_Data[[#This Row],[EoM Created]]&gt;=Index!$E$5,Sales_Data[[#This Row],[EoM Created]]&lt;=Index!$E$4)</f>
        <v>0</v>
      </c>
      <c r="N103" t="b" cm="1">
        <f t="array" ref="N103">_xlfn.XLOOKUP(Sales_Data[[#This Row],[Sales Team]],_xlfn.ANCHORARRAY(Dashboard!$B$9),Dashboard!$D$9:$D$10,,0)</f>
        <v>1</v>
      </c>
      <c r="O103" t="b" cm="1">
        <f t="array" ref="O103">_xlfn.XLOOKUP(Sales_Data[[#This Row],[Sales Rep]],_xlfn.ANCHORARRAY(Dashboard!$B$13),Dashboard!$D$13:$D$17,,0)</f>
        <v>1</v>
      </c>
      <c r="P103" t="b" cm="1">
        <f t="array" ref="P103">_xlfn.XLOOKUP(Sales_Data[[#This Row],[Stage]],_xlfn.ANCHORARRAY(Dashboard!$B$20),Dashboard!$D$20:$D$25)</f>
        <v>1</v>
      </c>
      <c r="Q103" t="b" cm="1">
        <f t="array" ref="Q103">_xlfn.XLOOKUP(Sales_Data[[#This Row],[Lead Source]],_xlfn.ANCHORARRAY(Dashboard!$B$28),Dashboard!$D$28:$D$32)</f>
        <v>1</v>
      </c>
      <c r="R103">
        <f>Sales_Data[[#This Row],[Date inc]]*Sales_Data[[#This Row],[Team Inc]]*Sales_Data[[#This Row],[Rep Inc]]*Sales_Data[[#This Row],[Stage Inc]]*Sales_Data[[#This Row],[Source Inc]]</f>
        <v>0</v>
      </c>
    </row>
    <row r="104" spans="1:18" x14ac:dyDescent="0.3">
      <c r="A104" t="s">
        <v>111</v>
      </c>
      <c r="B104" s="2">
        <v>45050</v>
      </c>
      <c r="C104" t="s">
        <v>759</v>
      </c>
      <c r="D104" t="s">
        <v>764</v>
      </c>
      <c r="E104" t="s">
        <v>766</v>
      </c>
      <c r="F104" s="5">
        <v>36600</v>
      </c>
      <c r="G104" t="s">
        <v>780</v>
      </c>
      <c r="H104" s="2">
        <v>45120</v>
      </c>
      <c r="J104" t="str">
        <f>IF(Sales_Data[[#This Row],[Close Date]] &lt;&gt; 0,"Closed", "Open")</f>
        <v>Closed</v>
      </c>
      <c r="K104">
        <f>IF(Sales_Data[[#This Row],[Open/Closed]] = "Closed",Sales_Data[[#This Row],[Close Date]]-Sales_Data[[#This Row],[Created Date]],"")</f>
        <v>70</v>
      </c>
      <c r="L104" s="2">
        <f>EOMONTH(Sales_Data[[#This Row],[Created Date]],0)</f>
        <v>45077</v>
      </c>
      <c r="M104" t="b">
        <f>AND(Sales_Data[[#This Row],[EoM Created]]&gt;=Index!$E$5,Sales_Data[[#This Row],[EoM Created]]&lt;=Index!$E$4)</f>
        <v>0</v>
      </c>
      <c r="N104" t="b" cm="1">
        <f t="array" ref="N104">_xlfn.XLOOKUP(Sales_Data[[#This Row],[Sales Team]],_xlfn.ANCHORARRAY(Dashboard!$B$9),Dashboard!$D$9:$D$10,,0)</f>
        <v>1</v>
      </c>
      <c r="O104" t="b" cm="1">
        <f t="array" ref="O104">_xlfn.XLOOKUP(Sales_Data[[#This Row],[Sales Rep]],_xlfn.ANCHORARRAY(Dashboard!$B$13),Dashboard!$D$13:$D$17,,0)</f>
        <v>1</v>
      </c>
      <c r="P104" t="b" cm="1">
        <f t="array" ref="P104">_xlfn.XLOOKUP(Sales_Data[[#This Row],[Stage]],_xlfn.ANCHORARRAY(Dashboard!$B$20),Dashboard!$D$20:$D$25)</f>
        <v>1</v>
      </c>
      <c r="Q104" t="b" cm="1">
        <f t="array" ref="Q104">_xlfn.XLOOKUP(Sales_Data[[#This Row],[Lead Source]],_xlfn.ANCHORARRAY(Dashboard!$B$28),Dashboard!$D$28:$D$32)</f>
        <v>1</v>
      </c>
      <c r="R104">
        <f>Sales_Data[[#This Row],[Date inc]]*Sales_Data[[#This Row],[Team Inc]]*Sales_Data[[#This Row],[Rep Inc]]*Sales_Data[[#This Row],[Stage Inc]]*Sales_Data[[#This Row],[Source Inc]]</f>
        <v>0</v>
      </c>
    </row>
    <row r="105" spans="1:18" x14ac:dyDescent="0.3">
      <c r="A105" t="s">
        <v>112</v>
      </c>
      <c r="B105" s="2">
        <v>45762</v>
      </c>
      <c r="C105" t="s">
        <v>759</v>
      </c>
      <c r="D105" t="s">
        <v>764</v>
      </c>
      <c r="E105" t="s">
        <v>767</v>
      </c>
      <c r="F105" s="5">
        <v>32000</v>
      </c>
      <c r="G105" t="s">
        <v>771</v>
      </c>
      <c r="H105" s="2"/>
      <c r="J105" t="str">
        <f>IF(Sales_Data[[#This Row],[Close Date]] &lt;&gt; 0,"Closed", "Open")</f>
        <v>Open</v>
      </c>
      <c r="K105" t="str">
        <f>IF(Sales_Data[[#This Row],[Open/Closed]] = "Closed",Sales_Data[[#This Row],[Close Date]]-Sales_Data[[#This Row],[Created Date]],"")</f>
        <v/>
      </c>
      <c r="L105" s="2">
        <f>EOMONTH(Sales_Data[[#This Row],[Created Date]],0)</f>
        <v>45777</v>
      </c>
      <c r="M105" t="b">
        <f>AND(Sales_Data[[#This Row],[EoM Created]]&gt;=Index!$E$5,Sales_Data[[#This Row],[EoM Created]]&lt;=Index!$E$4)</f>
        <v>1</v>
      </c>
      <c r="N105" t="b" cm="1">
        <f t="array" ref="N105">_xlfn.XLOOKUP(Sales_Data[[#This Row],[Sales Team]],_xlfn.ANCHORARRAY(Dashboard!$B$9),Dashboard!$D$9:$D$10,,0)</f>
        <v>1</v>
      </c>
      <c r="O105" t="b" cm="1">
        <f t="array" ref="O105">_xlfn.XLOOKUP(Sales_Data[[#This Row],[Sales Rep]],_xlfn.ANCHORARRAY(Dashboard!$B$13),Dashboard!$D$13:$D$17,,0)</f>
        <v>1</v>
      </c>
      <c r="P105" t="b" cm="1">
        <f t="array" ref="P105">_xlfn.XLOOKUP(Sales_Data[[#This Row],[Stage]],_xlfn.ANCHORARRAY(Dashboard!$B$20),Dashboard!$D$20:$D$25)</f>
        <v>1</v>
      </c>
      <c r="Q105" t="b" cm="1">
        <f t="array" ref="Q105">_xlfn.XLOOKUP(Sales_Data[[#This Row],[Lead Source]],_xlfn.ANCHORARRAY(Dashboard!$B$28),Dashboard!$D$28:$D$32)</f>
        <v>1</v>
      </c>
      <c r="R105">
        <f>Sales_Data[[#This Row],[Date inc]]*Sales_Data[[#This Row],[Team Inc]]*Sales_Data[[#This Row],[Rep Inc]]*Sales_Data[[#This Row],[Stage Inc]]*Sales_Data[[#This Row],[Source Inc]]</f>
        <v>1</v>
      </c>
    </row>
    <row r="106" spans="1:18" x14ac:dyDescent="0.3">
      <c r="A106" t="s">
        <v>113</v>
      </c>
      <c r="B106" s="2">
        <v>45467</v>
      </c>
      <c r="C106" t="s">
        <v>761</v>
      </c>
      <c r="D106" t="s">
        <v>765</v>
      </c>
      <c r="E106" t="s">
        <v>768</v>
      </c>
      <c r="F106" s="5">
        <v>38400</v>
      </c>
      <c r="G106" t="s">
        <v>780</v>
      </c>
      <c r="H106" s="2">
        <v>45553</v>
      </c>
      <c r="J106" t="str">
        <f>IF(Sales_Data[[#This Row],[Close Date]] &lt;&gt; 0,"Closed", "Open")</f>
        <v>Closed</v>
      </c>
      <c r="K106">
        <f>IF(Sales_Data[[#This Row],[Open/Closed]] = "Closed",Sales_Data[[#This Row],[Close Date]]-Sales_Data[[#This Row],[Created Date]],"")</f>
        <v>86</v>
      </c>
      <c r="L106" s="2">
        <f>EOMONTH(Sales_Data[[#This Row],[Created Date]],0)</f>
        <v>45473</v>
      </c>
      <c r="M106" t="b">
        <f>AND(Sales_Data[[#This Row],[EoM Created]]&gt;=Index!$E$5,Sales_Data[[#This Row],[EoM Created]]&lt;=Index!$E$4)</f>
        <v>1</v>
      </c>
      <c r="N106" t="b" cm="1">
        <f t="array" ref="N106">_xlfn.XLOOKUP(Sales_Data[[#This Row],[Sales Team]],_xlfn.ANCHORARRAY(Dashboard!$B$9),Dashboard!$D$9:$D$10,,0)</f>
        <v>1</v>
      </c>
      <c r="O106" t="b" cm="1">
        <f t="array" ref="O106">_xlfn.XLOOKUP(Sales_Data[[#This Row],[Sales Rep]],_xlfn.ANCHORARRAY(Dashboard!$B$13),Dashboard!$D$13:$D$17,,0)</f>
        <v>1</v>
      </c>
      <c r="P106" t="b" cm="1">
        <f t="array" ref="P106">_xlfn.XLOOKUP(Sales_Data[[#This Row],[Stage]],_xlfn.ANCHORARRAY(Dashboard!$B$20),Dashboard!$D$20:$D$25)</f>
        <v>1</v>
      </c>
      <c r="Q106" t="b" cm="1">
        <f t="array" ref="Q106">_xlfn.XLOOKUP(Sales_Data[[#This Row],[Lead Source]],_xlfn.ANCHORARRAY(Dashboard!$B$28),Dashboard!$D$28:$D$32)</f>
        <v>1</v>
      </c>
      <c r="R106">
        <f>Sales_Data[[#This Row],[Date inc]]*Sales_Data[[#This Row],[Team Inc]]*Sales_Data[[#This Row],[Rep Inc]]*Sales_Data[[#This Row],[Stage Inc]]*Sales_Data[[#This Row],[Source Inc]]</f>
        <v>1</v>
      </c>
    </row>
    <row r="107" spans="1:18" x14ac:dyDescent="0.3">
      <c r="A107" t="s">
        <v>114</v>
      </c>
      <c r="B107" s="2">
        <v>45778</v>
      </c>
      <c r="C107" t="s">
        <v>760</v>
      </c>
      <c r="D107" t="s">
        <v>764</v>
      </c>
      <c r="E107" t="s">
        <v>767</v>
      </c>
      <c r="F107" s="5">
        <v>44000</v>
      </c>
      <c r="G107" t="s">
        <v>780</v>
      </c>
      <c r="H107" s="2">
        <v>45842</v>
      </c>
      <c r="J107" t="str">
        <f>IF(Sales_Data[[#This Row],[Close Date]] &lt;&gt; 0,"Closed", "Open")</f>
        <v>Closed</v>
      </c>
      <c r="K107">
        <f>IF(Sales_Data[[#This Row],[Open/Closed]] = "Closed",Sales_Data[[#This Row],[Close Date]]-Sales_Data[[#This Row],[Created Date]],"")</f>
        <v>64</v>
      </c>
      <c r="L107" s="2">
        <f>EOMONTH(Sales_Data[[#This Row],[Created Date]],0)</f>
        <v>45808</v>
      </c>
      <c r="M107" t="b">
        <f>AND(Sales_Data[[#This Row],[EoM Created]]&gt;=Index!$E$5,Sales_Data[[#This Row],[EoM Created]]&lt;=Index!$E$4)</f>
        <v>1</v>
      </c>
      <c r="N107" t="b" cm="1">
        <f t="array" ref="N107">_xlfn.XLOOKUP(Sales_Data[[#This Row],[Sales Team]],_xlfn.ANCHORARRAY(Dashboard!$B$9),Dashboard!$D$9:$D$10,,0)</f>
        <v>1</v>
      </c>
      <c r="O107" t="b" cm="1">
        <f t="array" ref="O107">_xlfn.XLOOKUP(Sales_Data[[#This Row],[Sales Rep]],_xlfn.ANCHORARRAY(Dashboard!$B$13),Dashboard!$D$13:$D$17,,0)</f>
        <v>1</v>
      </c>
      <c r="P107" t="b" cm="1">
        <f t="array" ref="P107">_xlfn.XLOOKUP(Sales_Data[[#This Row],[Stage]],_xlfn.ANCHORARRAY(Dashboard!$B$20),Dashboard!$D$20:$D$25)</f>
        <v>1</v>
      </c>
      <c r="Q107" t="b" cm="1">
        <f t="array" ref="Q107">_xlfn.XLOOKUP(Sales_Data[[#This Row],[Lead Source]],_xlfn.ANCHORARRAY(Dashboard!$B$28),Dashboard!$D$28:$D$32)</f>
        <v>1</v>
      </c>
      <c r="R107">
        <f>Sales_Data[[#This Row],[Date inc]]*Sales_Data[[#This Row],[Team Inc]]*Sales_Data[[#This Row],[Rep Inc]]*Sales_Data[[#This Row],[Stage Inc]]*Sales_Data[[#This Row],[Source Inc]]</f>
        <v>1</v>
      </c>
    </row>
    <row r="108" spans="1:18" x14ac:dyDescent="0.3">
      <c r="A108" t="s">
        <v>115</v>
      </c>
      <c r="B108" s="2">
        <v>45104</v>
      </c>
      <c r="C108" t="s">
        <v>759</v>
      </c>
      <c r="D108" t="s">
        <v>764</v>
      </c>
      <c r="E108" t="s">
        <v>766</v>
      </c>
      <c r="F108" s="5">
        <v>58900</v>
      </c>
      <c r="G108" t="s">
        <v>781</v>
      </c>
      <c r="H108" s="2">
        <v>45174</v>
      </c>
      <c r="I108" t="s">
        <v>775</v>
      </c>
      <c r="J108" t="str">
        <f>IF(Sales_Data[[#This Row],[Close Date]] &lt;&gt; 0,"Closed", "Open")</f>
        <v>Closed</v>
      </c>
      <c r="K108">
        <f>IF(Sales_Data[[#This Row],[Open/Closed]] = "Closed",Sales_Data[[#This Row],[Close Date]]-Sales_Data[[#This Row],[Created Date]],"")</f>
        <v>70</v>
      </c>
      <c r="L108" s="2">
        <f>EOMONTH(Sales_Data[[#This Row],[Created Date]],0)</f>
        <v>45107</v>
      </c>
      <c r="M108" t="b">
        <f>AND(Sales_Data[[#This Row],[EoM Created]]&gt;=Index!$E$5,Sales_Data[[#This Row],[EoM Created]]&lt;=Index!$E$4)</f>
        <v>0</v>
      </c>
      <c r="N108" t="b" cm="1">
        <f t="array" ref="N108">_xlfn.XLOOKUP(Sales_Data[[#This Row],[Sales Team]],_xlfn.ANCHORARRAY(Dashboard!$B$9),Dashboard!$D$9:$D$10,,0)</f>
        <v>1</v>
      </c>
      <c r="O108" t="b" cm="1">
        <f t="array" ref="O108">_xlfn.XLOOKUP(Sales_Data[[#This Row],[Sales Rep]],_xlfn.ANCHORARRAY(Dashboard!$B$13),Dashboard!$D$13:$D$17,,0)</f>
        <v>1</v>
      </c>
      <c r="P108" t="b" cm="1">
        <f t="array" ref="P108">_xlfn.XLOOKUP(Sales_Data[[#This Row],[Stage]],_xlfn.ANCHORARRAY(Dashboard!$B$20),Dashboard!$D$20:$D$25)</f>
        <v>1</v>
      </c>
      <c r="Q108" t="b" cm="1">
        <f t="array" ref="Q108">_xlfn.XLOOKUP(Sales_Data[[#This Row],[Lead Source]],_xlfn.ANCHORARRAY(Dashboard!$B$28),Dashboard!$D$28:$D$32)</f>
        <v>1</v>
      </c>
      <c r="R108">
        <f>Sales_Data[[#This Row],[Date inc]]*Sales_Data[[#This Row],[Team Inc]]*Sales_Data[[#This Row],[Rep Inc]]*Sales_Data[[#This Row],[Stage Inc]]*Sales_Data[[#This Row],[Source Inc]]</f>
        <v>0</v>
      </c>
    </row>
    <row r="109" spans="1:18" x14ac:dyDescent="0.3">
      <c r="A109" t="s">
        <v>116</v>
      </c>
      <c r="B109" s="2">
        <v>45147</v>
      </c>
      <c r="C109" t="s">
        <v>760</v>
      </c>
      <c r="D109" t="s">
        <v>764</v>
      </c>
      <c r="E109" t="s">
        <v>767</v>
      </c>
      <c r="F109" s="5">
        <v>41700</v>
      </c>
      <c r="G109" t="s">
        <v>781</v>
      </c>
      <c r="H109" s="2">
        <v>45237</v>
      </c>
      <c r="I109" t="s">
        <v>776</v>
      </c>
      <c r="J109" t="str">
        <f>IF(Sales_Data[[#This Row],[Close Date]] &lt;&gt; 0,"Closed", "Open")</f>
        <v>Closed</v>
      </c>
      <c r="K109">
        <f>IF(Sales_Data[[#This Row],[Open/Closed]] = "Closed",Sales_Data[[#This Row],[Close Date]]-Sales_Data[[#This Row],[Created Date]],"")</f>
        <v>90</v>
      </c>
      <c r="L109" s="2">
        <f>EOMONTH(Sales_Data[[#This Row],[Created Date]],0)</f>
        <v>45169</v>
      </c>
      <c r="M109" t="b">
        <f>AND(Sales_Data[[#This Row],[EoM Created]]&gt;=Index!$E$5,Sales_Data[[#This Row],[EoM Created]]&lt;=Index!$E$4)</f>
        <v>1</v>
      </c>
      <c r="N109" t="b" cm="1">
        <f t="array" ref="N109">_xlfn.XLOOKUP(Sales_Data[[#This Row],[Sales Team]],_xlfn.ANCHORARRAY(Dashboard!$B$9),Dashboard!$D$9:$D$10,,0)</f>
        <v>1</v>
      </c>
      <c r="O109" t="b" cm="1">
        <f t="array" ref="O109">_xlfn.XLOOKUP(Sales_Data[[#This Row],[Sales Rep]],_xlfn.ANCHORARRAY(Dashboard!$B$13),Dashboard!$D$13:$D$17,,0)</f>
        <v>1</v>
      </c>
      <c r="P109" t="b" cm="1">
        <f t="array" ref="P109">_xlfn.XLOOKUP(Sales_Data[[#This Row],[Stage]],_xlfn.ANCHORARRAY(Dashboard!$B$20),Dashboard!$D$20:$D$25)</f>
        <v>1</v>
      </c>
      <c r="Q109" t="b" cm="1">
        <f t="array" ref="Q109">_xlfn.XLOOKUP(Sales_Data[[#This Row],[Lead Source]],_xlfn.ANCHORARRAY(Dashboard!$B$28),Dashboard!$D$28:$D$32)</f>
        <v>1</v>
      </c>
      <c r="R109">
        <f>Sales_Data[[#This Row],[Date inc]]*Sales_Data[[#This Row],[Team Inc]]*Sales_Data[[#This Row],[Rep Inc]]*Sales_Data[[#This Row],[Stage Inc]]*Sales_Data[[#This Row],[Source Inc]]</f>
        <v>1</v>
      </c>
    </row>
    <row r="110" spans="1:18" x14ac:dyDescent="0.3">
      <c r="A110" t="s">
        <v>117</v>
      </c>
      <c r="B110" s="2">
        <v>45594</v>
      </c>
      <c r="C110" t="s">
        <v>761</v>
      </c>
      <c r="D110" t="s">
        <v>765</v>
      </c>
      <c r="E110" t="s">
        <v>769</v>
      </c>
      <c r="F110" s="5">
        <v>42600</v>
      </c>
      <c r="G110" t="s">
        <v>781</v>
      </c>
      <c r="H110" s="2">
        <v>45657</v>
      </c>
      <c r="I110" t="s">
        <v>779</v>
      </c>
      <c r="J110" t="str">
        <f>IF(Sales_Data[[#This Row],[Close Date]] &lt;&gt; 0,"Closed", "Open")</f>
        <v>Closed</v>
      </c>
      <c r="K110">
        <f>IF(Sales_Data[[#This Row],[Open/Closed]] = "Closed",Sales_Data[[#This Row],[Close Date]]-Sales_Data[[#This Row],[Created Date]],"")</f>
        <v>63</v>
      </c>
      <c r="L110" s="2">
        <f>EOMONTH(Sales_Data[[#This Row],[Created Date]],0)</f>
        <v>45596</v>
      </c>
      <c r="M110" t="b">
        <f>AND(Sales_Data[[#This Row],[EoM Created]]&gt;=Index!$E$5,Sales_Data[[#This Row],[EoM Created]]&lt;=Index!$E$4)</f>
        <v>1</v>
      </c>
      <c r="N110" t="b" cm="1">
        <f t="array" ref="N110">_xlfn.XLOOKUP(Sales_Data[[#This Row],[Sales Team]],_xlfn.ANCHORARRAY(Dashboard!$B$9),Dashboard!$D$9:$D$10,,0)</f>
        <v>1</v>
      </c>
      <c r="O110" t="b" cm="1">
        <f t="array" ref="O110">_xlfn.XLOOKUP(Sales_Data[[#This Row],[Sales Rep]],_xlfn.ANCHORARRAY(Dashboard!$B$13),Dashboard!$D$13:$D$17,,0)</f>
        <v>1</v>
      </c>
      <c r="P110" t="b" cm="1">
        <f t="array" ref="P110">_xlfn.XLOOKUP(Sales_Data[[#This Row],[Stage]],_xlfn.ANCHORARRAY(Dashboard!$B$20),Dashboard!$D$20:$D$25)</f>
        <v>1</v>
      </c>
      <c r="Q110" t="b" cm="1">
        <f t="array" ref="Q110">_xlfn.XLOOKUP(Sales_Data[[#This Row],[Lead Source]],_xlfn.ANCHORARRAY(Dashboard!$B$28),Dashboard!$D$28:$D$32)</f>
        <v>1</v>
      </c>
      <c r="R110">
        <f>Sales_Data[[#This Row],[Date inc]]*Sales_Data[[#This Row],[Team Inc]]*Sales_Data[[#This Row],[Rep Inc]]*Sales_Data[[#This Row],[Stage Inc]]*Sales_Data[[#This Row],[Source Inc]]</f>
        <v>1</v>
      </c>
    </row>
    <row r="111" spans="1:18" x14ac:dyDescent="0.3">
      <c r="A111" t="s">
        <v>118</v>
      </c>
      <c r="B111" s="2">
        <v>45634</v>
      </c>
      <c r="C111" t="s">
        <v>760</v>
      </c>
      <c r="D111" t="s">
        <v>764</v>
      </c>
      <c r="E111" t="s">
        <v>767</v>
      </c>
      <c r="F111" s="5">
        <v>39300</v>
      </c>
      <c r="G111" t="s">
        <v>781</v>
      </c>
      <c r="H111" s="2">
        <v>45712</v>
      </c>
      <c r="I111" t="s">
        <v>775</v>
      </c>
      <c r="J111" t="str">
        <f>IF(Sales_Data[[#This Row],[Close Date]] &lt;&gt; 0,"Closed", "Open")</f>
        <v>Closed</v>
      </c>
      <c r="K111">
        <f>IF(Sales_Data[[#This Row],[Open/Closed]] = "Closed",Sales_Data[[#This Row],[Close Date]]-Sales_Data[[#This Row],[Created Date]],"")</f>
        <v>78</v>
      </c>
      <c r="L111" s="2">
        <f>EOMONTH(Sales_Data[[#This Row],[Created Date]],0)</f>
        <v>45657</v>
      </c>
      <c r="M111" t="b">
        <f>AND(Sales_Data[[#This Row],[EoM Created]]&gt;=Index!$E$5,Sales_Data[[#This Row],[EoM Created]]&lt;=Index!$E$4)</f>
        <v>1</v>
      </c>
      <c r="N111" t="b" cm="1">
        <f t="array" ref="N111">_xlfn.XLOOKUP(Sales_Data[[#This Row],[Sales Team]],_xlfn.ANCHORARRAY(Dashboard!$B$9),Dashboard!$D$9:$D$10,,0)</f>
        <v>1</v>
      </c>
      <c r="O111" t="b" cm="1">
        <f t="array" ref="O111">_xlfn.XLOOKUP(Sales_Data[[#This Row],[Sales Rep]],_xlfn.ANCHORARRAY(Dashboard!$B$13),Dashboard!$D$13:$D$17,,0)</f>
        <v>1</v>
      </c>
      <c r="P111" t="b" cm="1">
        <f t="array" ref="P111">_xlfn.XLOOKUP(Sales_Data[[#This Row],[Stage]],_xlfn.ANCHORARRAY(Dashboard!$B$20),Dashboard!$D$20:$D$25)</f>
        <v>1</v>
      </c>
      <c r="Q111" t="b" cm="1">
        <f t="array" ref="Q111">_xlfn.XLOOKUP(Sales_Data[[#This Row],[Lead Source]],_xlfn.ANCHORARRAY(Dashboard!$B$28),Dashboard!$D$28:$D$32)</f>
        <v>1</v>
      </c>
      <c r="R111">
        <f>Sales_Data[[#This Row],[Date inc]]*Sales_Data[[#This Row],[Team Inc]]*Sales_Data[[#This Row],[Rep Inc]]*Sales_Data[[#This Row],[Stage Inc]]*Sales_Data[[#This Row],[Source Inc]]</f>
        <v>1</v>
      </c>
    </row>
    <row r="112" spans="1:18" x14ac:dyDescent="0.3">
      <c r="A112" t="s">
        <v>119</v>
      </c>
      <c r="B112" s="2">
        <v>45714</v>
      </c>
      <c r="C112" t="s">
        <v>759</v>
      </c>
      <c r="D112" t="s">
        <v>764</v>
      </c>
      <c r="E112" t="s">
        <v>767</v>
      </c>
      <c r="F112" s="5">
        <v>20800</v>
      </c>
      <c r="G112" t="s">
        <v>780</v>
      </c>
      <c r="H112" s="2">
        <v>45798</v>
      </c>
      <c r="J112" t="str">
        <f>IF(Sales_Data[[#This Row],[Close Date]] &lt;&gt; 0,"Closed", "Open")</f>
        <v>Closed</v>
      </c>
      <c r="K112">
        <f>IF(Sales_Data[[#This Row],[Open/Closed]] = "Closed",Sales_Data[[#This Row],[Close Date]]-Sales_Data[[#This Row],[Created Date]],"")</f>
        <v>84</v>
      </c>
      <c r="L112" s="2">
        <f>EOMONTH(Sales_Data[[#This Row],[Created Date]],0)</f>
        <v>45716</v>
      </c>
      <c r="M112" t="b">
        <f>AND(Sales_Data[[#This Row],[EoM Created]]&gt;=Index!$E$5,Sales_Data[[#This Row],[EoM Created]]&lt;=Index!$E$4)</f>
        <v>1</v>
      </c>
      <c r="N112" t="b" cm="1">
        <f t="array" ref="N112">_xlfn.XLOOKUP(Sales_Data[[#This Row],[Sales Team]],_xlfn.ANCHORARRAY(Dashboard!$B$9),Dashboard!$D$9:$D$10,,0)</f>
        <v>1</v>
      </c>
      <c r="O112" t="b" cm="1">
        <f t="array" ref="O112">_xlfn.XLOOKUP(Sales_Data[[#This Row],[Sales Rep]],_xlfn.ANCHORARRAY(Dashboard!$B$13),Dashboard!$D$13:$D$17,,0)</f>
        <v>1</v>
      </c>
      <c r="P112" t="b" cm="1">
        <f t="array" ref="P112">_xlfn.XLOOKUP(Sales_Data[[#This Row],[Stage]],_xlfn.ANCHORARRAY(Dashboard!$B$20),Dashboard!$D$20:$D$25)</f>
        <v>1</v>
      </c>
      <c r="Q112" t="b" cm="1">
        <f t="array" ref="Q112">_xlfn.XLOOKUP(Sales_Data[[#This Row],[Lead Source]],_xlfn.ANCHORARRAY(Dashboard!$B$28),Dashboard!$D$28:$D$32)</f>
        <v>1</v>
      </c>
      <c r="R112">
        <f>Sales_Data[[#This Row],[Date inc]]*Sales_Data[[#This Row],[Team Inc]]*Sales_Data[[#This Row],[Rep Inc]]*Sales_Data[[#This Row],[Stage Inc]]*Sales_Data[[#This Row],[Source Inc]]</f>
        <v>1</v>
      </c>
    </row>
    <row r="113" spans="1:18" x14ac:dyDescent="0.3">
      <c r="A113" t="s">
        <v>120</v>
      </c>
      <c r="B113" s="2">
        <v>44935</v>
      </c>
      <c r="C113" t="s">
        <v>759</v>
      </c>
      <c r="D113" t="s">
        <v>764</v>
      </c>
      <c r="E113" t="s">
        <v>766</v>
      </c>
      <c r="F113" s="5">
        <v>39700</v>
      </c>
      <c r="G113" t="s">
        <v>781</v>
      </c>
      <c r="H113" s="2">
        <v>45008</v>
      </c>
      <c r="I113" t="s">
        <v>778</v>
      </c>
      <c r="J113" t="str">
        <f>IF(Sales_Data[[#This Row],[Close Date]] &lt;&gt; 0,"Closed", "Open")</f>
        <v>Closed</v>
      </c>
      <c r="K113">
        <f>IF(Sales_Data[[#This Row],[Open/Closed]] = "Closed",Sales_Data[[#This Row],[Close Date]]-Sales_Data[[#This Row],[Created Date]],"")</f>
        <v>73</v>
      </c>
      <c r="L113" s="2">
        <f>EOMONTH(Sales_Data[[#This Row],[Created Date]],0)</f>
        <v>44957</v>
      </c>
      <c r="M113" t="b">
        <f>AND(Sales_Data[[#This Row],[EoM Created]]&gt;=Index!$E$5,Sales_Data[[#This Row],[EoM Created]]&lt;=Index!$E$4)</f>
        <v>0</v>
      </c>
      <c r="N113" t="b" cm="1">
        <f t="array" ref="N113">_xlfn.XLOOKUP(Sales_Data[[#This Row],[Sales Team]],_xlfn.ANCHORARRAY(Dashboard!$B$9),Dashboard!$D$9:$D$10,,0)</f>
        <v>1</v>
      </c>
      <c r="O113" t="b" cm="1">
        <f t="array" ref="O113">_xlfn.XLOOKUP(Sales_Data[[#This Row],[Sales Rep]],_xlfn.ANCHORARRAY(Dashboard!$B$13),Dashboard!$D$13:$D$17,,0)</f>
        <v>1</v>
      </c>
      <c r="P113" t="b" cm="1">
        <f t="array" ref="P113">_xlfn.XLOOKUP(Sales_Data[[#This Row],[Stage]],_xlfn.ANCHORARRAY(Dashboard!$B$20),Dashboard!$D$20:$D$25)</f>
        <v>1</v>
      </c>
      <c r="Q113" t="b" cm="1">
        <f t="array" ref="Q113">_xlfn.XLOOKUP(Sales_Data[[#This Row],[Lead Source]],_xlfn.ANCHORARRAY(Dashboard!$B$28),Dashboard!$D$28:$D$32)</f>
        <v>1</v>
      </c>
      <c r="R113">
        <f>Sales_Data[[#This Row],[Date inc]]*Sales_Data[[#This Row],[Team Inc]]*Sales_Data[[#This Row],[Rep Inc]]*Sales_Data[[#This Row],[Stage Inc]]*Sales_Data[[#This Row],[Source Inc]]</f>
        <v>0</v>
      </c>
    </row>
    <row r="114" spans="1:18" x14ac:dyDescent="0.3">
      <c r="A114" t="s">
        <v>121</v>
      </c>
      <c r="B114" s="2">
        <v>45682</v>
      </c>
      <c r="C114" t="s">
        <v>762</v>
      </c>
      <c r="D114" t="s">
        <v>764</v>
      </c>
      <c r="E114" t="s">
        <v>767</v>
      </c>
      <c r="F114" s="5">
        <v>40600</v>
      </c>
      <c r="G114" t="s">
        <v>781</v>
      </c>
      <c r="H114" s="2">
        <v>45751</v>
      </c>
      <c r="I114" t="s">
        <v>777</v>
      </c>
      <c r="J114" t="str">
        <f>IF(Sales_Data[[#This Row],[Close Date]] &lt;&gt; 0,"Closed", "Open")</f>
        <v>Closed</v>
      </c>
      <c r="K114">
        <f>IF(Sales_Data[[#This Row],[Open/Closed]] = "Closed",Sales_Data[[#This Row],[Close Date]]-Sales_Data[[#This Row],[Created Date]],"")</f>
        <v>69</v>
      </c>
      <c r="L114" s="2">
        <f>EOMONTH(Sales_Data[[#This Row],[Created Date]],0)</f>
        <v>45688</v>
      </c>
      <c r="M114" t="b">
        <f>AND(Sales_Data[[#This Row],[EoM Created]]&gt;=Index!$E$5,Sales_Data[[#This Row],[EoM Created]]&lt;=Index!$E$4)</f>
        <v>1</v>
      </c>
      <c r="N114" t="b" cm="1">
        <f t="array" ref="N114">_xlfn.XLOOKUP(Sales_Data[[#This Row],[Sales Team]],_xlfn.ANCHORARRAY(Dashboard!$B$9),Dashboard!$D$9:$D$10,,0)</f>
        <v>1</v>
      </c>
      <c r="O114" t="b" cm="1">
        <f t="array" ref="O114">_xlfn.XLOOKUP(Sales_Data[[#This Row],[Sales Rep]],_xlfn.ANCHORARRAY(Dashboard!$B$13),Dashboard!$D$13:$D$17,,0)</f>
        <v>1</v>
      </c>
      <c r="P114" t="b" cm="1">
        <f t="array" ref="P114">_xlfn.XLOOKUP(Sales_Data[[#This Row],[Stage]],_xlfn.ANCHORARRAY(Dashboard!$B$20),Dashboard!$D$20:$D$25)</f>
        <v>1</v>
      </c>
      <c r="Q114" t="b" cm="1">
        <f t="array" ref="Q114">_xlfn.XLOOKUP(Sales_Data[[#This Row],[Lead Source]],_xlfn.ANCHORARRAY(Dashboard!$B$28),Dashboard!$D$28:$D$32)</f>
        <v>1</v>
      </c>
      <c r="R114">
        <f>Sales_Data[[#This Row],[Date inc]]*Sales_Data[[#This Row],[Team Inc]]*Sales_Data[[#This Row],[Rep Inc]]*Sales_Data[[#This Row],[Stage Inc]]*Sales_Data[[#This Row],[Source Inc]]</f>
        <v>1</v>
      </c>
    </row>
    <row r="115" spans="1:18" x14ac:dyDescent="0.3">
      <c r="A115" t="s">
        <v>122</v>
      </c>
      <c r="B115" s="2">
        <v>45581</v>
      </c>
      <c r="C115" t="s">
        <v>760</v>
      </c>
      <c r="D115" t="s">
        <v>764</v>
      </c>
      <c r="E115" t="s">
        <v>766</v>
      </c>
      <c r="F115" s="5">
        <v>64600</v>
      </c>
      <c r="G115" t="s">
        <v>780</v>
      </c>
      <c r="H115" s="2">
        <v>45653</v>
      </c>
      <c r="J115" t="str">
        <f>IF(Sales_Data[[#This Row],[Close Date]] &lt;&gt; 0,"Closed", "Open")</f>
        <v>Closed</v>
      </c>
      <c r="K115">
        <f>IF(Sales_Data[[#This Row],[Open/Closed]] = "Closed",Sales_Data[[#This Row],[Close Date]]-Sales_Data[[#This Row],[Created Date]],"")</f>
        <v>72</v>
      </c>
      <c r="L115" s="2">
        <f>EOMONTH(Sales_Data[[#This Row],[Created Date]],0)</f>
        <v>45596</v>
      </c>
      <c r="M115" t="b">
        <f>AND(Sales_Data[[#This Row],[EoM Created]]&gt;=Index!$E$5,Sales_Data[[#This Row],[EoM Created]]&lt;=Index!$E$4)</f>
        <v>1</v>
      </c>
      <c r="N115" t="b" cm="1">
        <f t="array" ref="N115">_xlfn.XLOOKUP(Sales_Data[[#This Row],[Sales Team]],_xlfn.ANCHORARRAY(Dashboard!$B$9),Dashboard!$D$9:$D$10,,0)</f>
        <v>1</v>
      </c>
      <c r="O115" t="b" cm="1">
        <f t="array" ref="O115">_xlfn.XLOOKUP(Sales_Data[[#This Row],[Sales Rep]],_xlfn.ANCHORARRAY(Dashboard!$B$13),Dashboard!$D$13:$D$17,,0)</f>
        <v>1</v>
      </c>
      <c r="P115" t="b" cm="1">
        <f t="array" ref="P115">_xlfn.XLOOKUP(Sales_Data[[#This Row],[Stage]],_xlfn.ANCHORARRAY(Dashboard!$B$20),Dashboard!$D$20:$D$25)</f>
        <v>1</v>
      </c>
      <c r="Q115" t="b" cm="1">
        <f t="array" ref="Q115">_xlfn.XLOOKUP(Sales_Data[[#This Row],[Lead Source]],_xlfn.ANCHORARRAY(Dashboard!$B$28),Dashboard!$D$28:$D$32)</f>
        <v>1</v>
      </c>
      <c r="R115">
        <f>Sales_Data[[#This Row],[Date inc]]*Sales_Data[[#This Row],[Team Inc]]*Sales_Data[[#This Row],[Rep Inc]]*Sales_Data[[#This Row],[Stage Inc]]*Sales_Data[[#This Row],[Source Inc]]</f>
        <v>1</v>
      </c>
    </row>
    <row r="116" spans="1:18" x14ac:dyDescent="0.3">
      <c r="A116" t="s">
        <v>123</v>
      </c>
      <c r="B116" s="2">
        <v>45146</v>
      </c>
      <c r="C116" t="s">
        <v>761</v>
      </c>
      <c r="D116" t="s">
        <v>765</v>
      </c>
      <c r="E116" t="s">
        <v>770</v>
      </c>
      <c r="F116" s="5">
        <v>38100</v>
      </c>
      <c r="G116" t="s">
        <v>781</v>
      </c>
      <c r="H116" s="2">
        <v>45225</v>
      </c>
      <c r="I116" t="s">
        <v>779</v>
      </c>
      <c r="J116" t="str">
        <f>IF(Sales_Data[[#This Row],[Close Date]] &lt;&gt; 0,"Closed", "Open")</f>
        <v>Closed</v>
      </c>
      <c r="K116">
        <f>IF(Sales_Data[[#This Row],[Open/Closed]] = "Closed",Sales_Data[[#This Row],[Close Date]]-Sales_Data[[#This Row],[Created Date]],"")</f>
        <v>79</v>
      </c>
      <c r="L116" s="2">
        <f>EOMONTH(Sales_Data[[#This Row],[Created Date]],0)</f>
        <v>45169</v>
      </c>
      <c r="M116" t="b">
        <f>AND(Sales_Data[[#This Row],[EoM Created]]&gt;=Index!$E$5,Sales_Data[[#This Row],[EoM Created]]&lt;=Index!$E$4)</f>
        <v>1</v>
      </c>
      <c r="N116" t="b" cm="1">
        <f t="array" ref="N116">_xlfn.XLOOKUP(Sales_Data[[#This Row],[Sales Team]],_xlfn.ANCHORARRAY(Dashboard!$B$9),Dashboard!$D$9:$D$10,,0)</f>
        <v>1</v>
      </c>
      <c r="O116" t="b" cm="1">
        <f t="array" ref="O116">_xlfn.XLOOKUP(Sales_Data[[#This Row],[Sales Rep]],_xlfn.ANCHORARRAY(Dashboard!$B$13),Dashboard!$D$13:$D$17,,0)</f>
        <v>1</v>
      </c>
      <c r="P116" t="b" cm="1">
        <f t="array" ref="P116">_xlfn.XLOOKUP(Sales_Data[[#This Row],[Stage]],_xlfn.ANCHORARRAY(Dashboard!$B$20),Dashboard!$D$20:$D$25)</f>
        <v>1</v>
      </c>
      <c r="Q116" t="b" cm="1">
        <f t="array" ref="Q116">_xlfn.XLOOKUP(Sales_Data[[#This Row],[Lead Source]],_xlfn.ANCHORARRAY(Dashboard!$B$28),Dashboard!$D$28:$D$32)</f>
        <v>1</v>
      </c>
      <c r="R116">
        <f>Sales_Data[[#This Row],[Date inc]]*Sales_Data[[#This Row],[Team Inc]]*Sales_Data[[#This Row],[Rep Inc]]*Sales_Data[[#This Row],[Stage Inc]]*Sales_Data[[#This Row],[Source Inc]]</f>
        <v>1</v>
      </c>
    </row>
    <row r="117" spans="1:18" x14ac:dyDescent="0.3">
      <c r="A117" t="s">
        <v>124</v>
      </c>
      <c r="B117" s="2">
        <v>45741</v>
      </c>
      <c r="C117" t="s">
        <v>763</v>
      </c>
      <c r="D117" t="s">
        <v>765</v>
      </c>
      <c r="E117" t="s">
        <v>768</v>
      </c>
      <c r="F117" s="5">
        <v>43000</v>
      </c>
      <c r="G117" t="s">
        <v>781</v>
      </c>
      <c r="H117" s="2">
        <v>45816</v>
      </c>
      <c r="I117" t="s">
        <v>779</v>
      </c>
      <c r="J117" t="str">
        <f>IF(Sales_Data[[#This Row],[Close Date]] &lt;&gt; 0,"Closed", "Open")</f>
        <v>Closed</v>
      </c>
      <c r="K117">
        <f>IF(Sales_Data[[#This Row],[Open/Closed]] = "Closed",Sales_Data[[#This Row],[Close Date]]-Sales_Data[[#This Row],[Created Date]],"")</f>
        <v>75</v>
      </c>
      <c r="L117" s="2">
        <f>EOMONTH(Sales_Data[[#This Row],[Created Date]],0)</f>
        <v>45747</v>
      </c>
      <c r="M117" t="b">
        <f>AND(Sales_Data[[#This Row],[EoM Created]]&gt;=Index!$E$5,Sales_Data[[#This Row],[EoM Created]]&lt;=Index!$E$4)</f>
        <v>1</v>
      </c>
      <c r="N117" t="b" cm="1">
        <f t="array" ref="N117">_xlfn.XLOOKUP(Sales_Data[[#This Row],[Sales Team]],_xlfn.ANCHORARRAY(Dashboard!$B$9),Dashboard!$D$9:$D$10,,0)</f>
        <v>1</v>
      </c>
      <c r="O117" t="b" cm="1">
        <f t="array" ref="O117">_xlfn.XLOOKUP(Sales_Data[[#This Row],[Sales Rep]],_xlfn.ANCHORARRAY(Dashboard!$B$13),Dashboard!$D$13:$D$17,,0)</f>
        <v>1</v>
      </c>
      <c r="P117" t="b" cm="1">
        <f t="array" ref="P117">_xlfn.XLOOKUP(Sales_Data[[#This Row],[Stage]],_xlfn.ANCHORARRAY(Dashboard!$B$20),Dashboard!$D$20:$D$25)</f>
        <v>1</v>
      </c>
      <c r="Q117" t="b" cm="1">
        <f t="array" ref="Q117">_xlfn.XLOOKUP(Sales_Data[[#This Row],[Lead Source]],_xlfn.ANCHORARRAY(Dashboard!$B$28),Dashboard!$D$28:$D$32)</f>
        <v>1</v>
      </c>
      <c r="R117">
        <f>Sales_Data[[#This Row],[Date inc]]*Sales_Data[[#This Row],[Team Inc]]*Sales_Data[[#This Row],[Rep Inc]]*Sales_Data[[#This Row],[Stage Inc]]*Sales_Data[[#This Row],[Source Inc]]</f>
        <v>1</v>
      </c>
    </row>
    <row r="118" spans="1:18" x14ac:dyDescent="0.3">
      <c r="A118" t="s">
        <v>125</v>
      </c>
      <c r="B118" s="2">
        <v>45501</v>
      </c>
      <c r="C118" t="s">
        <v>761</v>
      </c>
      <c r="D118" t="s">
        <v>765</v>
      </c>
      <c r="E118" t="s">
        <v>769</v>
      </c>
      <c r="F118" s="5">
        <v>39700</v>
      </c>
      <c r="G118" t="s">
        <v>781</v>
      </c>
      <c r="H118" s="2">
        <v>45567</v>
      </c>
      <c r="I118" t="s">
        <v>775</v>
      </c>
      <c r="J118" t="str">
        <f>IF(Sales_Data[[#This Row],[Close Date]] &lt;&gt; 0,"Closed", "Open")</f>
        <v>Closed</v>
      </c>
      <c r="K118">
        <f>IF(Sales_Data[[#This Row],[Open/Closed]] = "Closed",Sales_Data[[#This Row],[Close Date]]-Sales_Data[[#This Row],[Created Date]],"")</f>
        <v>66</v>
      </c>
      <c r="L118" s="2">
        <f>EOMONTH(Sales_Data[[#This Row],[Created Date]],0)</f>
        <v>45504</v>
      </c>
      <c r="M118" t="b">
        <f>AND(Sales_Data[[#This Row],[EoM Created]]&gt;=Index!$E$5,Sales_Data[[#This Row],[EoM Created]]&lt;=Index!$E$4)</f>
        <v>1</v>
      </c>
      <c r="N118" t="b" cm="1">
        <f t="array" ref="N118">_xlfn.XLOOKUP(Sales_Data[[#This Row],[Sales Team]],_xlfn.ANCHORARRAY(Dashboard!$B$9),Dashboard!$D$9:$D$10,,0)</f>
        <v>1</v>
      </c>
      <c r="O118" t="b" cm="1">
        <f t="array" ref="O118">_xlfn.XLOOKUP(Sales_Data[[#This Row],[Sales Rep]],_xlfn.ANCHORARRAY(Dashboard!$B$13),Dashboard!$D$13:$D$17,,0)</f>
        <v>1</v>
      </c>
      <c r="P118" t="b" cm="1">
        <f t="array" ref="P118">_xlfn.XLOOKUP(Sales_Data[[#This Row],[Stage]],_xlfn.ANCHORARRAY(Dashboard!$B$20),Dashboard!$D$20:$D$25)</f>
        <v>1</v>
      </c>
      <c r="Q118" t="b" cm="1">
        <f t="array" ref="Q118">_xlfn.XLOOKUP(Sales_Data[[#This Row],[Lead Source]],_xlfn.ANCHORARRAY(Dashboard!$B$28),Dashboard!$D$28:$D$32)</f>
        <v>1</v>
      </c>
      <c r="R118">
        <f>Sales_Data[[#This Row],[Date inc]]*Sales_Data[[#This Row],[Team Inc]]*Sales_Data[[#This Row],[Rep Inc]]*Sales_Data[[#This Row],[Stage Inc]]*Sales_Data[[#This Row],[Source Inc]]</f>
        <v>1</v>
      </c>
    </row>
    <row r="119" spans="1:18" x14ac:dyDescent="0.3">
      <c r="A119" t="s">
        <v>126</v>
      </c>
      <c r="B119" s="2">
        <v>45370</v>
      </c>
      <c r="C119" t="s">
        <v>759</v>
      </c>
      <c r="D119" t="s">
        <v>764</v>
      </c>
      <c r="E119" t="s">
        <v>767</v>
      </c>
      <c r="F119" s="5">
        <v>28300</v>
      </c>
      <c r="G119" t="s">
        <v>781</v>
      </c>
      <c r="H119" s="2">
        <v>45459</v>
      </c>
      <c r="I119" t="s">
        <v>776</v>
      </c>
      <c r="J119" t="str">
        <f>IF(Sales_Data[[#This Row],[Close Date]] &lt;&gt; 0,"Closed", "Open")</f>
        <v>Closed</v>
      </c>
      <c r="K119">
        <f>IF(Sales_Data[[#This Row],[Open/Closed]] = "Closed",Sales_Data[[#This Row],[Close Date]]-Sales_Data[[#This Row],[Created Date]],"")</f>
        <v>89</v>
      </c>
      <c r="L119" s="2">
        <f>EOMONTH(Sales_Data[[#This Row],[Created Date]],0)</f>
        <v>45382</v>
      </c>
      <c r="M119" t="b">
        <f>AND(Sales_Data[[#This Row],[EoM Created]]&gt;=Index!$E$5,Sales_Data[[#This Row],[EoM Created]]&lt;=Index!$E$4)</f>
        <v>1</v>
      </c>
      <c r="N119" t="b" cm="1">
        <f t="array" ref="N119">_xlfn.XLOOKUP(Sales_Data[[#This Row],[Sales Team]],_xlfn.ANCHORARRAY(Dashboard!$B$9),Dashboard!$D$9:$D$10,,0)</f>
        <v>1</v>
      </c>
      <c r="O119" t="b" cm="1">
        <f t="array" ref="O119">_xlfn.XLOOKUP(Sales_Data[[#This Row],[Sales Rep]],_xlfn.ANCHORARRAY(Dashboard!$B$13),Dashboard!$D$13:$D$17,,0)</f>
        <v>1</v>
      </c>
      <c r="P119" t="b" cm="1">
        <f t="array" ref="P119">_xlfn.XLOOKUP(Sales_Data[[#This Row],[Stage]],_xlfn.ANCHORARRAY(Dashboard!$B$20),Dashboard!$D$20:$D$25)</f>
        <v>1</v>
      </c>
      <c r="Q119" t="b" cm="1">
        <f t="array" ref="Q119">_xlfn.XLOOKUP(Sales_Data[[#This Row],[Lead Source]],_xlfn.ANCHORARRAY(Dashboard!$B$28),Dashboard!$D$28:$D$32)</f>
        <v>1</v>
      </c>
      <c r="R119">
        <f>Sales_Data[[#This Row],[Date inc]]*Sales_Data[[#This Row],[Team Inc]]*Sales_Data[[#This Row],[Rep Inc]]*Sales_Data[[#This Row],[Stage Inc]]*Sales_Data[[#This Row],[Source Inc]]</f>
        <v>1</v>
      </c>
    </row>
    <row r="120" spans="1:18" x14ac:dyDescent="0.3">
      <c r="A120" t="s">
        <v>127</v>
      </c>
      <c r="B120" s="2">
        <v>45296</v>
      </c>
      <c r="C120" t="s">
        <v>762</v>
      </c>
      <c r="D120" t="s">
        <v>764</v>
      </c>
      <c r="E120" t="s">
        <v>767</v>
      </c>
      <c r="F120" s="5">
        <v>51400</v>
      </c>
      <c r="G120" t="s">
        <v>781</v>
      </c>
      <c r="H120" s="2">
        <v>45361</v>
      </c>
      <c r="I120" t="s">
        <v>777</v>
      </c>
      <c r="J120" t="str">
        <f>IF(Sales_Data[[#This Row],[Close Date]] &lt;&gt; 0,"Closed", "Open")</f>
        <v>Closed</v>
      </c>
      <c r="K120">
        <f>IF(Sales_Data[[#This Row],[Open/Closed]] = "Closed",Sales_Data[[#This Row],[Close Date]]-Sales_Data[[#This Row],[Created Date]],"")</f>
        <v>65</v>
      </c>
      <c r="L120" s="2">
        <f>EOMONTH(Sales_Data[[#This Row],[Created Date]],0)</f>
        <v>45322</v>
      </c>
      <c r="M120" t="b">
        <f>AND(Sales_Data[[#This Row],[EoM Created]]&gt;=Index!$E$5,Sales_Data[[#This Row],[EoM Created]]&lt;=Index!$E$4)</f>
        <v>1</v>
      </c>
      <c r="N120" t="b" cm="1">
        <f t="array" ref="N120">_xlfn.XLOOKUP(Sales_Data[[#This Row],[Sales Team]],_xlfn.ANCHORARRAY(Dashboard!$B$9),Dashboard!$D$9:$D$10,,0)</f>
        <v>1</v>
      </c>
      <c r="O120" t="b" cm="1">
        <f t="array" ref="O120">_xlfn.XLOOKUP(Sales_Data[[#This Row],[Sales Rep]],_xlfn.ANCHORARRAY(Dashboard!$B$13),Dashboard!$D$13:$D$17,,0)</f>
        <v>1</v>
      </c>
      <c r="P120" t="b" cm="1">
        <f t="array" ref="P120">_xlfn.XLOOKUP(Sales_Data[[#This Row],[Stage]],_xlfn.ANCHORARRAY(Dashboard!$B$20),Dashboard!$D$20:$D$25)</f>
        <v>1</v>
      </c>
      <c r="Q120" t="b" cm="1">
        <f t="array" ref="Q120">_xlfn.XLOOKUP(Sales_Data[[#This Row],[Lead Source]],_xlfn.ANCHORARRAY(Dashboard!$B$28),Dashboard!$D$28:$D$32)</f>
        <v>1</v>
      </c>
      <c r="R120">
        <f>Sales_Data[[#This Row],[Date inc]]*Sales_Data[[#This Row],[Team Inc]]*Sales_Data[[#This Row],[Rep Inc]]*Sales_Data[[#This Row],[Stage Inc]]*Sales_Data[[#This Row],[Source Inc]]</f>
        <v>1</v>
      </c>
    </row>
    <row r="121" spans="1:18" x14ac:dyDescent="0.3">
      <c r="A121" t="s">
        <v>128</v>
      </c>
      <c r="B121" s="2">
        <v>44998</v>
      </c>
      <c r="C121" t="s">
        <v>763</v>
      </c>
      <c r="D121" t="s">
        <v>765</v>
      </c>
      <c r="E121" t="s">
        <v>768</v>
      </c>
      <c r="F121" s="5">
        <v>47500</v>
      </c>
      <c r="G121" t="s">
        <v>780</v>
      </c>
      <c r="H121" s="2">
        <v>45079</v>
      </c>
      <c r="J121" t="str">
        <f>IF(Sales_Data[[#This Row],[Close Date]] &lt;&gt; 0,"Closed", "Open")</f>
        <v>Closed</v>
      </c>
      <c r="K121">
        <f>IF(Sales_Data[[#This Row],[Open/Closed]] = "Closed",Sales_Data[[#This Row],[Close Date]]-Sales_Data[[#This Row],[Created Date]],"")</f>
        <v>81</v>
      </c>
      <c r="L121" s="2">
        <f>EOMONTH(Sales_Data[[#This Row],[Created Date]],0)</f>
        <v>45016</v>
      </c>
      <c r="M121" t="b">
        <f>AND(Sales_Data[[#This Row],[EoM Created]]&gt;=Index!$E$5,Sales_Data[[#This Row],[EoM Created]]&lt;=Index!$E$4)</f>
        <v>0</v>
      </c>
      <c r="N121" t="b" cm="1">
        <f t="array" ref="N121">_xlfn.XLOOKUP(Sales_Data[[#This Row],[Sales Team]],_xlfn.ANCHORARRAY(Dashboard!$B$9),Dashboard!$D$9:$D$10,,0)</f>
        <v>1</v>
      </c>
      <c r="O121" t="b" cm="1">
        <f t="array" ref="O121">_xlfn.XLOOKUP(Sales_Data[[#This Row],[Sales Rep]],_xlfn.ANCHORARRAY(Dashboard!$B$13),Dashboard!$D$13:$D$17,,0)</f>
        <v>1</v>
      </c>
      <c r="P121" t="b" cm="1">
        <f t="array" ref="P121">_xlfn.XLOOKUP(Sales_Data[[#This Row],[Stage]],_xlfn.ANCHORARRAY(Dashboard!$B$20),Dashboard!$D$20:$D$25)</f>
        <v>1</v>
      </c>
      <c r="Q121" t="b" cm="1">
        <f t="array" ref="Q121">_xlfn.XLOOKUP(Sales_Data[[#This Row],[Lead Source]],_xlfn.ANCHORARRAY(Dashboard!$B$28),Dashboard!$D$28:$D$32)</f>
        <v>1</v>
      </c>
      <c r="R121">
        <f>Sales_Data[[#This Row],[Date inc]]*Sales_Data[[#This Row],[Team Inc]]*Sales_Data[[#This Row],[Rep Inc]]*Sales_Data[[#This Row],[Stage Inc]]*Sales_Data[[#This Row],[Source Inc]]</f>
        <v>0</v>
      </c>
    </row>
    <row r="122" spans="1:18" x14ac:dyDescent="0.3">
      <c r="A122" t="s">
        <v>129</v>
      </c>
      <c r="B122" s="2">
        <v>45371</v>
      </c>
      <c r="C122" t="s">
        <v>762</v>
      </c>
      <c r="D122" t="s">
        <v>764</v>
      </c>
      <c r="E122" t="s">
        <v>766</v>
      </c>
      <c r="F122" s="5">
        <v>47900</v>
      </c>
      <c r="G122" t="s">
        <v>781</v>
      </c>
      <c r="H122" s="2">
        <v>45450</v>
      </c>
      <c r="I122" t="s">
        <v>779</v>
      </c>
      <c r="J122" t="str">
        <f>IF(Sales_Data[[#This Row],[Close Date]] &lt;&gt; 0,"Closed", "Open")</f>
        <v>Closed</v>
      </c>
      <c r="K122">
        <f>IF(Sales_Data[[#This Row],[Open/Closed]] = "Closed",Sales_Data[[#This Row],[Close Date]]-Sales_Data[[#This Row],[Created Date]],"")</f>
        <v>79</v>
      </c>
      <c r="L122" s="2">
        <f>EOMONTH(Sales_Data[[#This Row],[Created Date]],0)</f>
        <v>45382</v>
      </c>
      <c r="M122" t="b">
        <f>AND(Sales_Data[[#This Row],[EoM Created]]&gt;=Index!$E$5,Sales_Data[[#This Row],[EoM Created]]&lt;=Index!$E$4)</f>
        <v>1</v>
      </c>
      <c r="N122" t="b" cm="1">
        <f t="array" ref="N122">_xlfn.XLOOKUP(Sales_Data[[#This Row],[Sales Team]],_xlfn.ANCHORARRAY(Dashboard!$B$9),Dashboard!$D$9:$D$10,,0)</f>
        <v>1</v>
      </c>
      <c r="O122" t="b" cm="1">
        <f t="array" ref="O122">_xlfn.XLOOKUP(Sales_Data[[#This Row],[Sales Rep]],_xlfn.ANCHORARRAY(Dashboard!$B$13),Dashboard!$D$13:$D$17,,0)</f>
        <v>1</v>
      </c>
      <c r="P122" t="b" cm="1">
        <f t="array" ref="P122">_xlfn.XLOOKUP(Sales_Data[[#This Row],[Stage]],_xlfn.ANCHORARRAY(Dashboard!$B$20),Dashboard!$D$20:$D$25)</f>
        <v>1</v>
      </c>
      <c r="Q122" t="b" cm="1">
        <f t="array" ref="Q122">_xlfn.XLOOKUP(Sales_Data[[#This Row],[Lead Source]],_xlfn.ANCHORARRAY(Dashboard!$B$28),Dashboard!$D$28:$D$32)</f>
        <v>1</v>
      </c>
      <c r="R122">
        <f>Sales_Data[[#This Row],[Date inc]]*Sales_Data[[#This Row],[Team Inc]]*Sales_Data[[#This Row],[Rep Inc]]*Sales_Data[[#This Row],[Stage Inc]]*Sales_Data[[#This Row],[Source Inc]]</f>
        <v>1</v>
      </c>
    </row>
    <row r="123" spans="1:18" x14ac:dyDescent="0.3">
      <c r="A123" t="s">
        <v>130</v>
      </c>
      <c r="B123" s="2">
        <v>45009</v>
      </c>
      <c r="C123" t="s">
        <v>763</v>
      </c>
      <c r="D123" t="s">
        <v>765</v>
      </c>
      <c r="E123" t="s">
        <v>769</v>
      </c>
      <c r="F123" s="5">
        <v>30900</v>
      </c>
      <c r="G123" t="s">
        <v>780</v>
      </c>
      <c r="H123" s="2">
        <v>45085</v>
      </c>
      <c r="J123" t="str">
        <f>IF(Sales_Data[[#This Row],[Close Date]] &lt;&gt; 0,"Closed", "Open")</f>
        <v>Closed</v>
      </c>
      <c r="K123">
        <f>IF(Sales_Data[[#This Row],[Open/Closed]] = "Closed",Sales_Data[[#This Row],[Close Date]]-Sales_Data[[#This Row],[Created Date]],"")</f>
        <v>76</v>
      </c>
      <c r="L123" s="2">
        <f>EOMONTH(Sales_Data[[#This Row],[Created Date]],0)</f>
        <v>45016</v>
      </c>
      <c r="M123" t="b">
        <f>AND(Sales_Data[[#This Row],[EoM Created]]&gt;=Index!$E$5,Sales_Data[[#This Row],[EoM Created]]&lt;=Index!$E$4)</f>
        <v>0</v>
      </c>
      <c r="N123" t="b" cm="1">
        <f t="array" ref="N123">_xlfn.XLOOKUP(Sales_Data[[#This Row],[Sales Team]],_xlfn.ANCHORARRAY(Dashboard!$B$9),Dashboard!$D$9:$D$10,,0)</f>
        <v>1</v>
      </c>
      <c r="O123" t="b" cm="1">
        <f t="array" ref="O123">_xlfn.XLOOKUP(Sales_Data[[#This Row],[Sales Rep]],_xlfn.ANCHORARRAY(Dashboard!$B$13),Dashboard!$D$13:$D$17,,0)</f>
        <v>1</v>
      </c>
      <c r="P123" t="b" cm="1">
        <f t="array" ref="P123">_xlfn.XLOOKUP(Sales_Data[[#This Row],[Stage]],_xlfn.ANCHORARRAY(Dashboard!$B$20),Dashboard!$D$20:$D$25)</f>
        <v>1</v>
      </c>
      <c r="Q123" t="b" cm="1">
        <f t="array" ref="Q123">_xlfn.XLOOKUP(Sales_Data[[#This Row],[Lead Source]],_xlfn.ANCHORARRAY(Dashboard!$B$28),Dashboard!$D$28:$D$32)</f>
        <v>1</v>
      </c>
      <c r="R123">
        <f>Sales_Data[[#This Row],[Date inc]]*Sales_Data[[#This Row],[Team Inc]]*Sales_Data[[#This Row],[Rep Inc]]*Sales_Data[[#This Row],[Stage Inc]]*Sales_Data[[#This Row],[Source Inc]]</f>
        <v>0</v>
      </c>
    </row>
    <row r="124" spans="1:18" x14ac:dyDescent="0.3">
      <c r="A124" t="s">
        <v>131</v>
      </c>
      <c r="B124" s="2">
        <v>45464</v>
      </c>
      <c r="C124" t="s">
        <v>759</v>
      </c>
      <c r="D124" t="s">
        <v>764</v>
      </c>
      <c r="E124" t="s">
        <v>766</v>
      </c>
      <c r="F124" s="5">
        <v>54000</v>
      </c>
      <c r="G124" t="s">
        <v>781</v>
      </c>
      <c r="H124" s="2">
        <v>45534</v>
      </c>
      <c r="I124" t="s">
        <v>779</v>
      </c>
      <c r="J124" t="str">
        <f>IF(Sales_Data[[#This Row],[Close Date]] &lt;&gt; 0,"Closed", "Open")</f>
        <v>Closed</v>
      </c>
      <c r="K124">
        <f>IF(Sales_Data[[#This Row],[Open/Closed]] = "Closed",Sales_Data[[#This Row],[Close Date]]-Sales_Data[[#This Row],[Created Date]],"")</f>
        <v>70</v>
      </c>
      <c r="L124" s="2">
        <f>EOMONTH(Sales_Data[[#This Row],[Created Date]],0)</f>
        <v>45473</v>
      </c>
      <c r="M124" t="b">
        <f>AND(Sales_Data[[#This Row],[EoM Created]]&gt;=Index!$E$5,Sales_Data[[#This Row],[EoM Created]]&lt;=Index!$E$4)</f>
        <v>1</v>
      </c>
      <c r="N124" t="b" cm="1">
        <f t="array" ref="N124">_xlfn.XLOOKUP(Sales_Data[[#This Row],[Sales Team]],_xlfn.ANCHORARRAY(Dashboard!$B$9),Dashboard!$D$9:$D$10,,0)</f>
        <v>1</v>
      </c>
      <c r="O124" t="b" cm="1">
        <f t="array" ref="O124">_xlfn.XLOOKUP(Sales_Data[[#This Row],[Sales Rep]],_xlfn.ANCHORARRAY(Dashboard!$B$13),Dashboard!$D$13:$D$17,,0)</f>
        <v>1</v>
      </c>
      <c r="P124" t="b" cm="1">
        <f t="array" ref="P124">_xlfn.XLOOKUP(Sales_Data[[#This Row],[Stage]],_xlfn.ANCHORARRAY(Dashboard!$B$20),Dashboard!$D$20:$D$25)</f>
        <v>1</v>
      </c>
      <c r="Q124" t="b" cm="1">
        <f t="array" ref="Q124">_xlfn.XLOOKUP(Sales_Data[[#This Row],[Lead Source]],_xlfn.ANCHORARRAY(Dashboard!$B$28),Dashboard!$D$28:$D$32)</f>
        <v>1</v>
      </c>
      <c r="R124">
        <f>Sales_Data[[#This Row],[Date inc]]*Sales_Data[[#This Row],[Team Inc]]*Sales_Data[[#This Row],[Rep Inc]]*Sales_Data[[#This Row],[Stage Inc]]*Sales_Data[[#This Row],[Source Inc]]</f>
        <v>1</v>
      </c>
    </row>
    <row r="125" spans="1:18" x14ac:dyDescent="0.3">
      <c r="A125" t="s">
        <v>132</v>
      </c>
      <c r="B125" s="2">
        <v>45561</v>
      </c>
      <c r="C125" t="s">
        <v>762</v>
      </c>
      <c r="D125" t="s">
        <v>764</v>
      </c>
      <c r="E125" t="s">
        <v>766</v>
      </c>
      <c r="F125" s="5">
        <v>26000</v>
      </c>
      <c r="G125" t="s">
        <v>781</v>
      </c>
      <c r="H125" s="2">
        <v>45628</v>
      </c>
      <c r="I125" t="s">
        <v>776</v>
      </c>
      <c r="J125" t="str">
        <f>IF(Sales_Data[[#This Row],[Close Date]] &lt;&gt; 0,"Closed", "Open")</f>
        <v>Closed</v>
      </c>
      <c r="K125">
        <f>IF(Sales_Data[[#This Row],[Open/Closed]] = "Closed",Sales_Data[[#This Row],[Close Date]]-Sales_Data[[#This Row],[Created Date]],"")</f>
        <v>67</v>
      </c>
      <c r="L125" s="2">
        <f>EOMONTH(Sales_Data[[#This Row],[Created Date]],0)</f>
        <v>45565</v>
      </c>
      <c r="M125" t="b">
        <f>AND(Sales_Data[[#This Row],[EoM Created]]&gt;=Index!$E$5,Sales_Data[[#This Row],[EoM Created]]&lt;=Index!$E$4)</f>
        <v>1</v>
      </c>
      <c r="N125" t="b" cm="1">
        <f t="array" ref="N125">_xlfn.XLOOKUP(Sales_Data[[#This Row],[Sales Team]],_xlfn.ANCHORARRAY(Dashboard!$B$9),Dashboard!$D$9:$D$10,,0)</f>
        <v>1</v>
      </c>
      <c r="O125" t="b" cm="1">
        <f t="array" ref="O125">_xlfn.XLOOKUP(Sales_Data[[#This Row],[Sales Rep]],_xlfn.ANCHORARRAY(Dashboard!$B$13),Dashboard!$D$13:$D$17,,0)</f>
        <v>1</v>
      </c>
      <c r="P125" t="b" cm="1">
        <f t="array" ref="P125">_xlfn.XLOOKUP(Sales_Data[[#This Row],[Stage]],_xlfn.ANCHORARRAY(Dashboard!$B$20),Dashboard!$D$20:$D$25)</f>
        <v>1</v>
      </c>
      <c r="Q125" t="b" cm="1">
        <f t="array" ref="Q125">_xlfn.XLOOKUP(Sales_Data[[#This Row],[Lead Source]],_xlfn.ANCHORARRAY(Dashboard!$B$28),Dashboard!$D$28:$D$32)</f>
        <v>1</v>
      </c>
      <c r="R125">
        <f>Sales_Data[[#This Row],[Date inc]]*Sales_Data[[#This Row],[Team Inc]]*Sales_Data[[#This Row],[Rep Inc]]*Sales_Data[[#This Row],[Stage Inc]]*Sales_Data[[#This Row],[Source Inc]]</f>
        <v>1</v>
      </c>
    </row>
    <row r="126" spans="1:18" x14ac:dyDescent="0.3">
      <c r="A126" t="s">
        <v>133</v>
      </c>
      <c r="B126" s="2">
        <v>45071</v>
      </c>
      <c r="C126" t="s">
        <v>763</v>
      </c>
      <c r="D126" t="s">
        <v>765</v>
      </c>
      <c r="E126" t="s">
        <v>770</v>
      </c>
      <c r="F126" s="5">
        <v>45900</v>
      </c>
      <c r="G126" t="s">
        <v>781</v>
      </c>
      <c r="H126" s="2">
        <v>45159</v>
      </c>
      <c r="I126" t="s">
        <v>779</v>
      </c>
      <c r="J126" t="str">
        <f>IF(Sales_Data[[#This Row],[Close Date]] &lt;&gt; 0,"Closed", "Open")</f>
        <v>Closed</v>
      </c>
      <c r="K126">
        <f>IF(Sales_Data[[#This Row],[Open/Closed]] = "Closed",Sales_Data[[#This Row],[Close Date]]-Sales_Data[[#This Row],[Created Date]],"")</f>
        <v>88</v>
      </c>
      <c r="L126" s="2">
        <f>EOMONTH(Sales_Data[[#This Row],[Created Date]],0)</f>
        <v>45077</v>
      </c>
      <c r="M126" t="b">
        <f>AND(Sales_Data[[#This Row],[EoM Created]]&gt;=Index!$E$5,Sales_Data[[#This Row],[EoM Created]]&lt;=Index!$E$4)</f>
        <v>0</v>
      </c>
      <c r="N126" t="b" cm="1">
        <f t="array" ref="N126">_xlfn.XLOOKUP(Sales_Data[[#This Row],[Sales Team]],_xlfn.ANCHORARRAY(Dashboard!$B$9),Dashboard!$D$9:$D$10,,0)</f>
        <v>1</v>
      </c>
      <c r="O126" t="b" cm="1">
        <f t="array" ref="O126">_xlfn.XLOOKUP(Sales_Data[[#This Row],[Sales Rep]],_xlfn.ANCHORARRAY(Dashboard!$B$13),Dashboard!$D$13:$D$17,,0)</f>
        <v>1</v>
      </c>
      <c r="P126" t="b" cm="1">
        <f t="array" ref="P126">_xlfn.XLOOKUP(Sales_Data[[#This Row],[Stage]],_xlfn.ANCHORARRAY(Dashboard!$B$20),Dashboard!$D$20:$D$25)</f>
        <v>1</v>
      </c>
      <c r="Q126" t="b" cm="1">
        <f t="array" ref="Q126">_xlfn.XLOOKUP(Sales_Data[[#This Row],[Lead Source]],_xlfn.ANCHORARRAY(Dashboard!$B$28),Dashboard!$D$28:$D$32)</f>
        <v>1</v>
      </c>
      <c r="R126">
        <f>Sales_Data[[#This Row],[Date inc]]*Sales_Data[[#This Row],[Team Inc]]*Sales_Data[[#This Row],[Rep Inc]]*Sales_Data[[#This Row],[Stage Inc]]*Sales_Data[[#This Row],[Source Inc]]</f>
        <v>0</v>
      </c>
    </row>
    <row r="127" spans="1:18" x14ac:dyDescent="0.3">
      <c r="A127" t="s">
        <v>134</v>
      </c>
      <c r="B127" s="2">
        <v>45430</v>
      </c>
      <c r="C127" t="s">
        <v>761</v>
      </c>
      <c r="D127" t="s">
        <v>765</v>
      </c>
      <c r="E127" t="s">
        <v>768</v>
      </c>
      <c r="F127" s="5">
        <v>61900</v>
      </c>
      <c r="G127" t="s">
        <v>781</v>
      </c>
      <c r="H127" s="2">
        <v>45507</v>
      </c>
      <c r="I127" t="s">
        <v>779</v>
      </c>
      <c r="J127" t="str">
        <f>IF(Sales_Data[[#This Row],[Close Date]] &lt;&gt; 0,"Closed", "Open")</f>
        <v>Closed</v>
      </c>
      <c r="K127">
        <f>IF(Sales_Data[[#This Row],[Open/Closed]] = "Closed",Sales_Data[[#This Row],[Close Date]]-Sales_Data[[#This Row],[Created Date]],"")</f>
        <v>77</v>
      </c>
      <c r="L127" s="2">
        <f>EOMONTH(Sales_Data[[#This Row],[Created Date]],0)</f>
        <v>45443</v>
      </c>
      <c r="M127" t="b">
        <f>AND(Sales_Data[[#This Row],[EoM Created]]&gt;=Index!$E$5,Sales_Data[[#This Row],[EoM Created]]&lt;=Index!$E$4)</f>
        <v>1</v>
      </c>
      <c r="N127" t="b" cm="1">
        <f t="array" ref="N127">_xlfn.XLOOKUP(Sales_Data[[#This Row],[Sales Team]],_xlfn.ANCHORARRAY(Dashboard!$B$9),Dashboard!$D$9:$D$10,,0)</f>
        <v>1</v>
      </c>
      <c r="O127" t="b" cm="1">
        <f t="array" ref="O127">_xlfn.XLOOKUP(Sales_Data[[#This Row],[Sales Rep]],_xlfn.ANCHORARRAY(Dashboard!$B$13),Dashboard!$D$13:$D$17,,0)</f>
        <v>1</v>
      </c>
      <c r="P127" t="b" cm="1">
        <f t="array" ref="P127">_xlfn.XLOOKUP(Sales_Data[[#This Row],[Stage]],_xlfn.ANCHORARRAY(Dashboard!$B$20),Dashboard!$D$20:$D$25)</f>
        <v>1</v>
      </c>
      <c r="Q127" t="b" cm="1">
        <f t="array" ref="Q127">_xlfn.XLOOKUP(Sales_Data[[#This Row],[Lead Source]],_xlfn.ANCHORARRAY(Dashboard!$B$28),Dashboard!$D$28:$D$32)</f>
        <v>1</v>
      </c>
      <c r="R127">
        <f>Sales_Data[[#This Row],[Date inc]]*Sales_Data[[#This Row],[Team Inc]]*Sales_Data[[#This Row],[Rep Inc]]*Sales_Data[[#This Row],[Stage Inc]]*Sales_Data[[#This Row],[Source Inc]]</f>
        <v>1</v>
      </c>
    </row>
    <row r="128" spans="1:18" x14ac:dyDescent="0.3">
      <c r="A128" t="s">
        <v>135</v>
      </c>
      <c r="B128" s="2">
        <v>45828</v>
      </c>
      <c r="C128" t="s">
        <v>760</v>
      </c>
      <c r="D128" t="s">
        <v>764</v>
      </c>
      <c r="E128" t="s">
        <v>767</v>
      </c>
      <c r="F128" s="5">
        <v>30100</v>
      </c>
      <c r="G128" t="s">
        <v>780</v>
      </c>
      <c r="H128" s="2">
        <v>45914</v>
      </c>
      <c r="J128" t="str">
        <f>IF(Sales_Data[[#This Row],[Close Date]] &lt;&gt; 0,"Closed", "Open")</f>
        <v>Closed</v>
      </c>
      <c r="K128">
        <f>IF(Sales_Data[[#This Row],[Open/Closed]] = "Closed",Sales_Data[[#This Row],[Close Date]]-Sales_Data[[#This Row],[Created Date]],"")</f>
        <v>86</v>
      </c>
      <c r="L128" s="2">
        <f>EOMONTH(Sales_Data[[#This Row],[Created Date]],0)</f>
        <v>45838</v>
      </c>
      <c r="M128" t="b">
        <f>AND(Sales_Data[[#This Row],[EoM Created]]&gt;=Index!$E$5,Sales_Data[[#This Row],[EoM Created]]&lt;=Index!$E$4)</f>
        <v>1</v>
      </c>
      <c r="N128" t="b" cm="1">
        <f t="array" ref="N128">_xlfn.XLOOKUP(Sales_Data[[#This Row],[Sales Team]],_xlfn.ANCHORARRAY(Dashboard!$B$9),Dashboard!$D$9:$D$10,,0)</f>
        <v>1</v>
      </c>
      <c r="O128" t="b" cm="1">
        <f t="array" ref="O128">_xlfn.XLOOKUP(Sales_Data[[#This Row],[Sales Rep]],_xlfn.ANCHORARRAY(Dashboard!$B$13),Dashboard!$D$13:$D$17,,0)</f>
        <v>1</v>
      </c>
      <c r="P128" t="b" cm="1">
        <f t="array" ref="P128">_xlfn.XLOOKUP(Sales_Data[[#This Row],[Stage]],_xlfn.ANCHORARRAY(Dashboard!$B$20),Dashboard!$D$20:$D$25)</f>
        <v>1</v>
      </c>
      <c r="Q128" t="b" cm="1">
        <f t="array" ref="Q128">_xlfn.XLOOKUP(Sales_Data[[#This Row],[Lead Source]],_xlfn.ANCHORARRAY(Dashboard!$B$28),Dashboard!$D$28:$D$32)</f>
        <v>1</v>
      </c>
      <c r="R128">
        <f>Sales_Data[[#This Row],[Date inc]]*Sales_Data[[#This Row],[Team Inc]]*Sales_Data[[#This Row],[Rep Inc]]*Sales_Data[[#This Row],[Stage Inc]]*Sales_Data[[#This Row],[Source Inc]]</f>
        <v>1</v>
      </c>
    </row>
    <row r="129" spans="1:18" x14ac:dyDescent="0.3">
      <c r="A129" t="s">
        <v>136</v>
      </c>
      <c r="B129" s="2">
        <v>45532</v>
      </c>
      <c r="C129" t="s">
        <v>759</v>
      </c>
      <c r="D129" t="s">
        <v>764</v>
      </c>
      <c r="E129" t="s">
        <v>766</v>
      </c>
      <c r="F129" s="5">
        <v>34300</v>
      </c>
      <c r="G129" t="s">
        <v>780</v>
      </c>
      <c r="H129" s="2">
        <v>45622</v>
      </c>
      <c r="J129" t="str">
        <f>IF(Sales_Data[[#This Row],[Close Date]] &lt;&gt; 0,"Closed", "Open")</f>
        <v>Closed</v>
      </c>
      <c r="K129">
        <f>IF(Sales_Data[[#This Row],[Open/Closed]] = "Closed",Sales_Data[[#This Row],[Close Date]]-Sales_Data[[#This Row],[Created Date]],"")</f>
        <v>90</v>
      </c>
      <c r="L129" s="2">
        <f>EOMONTH(Sales_Data[[#This Row],[Created Date]],0)</f>
        <v>45535</v>
      </c>
      <c r="M129" t="b">
        <f>AND(Sales_Data[[#This Row],[EoM Created]]&gt;=Index!$E$5,Sales_Data[[#This Row],[EoM Created]]&lt;=Index!$E$4)</f>
        <v>1</v>
      </c>
      <c r="N129" t="b" cm="1">
        <f t="array" ref="N129">_xlfn.XLOOKUP(Sales_Data[[#This Row],[Sales Team]],_xlfn.ANCHORARRAY(Dashboard!$B$9),Dashboard!$D$9:$D$10,,0)</f>
        <v>1</v>
      </c>
      <c r="O129" t="b" cm="1">
        <f t="array" ref="O129">_xlfn.XLOOKUP(Sales_Data[[#This Row],[Sales Rep]],_xlfn.ANCHORARRAY(Dashboard!$B$13),Dashboard!$D$13:$D$17,,0)</f>
        <v>1</v>
      </c>
      <c r="P129" t="b" cm="1">
        <f t="array" ref="P129">_xlfn.XLOOKUP(Sales_Data[[#This Row],[Stage]],_xlfn.ANCHORARRAY(Dashboard!$B$20),Dashboard!$D$20:$D$25)</f>
        <v>1</v>
      </c>
      <c r="Q129" t="b" cm="1">
        <f t="array" ref="Q129">_xlfn.XLOOKUP(Sales_Data[[#This Row],[Lead Source]],_xlfn.ANCHORARRAY(Dashboard!$B$28),Dashboard!$D$28:$D$32)</f>
        <v>1</v>
      </c>
      <c r="R129">
        <f>Sales_Data[[#This Row],[Date inc]]*Sales_Data[[#This Row],[Team Inc]]*Sales_Data[[#This Row],[Rep Inc]]*Sales_Data[[#This Row],[Stage Inc]]*Sales_Data[[#This Row],[Source Inc]]</f>
        <v>1</v>
      </c>
    </row>
    <row r="130" spans="1:18" x14ac:dyDescent="0.3">
      <c r="A130" t="s">
        <v>137</v>
      </c>
      <c r="B130" s="2">
        <v>45195</v>
      </c>
      <c r="C130" t="s">
        <v>762</v>
      </c>
      <c r="D130" t="s">
        <v>764</v>
      </c>
      <c r="E130" t="s">
        <v>767</v>
      </c>
      <c r="F130" s="5">
        <v>41000</v>
      </c>
      <c r="G130" t="s">
        <v>780</v>
      </c>
      <c r="H130" s="2">
        <v>45271</v>
      </c>
      <c r="J130" t="str">
        <f>IF(Sales_Data[[#This Row],[Close Date]] &lt;&gt; 0,"Closed", "Open")</f>
        <v>Closed</v>
      </c>
      <c r="K130">
        <f>IF(Sales_Data[[#This Row],[Open/Closed]] = "Closed",Sales_Data[[#This Row],[Close Date]]-Sales_Data[[#This Row],[Created Date]],"")</f>
        <v>76</v>
      </c>
      <c r="L130" s="2">
        <f>EOMONTH(Sales_Data[[#This Row],[Created Date]],0)</f>
        <v>45199</v>
      </c>
      <c r="M130" t="b">
        <f>AND(Sales_Data[[#This Row],[EoM Created]]&gt;=Index!$E$5,Sales_Data[[#This Row],[EoM Created]]&lt;=Index!$E$4)</f>
        <v>1</v>
      </c>
      <c r="N130" t="b" cm="1">
        <f t="array" ref="N130">_xlfn.XLOOKUP(Sales_Data[[#This Row],[Sales Team]],_xlfn.ANCHORARRAY(Dashboard!$B$9),Dashboard!$D$9:$D$10,,0)</f>
        <v>1</v>
      </c>
      <c r="O130" t="b" cm="1">
        <f t="array" ref="O130">_xlfn.XLOOKUP(Sales_Data[[#This Row],[Sales Rep]],_xlfn.ANCHORARRAY(Dashboard!$B$13),Dashboard!$D$13:$D$17,,0)</f>
        <v>1</v>
      </c>
      <c r="P130" t="b" cm="1">
        <f t="array" ref="P130">_xlfn.XLOOKUP(Sales_Data[[#This Row],[Stage]],_xlfn.ANCHORARRAY(Dashboard!$B$20),Dashboard!$D$20:$D$25)</f>
        <v>1</v>
      </c>
      <c r="Q130" t="b" cm="1">
        <f t="array" ref="Q130">_xlfn.XLOOKUP(Sales_Data[[#This Row],[Lead Source]],_xlfn.ANCHORARRAY(Dashboard!$B$28),Dashboard!$D$28:$D$32)</f>
        <v>1</v>
      </c>
      <c r="R130">
        <f>Sales_Data[[#This Row],[Date inc]]*Sales_Data[[#This Row],[Team Inc]]*Sales_Data[[#This Row],[Rep Inc]]*Sales_Data[[#This Row],[Stage Inc]]*Sales_Data[[#This Row],[Source Inc]]</f>
        <v>1</v>
      </c>
    </row>
    <row r="131" spans="1:18" x14ac:dyDescent="0.3">
      <c r="A131" t="s">
        <v>138</v>
      </c>
      <c r="B131" s="2">
        <v>45195</v>
      </c>
      <c r="C131" t="s">
        <v>760</v>
      </c>
      <c r="D131" t="s">
        <v>764</v>
      </c>
      <c r="E131" t="s">
        <v>767</v>
      </c>
      <c r="F131" s="5">
        <v>35000</v>
      </c>
      <c r="G131" t="s">
        <v>781</v>
      </c>
      <c r="H131" s="2">
        <v>45278</v>
      </c>
      <c r="I131" t="s">
        <v>779</v>
      </c>
      <c r="J131" t="str">
        <f>IF(Sales_Data[[#This Row],[Close Date]] &lt;&gt; 0,"Closed", "Open")</f>
        <v>Closed</v>
      </c>
      <c r="K131">
        <f>IF(Sales_Data[[#This Row],[Open/Closed]] = "Closed",Sales_Data[[#This Row],[Close Date]]-Sales_Data[[#This Row],[Created Date]],"")</f>
        <v>83</v>
      </c>
      <c r="L131" s="2">
        <f>EOMONTH(Sales_Data[[#This Row],[Created Date]],0)</f>
        <v>45199</v>
      </c>
      <c r="M131" t="b">
        <f>AND(Sales_Data[[#This Row],[EoM Created]]&gt;=Index!$E$5,Sales_Data[[#This Row],[EoM Created]]&lt;=Index!$E$4)</f>
        <v>1</v>
      </c>
      <c r="N131" t="b" cm="1">
        <f t="array" ref="N131">_xlfn.XLOOKUP(Sales_Data[[#This Row],[Sales Team]],_xlfn.ANCHORARRAY(Dashboard!$B$9),Dashboard!$D$9:$D$10,,0)</f>
        <v>1</v>
      </c>
      <c r="O131" t="b" cm="1">
        <f t="array" ref="O131">_xlfn.XLOOKUP(Sales_Data[[#This Row],[Sales Rep]],_xlfn.ANCHORARRAY(Dashboard!$B$13),Dashboard!$D$13:$D$17,,0)</f>
        <v>1</v>
      </c>
      <c r="P131" t="b" cm="1">
        <f t="array" ref="P131">_xlfn.XLOOKUP(Sales_Data[[#This Row],[Stage]],_xlfn.ANCHORARRAY(Dashboard!$B$20),Dashboard!$D$20:$D$25)</f>
        <v>1</v>
      </c>
      <c r="Q131" t="b" cm="1">
        <f t="array" ref="Q131">_xlfn.XLOOKUP(Sales_Data[[#This Row],[Lead Source]],_xlfn.ANCHORARRAY(Dashboard!$B$28),Dashboard!$D$28:$D$32)</f>
        <v>1</v>
      </c>
      <c r="R131">
        <f>Sales_Data[[#This Row],[Date inc]]*Sales_Data[[#This Row],[Team Inc]]*Sales_Data[[#This Row],[Rep Inc]]*Sales_Data[[#This Row],[Stage Inc]]*Sales_Data[[#This Row],[Source Inc]]</f>
        <v>1</v>
      </c>
    </row>
    <row r="132" spans="1:18" x14ac:dyDescent="0.3">
      <c r="A132" t="s">
        <v>139</v>
      </c>
      <c r="B132" s="2">
        <v>45443</v>
      </c>
      <c r="C132" t="s">
        <v>763</v>
      </c>
      <c r="D132" t="s">
        <v>765</v>
      </c>
      <c r="E132" t="s">
        <v>770</v>
      </c>
      <c r="F132" s="5">
        <v>24500</v>
      </c>
      <c r="G132" t="s">
        <v>781</v>
      </c>
      <c r="H132" s="2">
        <v>45503</v>
      </c>
      <c r="I132" t="s">
        <v>777</v>
      </c>
      <c r="J132" t="str">
        <f>IF(Sales_Data[[#This Row],[Close Date]] &lt;&gt; 0,"Closed", "Open")</f>
        <v>Closed</v>
      </c>
      <c r="K132">
        <f>IF(Sales_Data[[#This Row],[Open/Closed]] = "Closed",Sales_Data[[#This Row],[Close Date]]-Sales_Data[[#This Row],[Created Date]],"")</f>
        <v>60</v>
      </c>
      <c r="L132" s="2">
        <f>EOMONTH(Sales_Data[[#This Row],[Created Date]],0)</f>
        <v>45443</v>
      </c>
      <c r="M132" t="b">
        <f>AND(Sales_Data[[#This Row],[EoM Created]]&gt;=Index!$E$5,Sales_Data[[#This Row],[EoM Created]]&lt;=Index!$E$4)</f>
        <v>1</v>
      </c>
      <c r="N132" t="b" cm="1">
        <f t="array" ref="N132">_xlfn.XLOOKUP(Sales_Data[[#This Row],[Sales Team]],_xlfn.ANCHORARRAY(Dashboard!$B$9),Dashboard!$D$9:$D$10,,0)</f>
        <v>1</v>
      </c>
      <c r="O132" t="b" cm="1">
        <f t="array" ref="O132">_xlfn.XLOOKUP(Sales_Data[[#This Row],[Sales Rep]],_xlfn.ANCHORARRAY(Dashboard!$B$13),Dashboard!$D$13:$D$17,,0)</f>
        <v>1</v>
      </c>
      <c r="P132" t="b" cm="1">
        <f t="array" ref="P132">_xlfn.XLOOKUP(Sales_Data[[#This Row],[Stage]],_xlfn.ANCHORARRAY(Dashboard!$B$20),Dashboard!$D$20:$D$25)</f>
        <v>1</v>
      </c>
      <c r="Q132" t="b" cm="1">
        <f t="array" ref="Q132">_xlfn.XLOOKUP(Sales_Data[[#This Row],[Lead Source]],_xlfn.ANCHORARRAY(Dashboard!$B$28),Dashboard!$D$28:$D$32)</f>
        <v>1</v>
      </c>
      <c r="R132">
        <f>Sales_Data[[#This Row],[Date inc]]*Sales_Data[[#This Row],[Team Inc]]*Sales_Data[[#This Row],[Rep Inc]]*Sales_Data[[#This Row],[Stage Inc]]*Sales_Data[[#This Row],[Source Inc]]</f>
        <v>1</v>
      </c>
    </row>
    <row r="133" spans="1:18" x14ac:dyDescent="0.3">
      <c r="A133" t="s">
        <v>140</v>
      </c>
      <c r="B133" s="2">
        <v>45293</v>
      </c>
      <c r="C133" t="s">
        <v>762</v>
      </c>
      <c r="D133" t="s">
        <v>764</v>
      </c>
      <c r="E133" t="s">
        <v>766</v>
      </c>
      <c r="F133" s="5">
        <v>40700</v>
      </c>
      <c r="G133" t="s">
        <v>780</v>
      </c>
      <c r="H133" s="2">
        <v>45353</v>
      </c>
      <c r="J133" t="str">
        <f>IF(Sales_Data[[#This Row],[Close Date]] &lt;&gt; 0,"Closed", "Open")</f>
        <v>Closed</v>
      </c>
      <c r="K133">
        <f>IF(Sales_Data[[#This Row],[Open/Closed]] = "Closed",Sales_Data[[#This Row],[Close Date]]-Sales_Data[[#This Row],[Created Date]],"")</f>
        <v>60</v>
      </c>
      <c r="L133" s="2">
        <f>EOMONTH(Sales_Data[[#This Row],[Created Date]],0)</f>
        <v>45322</v>
      </c>
      <c r="M133" t="b">
        <f>AND(Sales_Data[[#This Row],[EoM Created]]&gt;=Index!$E$5,Sales_Data[[#This Row],[EoM Created]]&lt;=Index!$E$4)</f>
        <v>1</v>
      </c>
      <c r="N133" t="b" cm="1">
        <f t="array" ref="N133">_xlfn.XLOOKUP(Sales_Data[[#This Row],[Sales Team]],_xlfn.ANCHORARRAY(Dashboard!$B$9),Dashboard!$D$9:$D$10,,0)</f>
        <v>1</v>
      </c>
      <c r="O133" t="b" cm="1">
        <f t="array" ref="O133">_xlfn.XLOOKUP(Sales_Data[[#This Row],[Sales Rep]],_xlfn.ANCHORARRAY(Dashboard!$B$13),Dashboard!$D$13:$D$17,,0)</f>
        <v>1</v>
      </c>
      <c r="P133" t="b" cm="1">
        <f t="array" ref="P133">_xlfn.XLOOKUP(Sales_Data[[#This Row],[Stage]],_xlfn.ANCHORARRAY(Dashboard!$B$20),Dashboard!$D$20:$D$25)</f>
        <v>1</v>
      </c>
      <c r="Q133" t="b" cm="1">
        <f t="array" ref="Q133">_xlfn.XLOOKUP(Sales_Data[[#This Row],[Lead Source]],_xlfn.ANCHORARRAY(Dashboard!$B$28),Dashboard!$D$28:$D$32)</f>
        <v>1</v>
      </c>
      <c r="R133">
        <f>Sales_Data[[#This Row],[Date inc]]*Sales_Data[[#This Row],[Team Inc]]*Sales_Data[[#This Row],[Rep Inc]]*Sales_Data[[#This Row],[Stage Inc]]*Sales_Data[[#This Row],[Source Inc]]</f>
        <v>1</v>
      </c>
    </row>
    <row r="134" spans="1:18" x14ac:dyDescent="0.3">
      <c r="A134" t="s">
        <v>141</v>
      </c>
      <c r="B134" s="2">
        <v>45801</v>
      </c>
      <c r="C134" t="s">
        <v>762</v>
      </c>
      <c r="D134" t="s">
        <v>764</v>
      </c>
      <c r="E134" t="s">
        <v>766</v>
      </c>
      <c r="F134" s="5">
        <v>29400</v>
      </c>
      <c r="G134" t="s">
        <v>773</v>
      </c>
      <c r="H134" s="2"/>
      <c r="J134" t="str">
        <f>IF(Sales_Data[[#This Row],[Close Date]] &lt;&gt; 0,"Closed", "Open")</f>
        <v>Open</v>
      </c>
      <c r="K134" t="str">
        <f>IF(Sales_Data[[#This Row],[Open/Closed]] = "Closed",Sales_Data[[#This Row],[Close Date]]-Sales_Data[[#This Row],[Created Date]],"")</f>
        <v/>
      </c>
      <c r="L134" s="2">
        <f>EOMONTH(Sales_Data[[#This Row],[Created Date]],0)</f>
        <v>45808</v>
      </c>
      <c r="M134" t="b">
        <f>AND(Sales_Data[[#This Row],[EoM Created]]&gt;=Index!$E$5,Sales_Data[[#This Row],[EoM Created]]&lt;=Index!$E$4)</f>
        <v>1</v>
      </c>
      <c r="N134" t="b" cm="1">
        <f t="array" ref="N134">_xlfn.XLOOKUP(Sales_Data[[#This Row],[Sales Team]],_xlfn.ANCHORARRAY(Dashboard!$B$9),Dashboard!$D$9:$D$10,,0)</f>
        <v>1</v>
      </c>
      <c r="O134" t="b" cm="1">
        <f t="array" ref="O134">_xlfn.XLOOKUP(Sales_Data[[#This Row],[Sales Rep]],_xlfn.ANCHORARRAY(Dashboard!$B$13),Dashboard!$D$13:$D$17,,0)</f>
        <v>1</v>
      </c>
      <c r="P134" t="b" cm="1">
        <f t="array" ref="P134">_xlfn.XLOOKUP(Sales_Data[[#This Row],[Stage]],_xlfn.ANCHORARRAY(Dashboard!$B$20),Dashboard!$D$20:$D$25)</f>
        <v>1</v>
      </c>
      <c r="Q134" t="b" cm="1">
        <f t="array" ref="Q134">_xlfn.XLOOKUP(Sales_Data[[#This Row],[Lead Source]],_xlfn.ANCHORARRAY(Dashboard!$B$28),Dashboard!$D$28:$D$32)</f>
        <v>1</v>
      </c>
      <c r="R134">
        <f>Sales_Data[[#This Row],[Date inc]]*Sales_Data[[#This Row],[Team Inc]]*Sales_Data[[#This Row],[Rep Inc]]*Sales_Data[[#This Row],[Stage Inc]]*Sales_Data[[#This Row],[Source Inc]]</f>
        <v>1</v>
      </c>
    </row>
    <row r="135" spans="1:18" x14ac:dyDescent="0.3">
      <c r="A135" t="s">
        <v>142</v>
      </c>
      <c r="B135" s="2">
        <v>45070</v>
      </c>
      <c r="C135" t="s">
        <v>760</v>
      </c>
      <c r="D135" t="s">
        <v>764</v>
      </c>
      <c r="E135" t="s">
        <v>766</v>
      </c>
      <c r="F135" s="5">
        <v>44700</v>
      </c>
      <c r="G135" t="s">
        <v>781</v>
      </c>
      <c r="H135" s="2">
        <v>45138</v>
      </c>
      <c r="I135" t="s">
        <v>778</v>
      </c>
      <c r="J135" t="str">
        <f>IF(Sales_Data[[#This Row],[Close Date]] &lt;&gt; 0,"Closed", "Open")</f>
        <v>Closed</v>
      </c>
      <c r="K135">
        <f>IF(Sales_Data[[#This Row],[Open/Closed]] = "Closed",Sales_Data[[#This Row],[Close Date]]-Sales_Data[[#This Row],[Created Date]],"")</f>
        <v>68</v>
      </c>
      <c r="L135" s="2">
        <f>EOMONTH(Sales_Data[[#This Row],[Created Date]],0)</f>
        <v>45077</v>
      </c>
      <c r="M135" t="b">
        <f>AND(Sales_Data[[#This Row],[EoM Created]]&gt;=Index!$E$5,Sales_Data[[#This Row],[EoM Created]]&lt;=Index!$E$4)</f>
        <v>0</v>
      </c>
      <c r="N135" t="b" cm="1">
        <f t="array" ref="N135">_xlfn.XLOOKUP(Sales_Data[[#This Row],[Sales Team]],_xlfn.ANCHORARRAY(Dashboard!$B$9),Dashboard!$D$9:$D$10,,0)</f>
        <v>1</v>
      </c>
      <c r="O135" t="b" cm="1">
        <f t="array" ref="O135">_xlfn.XLOOKUP(Sales_Data[[#This Row],[Sales Rep]],_xlfn.ANCHORARRAY(Dashboard!$B$13),Dashboard!$D$13:$D$17,,0)</f>
        <v>1</v>
      </c>
      <c r="P135" t="b" cm="1">
        <f t="array" ref="P135">_xlfn.XLOOKUP(Sales_Data[[#This Row],[Stage]],_xlfn.ANCHORARRAY(Dashboard!$B$20),Dashboard!$D$20:$D$25)</f>
        <v>1</v>
      </c>
      <c r="Q135" t="b" cm="1">
        <f t="array" ref="Q135">_xlfn.XLOOKUP(Sales_Data[[#This Row],[Lead Source]],_xlfn.ANCHORARRAY(Dashboard!$B$28),Dashboard!$D$28:$D$32)</f>
        <v>1</v>
      </c>
      <c r="R135">
        <f>Sales_Data[[#This Row],[Date inc]]*Sales_Data[[#This Row],[Team Inc]]*Sales_Data[[#This Row],[Rep Inc]]*Sales_Data[[#This Row],[Stage Inc]]*Sales_Data[[#This Row],[Source Inc]]</f>
        <v>0</v>
      </c>
    </row>
    <row r="136" spans="1:18" x14ac:dyDescent="0.3">
      <c r="A136" t="s">
        <v>143</v>
      </c>
      <c r="B136" s="2">
        <v>45818</v>
      </c>
      <c r="C136" t="s">
        <v>761</v>
      </c>
      <c r="D136" t="s">
        <v>765</v>
      </c>
      <c r="E136" t="s">
        <v>769</v>
      </c>
      <c r="F136" s="5">
        <v>30800</v>
      </c>
      <c r="G136" t="s">
        <v>772</v>
      </c>
      <c r="H136" s="2"/>
      <c r="J136" t="str">
        <f>IF(Sales_Data[[#This Row],[Close Date]] &lt;&gt; 0,"Closed", "Open")</f>
        <v>Open</v>
      </c>
      <c r="K136" t="str">
        <f>IF(Sales_Data[[#This Row],[Open/Closed]] = "Closed",Sales_Data[[#This Row],[Close Date]]-Sales_Data[[#This Row],[Created Date]],"")</f>
        <v/>
      </c>
      <c r="L136" s="2">
        <f>EOMONTH(Sales_Data[[#This Row],[Created Date]],0)</f>
        <v>45838</v>
      </c>
      <c r="M136" t="b">
        <f>AND(Sales_Data[[#This Row],[EoM Created]]&gt;=Index!$E$5,Sales_Data[[#This Row],[EoM Created]]&lt;=Index!$E$4)</f>
        <v>1</v>
      </c>
      <c r="N136" t="b" cm="1">
        <f t="array" ref="N136">_xlfn.XLOOKUP(Sales_Data[[#This Row],[Sales Team]],_xlfn.ANCHORARRAY(Dashboard!$B$9),Dashboard!$D$9:$D$10,,0)</f>
        <v>1</v>
      </c>
      <c r="O136" t="b" cm="1">
        <f t="array" ref="O136">_xlfn.XLOOKUP(Sales_Data[[#This Row],[Sales Rep]],_xlfn.ANCHORARRAY(Dashboard!$B$13),Dashboard!$D$13:$D$17,,0)</f>
        <v>1</v>
      </c>
      <c r="P136" t="b" cm="1">
        <f t="array" ref="P136">_xlfn.XLOOKUP(Sales_Data[[#This Row],[Stage]],_xlfn.ANCHORARRAY(Dashboard!$B$20),Dashboard!$D$20:$D$25)</f>
        <v>1</v>
      </c>
      <c r="Q136" t="b" cm="1">
        <f t="array" ref="Q136">_xlfn.XLOOKUP(Sales_Data[[#This Row],[Lead Source]],_xlfn.ANCHORARRAY(Dashboard!$B$28),Dashboard!$D$28:$D$32)</f>
        <v>1</v>
      </c>
      <c r="R136">
        <f>Sales_Data[[#This Row],[Date inc]]*Sales_Data[[#This Row],[Team Inc]]*Sales_Data[[#This Row],[Rep Inc]]*Sales_Data[[#This Row],[Stage Inc]]*Sales_Data[[#This Row],[Source Inc]]</f>
        <v>1</v>
      </c>
    </row>
    <row r="137" spans="1:18" x14ac:dyDescent="0.3">
      <c r="A137" t="s">
        <v>144</v>
      </c>
      <c r="B137" s="2">
        <v>45090</v>
      </c>
      <c r="C137" t="s">
        <v>762</v>
      </c>
      <c r="D137" t="s">
        <v>764</v>
      </c>
      <c r="E137" t="s">
        <v>766</v>
      </c>
      <c r="F137" s="5">
        <v>55500</v>
      </c>
      <c r="G137" t="s">
        <v>781</v>
      </c>
      <c r="H137" s="2">
        <v>45161</v>
      </c>
      <c r="I137" t="s">
        <v>778</v>
      </c>
      <c r="J137" t="str">
        <f>IF(Sales_Data[[#This Row],[Close Date]] &lt;&gt; 0,"Closed", "Open")</f>
        <v>Closed</v>
      </c>
      <c r="K137">
        <f>IF(Sales_Data[[#This Row],[Open/Closed]] = "Closed",Sales_Data[[#This Row],[Close Date]]-Sales_Data[[#This Row],[Created Date]],"")</f>
        <v>71</v>
      </c>
      <c r="L137" s="2">
        <f>EOMONTH(Sales_Data[[#This Row],[Created Date]],0)</f>
        <v>45107</v>
      </c>
      <c r="M137" t="b">
        <f>AND(Sales_Data[[#This Row],[EoM Created]]&gt;=Index!$E$5,Sales_Data[[#This Row],[EoM Created]]&lt;=Index!$E$4)</f>
        <v>0</v>
      </c>
      <c r="N137" t="b" cm="1">
        <f t="array" ref="N137">_xlfn.XLOOKUP(Sales_Data[[#This Row],[Sales Team]],_xlfn.ANCHORARRAY(Dashboard!$B$9),Dashboard!$D$9:$D$10,,0)</f>
        <v>1</v>
      </c>
      <c r="O137" t="b" cm="1">
        <f t="array" ref="O137">_xlfn.XLOOKUP(Sales_Data[[#This Row],[Sales Rep]],_xlfn.ANCHORARRAY(Dashboard!$B$13),Dashboard!$D$13:$D$17,,0)</f>
        <v>1</v>
      </c>
      <c r="P137" t="b" cm="1">
        <f t="array" ref="P137">_xlfn.XLOOKUP(Sales_Data[[#This Row],[Stage]],_xlfn.ANCHORARRAY(Dashboard!$B$20),Dashboard!$D$20:$D$25)</f>
        <v>1</v>
      </c>
      <c r="Q137" t="b" cm="1">
        <f t="array" ref="Q137">_xlfn.XLOOKUP(Sales_Data[[#This Row],[Lead Source]],_xlfn.ANCHORARRAY(Dashboard!$B$28),Dashboard!$D$28:$D$32)</f>
        <v>1</v>
      </c>
      <c r="R137">
        <f>Sales_Data[[#This Row],[Date inc]]*Sales_Data[[#This Row],[Team Inc]]*Sales_Data[[#This Row],[Rep Inc]]*Sales_Data[[#This Row],[Stage Inc]]*Sales_Data[[#This Row],[Source Inc]]</f>
        <v>0</v>
      </c>
    </row>
    <row r="138" spans="1:18" x14ac:dyDescent="0.3">
      <c r="A138" t="s">
        <v>145</v>
      </c>
      <c r="B138" s="2">
        <v>44937</v>
      </c>
      <c r="C138" t="s">
        <v>761</v>
      </c>
      <c r="D138" t="s">
        <v>765</v>
      </c>
      <c r="E138" t="s">
        <v>768</v>
      </c>
      <c r="F138" s="5">
        <v>32200</v>
      </c>
      <c r="G138" t="s">
        <v>780</v>
      </c>
      <c r="H138" s="2">
        <v>45003</v>
      </c>
      <c r="J138" t="str">
        <f>IF(Sales_Data[[#This Row],[Close Date]] &lt;&gt; 0,"Closed", "Open")</f>
        <v>Closed</v>
      </c>
      <c r="K138">
        <f>IF(Sales_Data[[#This Row],[Open/Closed]] = "Closed",Sales_Data[[#This Row],[Close Date]]-Sales_Data[[#This Row],[Created Date]],"")</f>
        <v>66</v>
      </c>
      <c r="L138" s="2">
        <f>EOMONTH(Sales_Data[[#This Row],[Created Date]],0)</f>
        <v>44957</v>
      </c>
      <c r="M138" t="b">
        <f>AND(Sales_Data[[#This Row],[EoM Created]]&gt;=Index!$E$5,Sales_Data[[#This Row],[EoM Created]]&lt;=Index!$E$4)</f>
        <v>0</v>
      </c>
      <c r="N138" t="b" cm="1">
        <f t="array" ref="N138">_xlfn.XLOOKUP(Sales_Data[[#This Row],[Sales Team]],_xlfn.ANCHORARRAY(Dashboard!$B$9),Dashboard!$D$9:$D$10,,0)</f>
        <v>1</v>
      </c>
      <c r="O138" t="b" cm="1">
        <f t="array" ref="O138">_xlfn.XLOOKUP(Sales_Data[[#This Row],[Sales Rep]],_xlfn.ANCHORARRAY(Dashboard!$B$13),Dashboard!$D$13:$D$17,,0)</f>
        <v>1</v>
      </c>
      <c r="P138" t="b" cm="1">
        <f t="array" ref="P138">_xlfn.XLOOKUP(Sales_Data[[#This Row],[Stage]],_xlfn.ANCHORARRAY(Dashboard!$B$20),Dashboard!$D$20:$D$25)</f>
        <v>1</v>
      </c>
      <c r="Q138" t="b" cm="1">
        <f t="array" ref="Q138">_xlfn.XLOOKUP(Sales_Data[[#This Row],[Lead Source]],_xlfn.ANCHORARRAY(Dashboard!$B$28),Dashboard!$D$28:$D$32)</f>
        <v>1</v>
      </c>
      <c r="R138">
        <f>Sales_Data[[#This Row],[Date inc]]*Sales_Data[[#This Row],[Team Inc]]*Sales_Data[[#This Row],[Rep Inc]]*Sales_Data[[#This Row],[Stage Inc]]*Sales_Data[[#This Row],[Source Inc]]</f>
        <v>0</v>
      </c>
    </row>
    <row r="139" spans="1:18" x14ac:dyDescent="0.3">
      <c r="A139" t="s">
        <v>146</v>
      </c>
      <c r="B139" s="2">
        <v>44975</v>
      </c>
      <c r="C139" t="s">
        <v>762</v>
      </c>
      <c r="D139" t="s">
        <v>764</v>
      </c>
      <c r="E139" t="s">
        <v>766</v>
      </c>
      <c r="F139" s="5">
        <v>36800</v>
      </c>
      <c r="G139" t="s">
        <v>781</v>
      </c>
      <c r="H139" s="2">
        <v>45048</v>
      </c>
      <c r="I139" t="s">
        <v>775</v>
      </c>
      <c r="J139" t="str">
        <f>IF(Sales_Data[[#This Row],[Close Date]] &lt;&gt; 0,"Closed", "Open")</f>
        <v>Closed</v>
      </c>
      <c r="K139">
        <f>IF(Sales_Data[[#This Row],[Open/Closed]] = "Closed",Sales_Data[[#This Row],[Close Date]]-Sales_Data[[#This Row],[Created Date]],"")</f>
        <v>73</v>
      </c>
      <c r="L139" s="2">
        <f>EOMONTH(Sales_Data[[#This Row],[Created Date]],0)</f>
        <v>44985</v>
      </c>
      <c r="M139" t="b">
        <f>AND(Sales_Data[[#This Row],[EoM Created]]&gt;=Index!$E$5,Sales_Data[[#This Row],[EoM Created]]&lt;=Index!$E$4)</f>
        <v>0</v>
      </c>
      <c r="N139" t="b" cm="1">
        <f t="array" ref="N139">_xlfn.XLOOKUP(Sales_Data[[#This Row],[Sales Team]],_xlfn.ANCHORARRAY(Dashboard!$B$9),Dashboard!$D$9:$D$10,,0)</f>
        <v>1</v>
      </c>
      <c r="O139" t="b" cm="1">
        <f t="array" ref="O139">_xlfn.XLOOKUP(Sales_Data[[#This Row],[Sales Rep]],_xlfn.ANCHORARRAY(Dashboard!$B$13),Dashboard!$D$13:$D$17,,0)</f>
        <v>1</v>
      </c>
      <c r="P139" t="b" cm="1">
        <f t="array" ref="P139">_xlfn.XLOOKUP(Sales_Data[[#This Row],[Stage]],_xlfn.ANCHORARRAY(Dashboard!$B$20),Dashboard!$D$20:$D$25)</f>
        <v>1</v>
      </c>
      <c r="Q139" t="b" cm="1">
        <f t="array" ref="Q139">_xlfn.XLOOKUP(Sales_Data[[#This Row],[Lead Source]],_xlfn.ANCHORARRAY(Dashboard!$B$28),Dashboard!$D$28:$D$32)</f>
        <v>1</v>
      </c>
      <c r="R139">
        <f>Sales_Data[[#This Row],[Date inc]]*Sales_Data[[#This Row],[Team Inc]]*Sales_Data[[#This Row],[Rep Inc]]*Sales_Data[[#This Row],[Stage Inc]]*Sales_Data[[#This Row],[Source Inc]]</f>
        <v>0</v>
      </c>
    </row>
    <row r="140" spans="1:18" x14ac:dyDescent="0.3">
      <c r="A140" t="s">
        <v>147</v>
      </c>
      <c r="B140" s="2">
        <v>45677</v>
      </c>
      <c r="C140" t="s">
        <v>761</v>
      </c>
      <c r="D140" t="s">
        <v>765</v>
      </c>
      <c r="E140" t="s">
        <v>768</v>
      </c>
      <c r="F140" s="5">
        <v>48100</v>
      </c>
      <c r="G140" t="s">
        <v>781</v>
      </c>
      <c r="H140" s="2">
        <v>45739</v>
      </c>
      <c r="I140" t="s">
        <v>778</v>
      </c>
      <c r="J140" t="str">
        <f>IF(Sales_Data[[#This Row],[Close Date]] &lt;&gt; 0,"Closed", "Open")</f>
        <v>Closed</v>
      </c>
      <c r="K140">
        <f>IF(Sales_Data[[#This Row],[Open/Closed]] = "Closed",Sales_Data[[#This Row],[Close Date]]-Sales_Data[[#This Row],[Created Date]],"")</f>
        <v>62</v>
      </c>
      <c r="L140" s="2">
        <f>EOMONTH(Sales_Data[[#This Row],[Created Date]],0)</f>
        <v>45688</v>
      </c>
      <c r="M140" t="b">
        <f>AND(Sales_Data[[#This Row],[EoM Created]]&gt;=Index!$E$5,Sales_Data[[#This Row],[EoM Created]]&lt;=Index!$E$4)</f>
        <v>1</v>
      </c>
      <c r="N140" t="b" cm="1">
        <f t="array" ref="N140">_xlfn.XLOOKUP(Sales_Data[[#This Row],[Sales Team]],_xlfn.ANCHORARRAY(Dashboard!$B$9),Dashboard!$D$9:$D$10,,0)</f>
        <v>1</v>
      </c>
      <c r="O140" t="b" cm="1">
        <f t="array" ref="O140">_xlfn.XLOOKUP(Sales_Data[[#This Row],[Sales Rep]],_xlfn.ANCHORARRAY(Dashboard!$B$13),Dashboard!$D$13:$D$17,,0)</f>
        <v>1</v>
      </c>
      <c r="P140" t="b" cm="1">
        <f t="array" ref="P140">_xlfn.XLOOKUP(Sales_Data[[#This Row],[Stage]],_xlfn.ANCHORARRAY(Dashboard!$B$20),Dashboard!$D$20:$D$25)</f>
        <v>1</v>
      </c>
      <c r="Q140" t="b" cm="1">
        <f t="array" ref="Q140">_xlfn.XLOOKUP(Sales_Data[[#This Row],[Lead Source]],_xlfn.ANCHORARRAY(Dashboard!$B$28),Dashboard!$D$28:$D$32)</f>
        <v>1</v>
      </c>
      <c r="R140">
        <f>Sales_Data[[#This Row],[Date inc]]*Sales_Data[[#This Row],[Team Inc]]*Sales_Data[[#This Row],[Rep Inc]]*Sales_Data[[#This Row],[Stage Inc]]*Sales_Data[[#This Row],[Source Inc]]</f>
        <v>1</v>
      </c>
    </row>
    <row r="141" spans="1:18" x14ac:dyDescent="0.3">
      <c r="A141" t="s">
        <v>148</v>
      </c>
      <c r="B141" s="2">
        <v>45758</v>
      </c>
      <c r="C141" t="s">
        <v>762</v>
      </c>
      <c r="D141" t="s">
        <v>764</v>
      </c>
      <c r="E141" t="s">
        <v>766</v>
      </c>
      <c r="F141" s="5">
        <v>27700</v>
      </c>
      <c r="G141" t="s">
        <v>771</v>
      </c>
      <c r="H141" s="2"/>
      <c r="J141" t="str">
        <f>IF(Sales_Data[[#This Row],[Close Date]] &lt;&gt; 0,"Closed", "Open")</f>
        <v>Open</v>
      </c>
      <c r="K141" t="str">
        <f>IF(Sales_Data[[#This Row],[Open/Closed]] = "Closed",Sales_Data[[#This Row],[Close Date]]-Sales_Data[[#This Row],[Created Date]],"")</f>
        <v/>
      </c>
      <c r="L141" s="2">
        <f>EOMONTH(Sales_Data[[#This Row],[Created Date]],0)</f>
        <v>45777</v>
      </c>
      <c r="M141" t="b">
        <f>AND(Sales_Data[[#This Row],[EoM Created]]&gt;=Index!$E$5,Sales_Data[[#This Row],[EoM Created]]&lt;=Index!$E$4)</f>
        <v>1</v>
      </c>
      <c r="N141" t="b" cm="1">
        <f t="array" ref="N141">_xlfn.XLOOKUP(Sales_Data[[#This Row],[Sales Team]],_xlfn.ANCHORARRAY(Dashboard!$B$9),Dashboard!$D$9:$D$10,,0)</f>
        <v>1</v>
      </c>
      <c r="O141" t="b" cm="1">
        <f t="array" ref="O141">_xlfn.XLOOKUP(Sales_Data[[#This Row],[Sales Rep]],_xlfn.ANCHORARRAY(Dashboard!$B$13),Dashboard!$D$13:$D$17,,0)</f>
        <v>1</v>
      </c>
      <c r="P141" t="b" cm="1">
        <f t="array" ref="P141">_xlfn.XLOOKUP(Sales_Data[[#This Row],[Stage]],_xlfn.ANCHORARRAY(Dashboard!$B$20),Dashboard!$D$20:$D$25)</f>
        <v>1</v>
      </c>
      <c r="Q141" t="b" cm="1">
        <f t="array" ref="Q141">_xlfn.XLOOKUP(Sales_Data[[#This Row],[Lead Source]],_xlfn.ANCHORARRAY(Dashboard!$B$28),Dashboard!$D$28:$D$32)</f>
        <v>1</v>
      </c>
      <c r="R141">
        <f>Sales_Data[[#This Row],[Date inc]]*Sales_Data[[#This Row],[Team Inc]]*Sales_Data[[#This Row],[Rep Inc]]*Sales_Data[[#This Row],[Stage Inc]]*Sales_Data[[#This Row],[Source Inc]]</f>
        <v>1</v>
      </c>
    </row>
    <row r="142" spans="1:18" x14ac:dyDescent="0.3">
      <c r="A142" t="s">
        <v>149</v>
      </c>
      <c r="B142" s="2">
        <v>45791</v>
      </c>
      <c r="C142" t="s">
        <v>760</v>
      </c>
      <c r="D142" t="s">
        <v>764</v>
      </c>
      <c r="E142" t="s">
        <v>767</v>
      </c>
      <c r="F142" s="5">
        <v>42300</v>
      </c>
      <c r="G142" t="s">
        <v>781</v>
      </c>
      <c r="H142" s="2">
        <v>45859</v>
      </c>
      <c r="I142" t="s">
        <v>776</v>
      </c>
      <c r="J142" t="str">
        <f>IF(Sales_Data[[#This Row],[Close Date]] &lt;&gt; 0,"Closed", "Open")</f>
        <v>Closed</v>
      </c>
      <c r="K142">
        <f>IF(Sales_Data[[#This Row],[Open/Closed]] = "Closed",Sales_Data[[#This Row],[Close Date]]-Sales_Data[[#This Row],[Created Date]],"")</f>
        <v>68</v>
      </c>
      <c r="L142" s="2">
        <f>EOMONTH(Sales_Data[[#This Row],[Created Date]],0)</f>
        <v>45808</v>
      </c>
      <c r="M142" t="b">
        <f>AND(Sales_Data[[#This Row],[EoM Created]]&gt;=Index!$E$5,Sales_Data[[#This Row],[EoM Created]]&lt;=Index!$E$4)</f>
        <v>1</v>
      </c>
      <c r="N142" t="b" cm="1">
        <f t="array" ref="N142">_xlfn.XLOOKUP(Sales_Data[[#This Row],[Sales Team]],_xlfn.ANCHORARRAY(Dashboard!$B$9),Dashboard!$D$9:$D$10,,0)</f>
        <v>1</v>
      </c>
      <c r="O142" t="b" cm="1">
        <f t="array" ref="O142">_xlfn.XLOOKUP(Sales_Data[[#This Row],[Sales Rep]],_xlfn.ANCHORARRAY(Dashboard!$B$13),Dashboard!$D$13:$D$17,,0)</f>
        <v>1</v>
      </c>
      <c r="P142" t="b" cm="1">
        <f t="array" ref="P142">_xlfn.XLOOKUP(Sales_Data[[#This Row],[Stage]],_xlfn.ANCHORARRAY(Dashboard!$B$20),Dashboard!$D$20:$D$25)</f>
        <v>1</v>
      </c>
      <c r="Q142" t="b" cm="1">
        <f t="array" ref="Q142">_xlfn.XLOOKUP(Sales_Data[[#This Row],[Lead Source]],_xlfn.ANCHORARRAY(Dashboard!$B$28),Dashboard!$D$28:$D$32)</f>
        <v>1</v>
      </c>
      <c r="R142">
        <f>Sales_Data[[#This Row],[Date inc]]*Sales_Data[[#This Row],[Team Inc]]*Sales_Data[[#This Row],[Rep Inc]]*Sales_Data[[#This Row],[Stage Inc]]*Sales_Data[[#This Row],[Source Inc]]</f>
        <v>1</v>
      </c>
    </row>
    <row r="143" spans="1:18" x14ac:dyDescent="0.3">
      <c r="A143" t="s">
        <v>150</v>
      </c>
      <c r="B143" s="2">
        <v>45603</v>
      </c>
      <c r="C143" t="s">
        <v>761</v>
      </c>
      <c r="D143" t="s">
        <v>765</v>
      </c>
      <c r="E143" t="s">
        <v>768</v>
      </c>
      <c r="F143" s="5">
        <v>53100</v>
      </c>
      <c r="G143" t="s">
        <v>780</v>
      </c>
      <c r="H143" s="2">
        <v>45682</v>
      </c>
      <c r="J143" t="str">
        <f>IF(Sales_Data[[#This Row],[Close Date]] &lt;&gt; 0,"Closed", "Open")</f>
        <v>Closed</v>
      </c>
      <c r="K143">
        <f>IF(Sales_Data[[#This Row],[Open/Closed]] = "Closed",Sales_Data[[#This Row],[Close Date]]-Sales_Data[[#This Row],[Created Date]],"")</f>
        <v>79</v>
      </c>
      <c r="L143" s="2">
        <f>EOMONTH(Sales_Data[[#This Row],[Created Date]],0)</f>
        <v>45626</v>
      </c>
      <c r="M143" t="b">
        <f>AND(Sales_Data[[#This Row],[EoM Created]]&gt;=Index!$E$5,Sales_Data[[#This Row],[EoM Created]]&lt;=Index!$E$4)</f>
        <v>1</v>
      </c>
      <c r="N143" t="b" cm="1">
        <f t="array" ref="N143">_xlfn.XLOOKUP(Sales_Data[[#This Row],[Sales Team]],_xlfn.ANCHORARRAY(Dashboard!$B$9),Dashboard!$D$9:$D$10,,0)</f>
        <v>1</v>
      </c>
      <c r="O143" t="b" cm="1">
        <f t="array" ref="O143">_xlfn.XLOOKUP(Sales_Data[[#This Row],[Sales Rep]],_xlfn.ANCHORARRAY(Dashboard!$B$13),Dashboard!$D$13:$D$17,,0)</f>
        <v>1</v>
      </c>
      <c r="P143" t="b" cm="1">
        <f t="array" ref="P143">_xlfn.XLOOKUP(Sales_Data[[#This Row],[Stage]],_xlfn.ANCHORARRAY(Dashboard!$B$20),Dashboard!$D$20:$D$25)</f>
        <v>1</v>
      </c>
      <c r="Q143" t="b" cm="1">
        <f t="array" ref="Q143">_xlfn.XLOOKUP(Sales_Data[[#This Row],[Lead Source]],_xlfn.ANCHORARRAY(Dashboard!$B$28),Dashboard!$D$28:$D$32)</f>
        <v>1</v>
      </c>
      <c r="R143">
        <f>Sales_Data[[#This Row],[Date inc]]*Sales_Data[[#This Row],[Team Inc]]*Sales_Data[[#This Row],[Rep Inc]]*Sales_Data[[#This Row],[Stage Inc]]*Sales_Data[[#This Row],[Source Inc]]</f>
        <v>1</v>
      </c>
    </row>
    <row r="144" spans="1:18" x14ac:dyDescent="0.3">
      <c r="A144" t="s">
        <v>151</v>
      </c>
      <c r="B144" s="2">
        <v>45163</v>
      </c>
      <c r="C144" t="s">
        <v>760</v>
      </c>
      <c r="D144" t="s">
        <v>764</v>
      </c>
      <c r="E144" t="s">
        <v>766</v>
      </c>
      <c r="F144" s="5">
        <v>23900</v>
      </c>
      <c r="G144" t="s">
        <v>780</v>
      </c>
      <c r="H144" s="2">
        <v>45237</v>
      </c>
      <c r="J144" t="str">
        <f>IF(Sales_Data[[#This Row],[Close Date]] &lt;&gt; 0,"Closed", "Open")</f>
        <v>Closed</v>
      </c>
      <c r="K144">
        <f>IF(Sales_Data[[#This Row],[Open/Closed]] = "Closed",Sales_Data[[#This Row],[Close Date]]-Sales_Data[[#This Row],[Created Date]],"")</f>
        <v>74</v>
      </c>
      <c r="L144" s="2">
        <f>EOMONTH(Sales_Data[[#This Row],[Created Date]],0)</f>
        <v>45169</v>
      </c>
      <c r="M144" t="b">
        <f>AND(Sales_Data[[#This Row],[EoM Created]]&gt;=Index!$E$5,Sales_Data[[#This Row],[EoM Created]]&lt;=Index!$E$4)</f>
        <v>1</v>
      </c>
      <c r="N144" t="b" cm="1">
        <f t="array" ref="N144">_xlfn.XLOOKUP(Sales_Data[[#This Row],[Sales Team]],_xlfn.ANCHORARRAY(Dashboard!$B$9),Dashboard!$D$9:$D$10,,0)</f>
        <v>1</v>
      </c>
      <c r="O144" t="b" cm="1">
        <f t="array" ref="O144">_xlfn.XLOOKUP(Sales_Data[[#This Row],[Sales Rep]],_xlfn.ANCHORARRAY(Dashboard!$B$13),Dashboard!$D$13:$D$17,,0)</f>
        <v>1</v>
      </c>
      <c r="P144" t="b" cm="1">
        <f t="array" ref="P144">_xlfn.XLOOKUP(Sales_Data[[#This Row],[Stage]],_xlfn.ANCHORARRAY(Dashboard!$B$20),Dashboard!$D$20:$D$25)</f>
        <v>1</v>
      </c>
      <c r="Q144" t="b" cm="1">
        <f t="array" ref="Q144">_xlfn.XLOOKUP(Sales_Data[[#This Row],[Lead Source]],_xlfn.ANCHORARRAY(Dashboard!$B$28),Dashboard!$D$28:$D$32)</f>
        <v>1</v>
      </c>
      <c r="R144">
        <f>Sales_Data[[#This Row],[Date inc]]*Sales_Data[[#This Row],[Team Inc]]*Sales_Data[[#This Row],[Rep Inc]]*Sales_Data[[#This Row],[Stage Inc]]*Sales_Data[[#This Row],[Source Inc]]</f>
        <v>1</v>
      </c>
    </row>
    <row r="145" spans="1:18" x14ac:dyDescent="0.3">
      <c r="A145" t="s">
        <v>152</v>
      </c>
      <c r="B145" s="2">
        <v>45626</v>
      </c>
      <c r="C145" t="s">
        <v>763</v>
      </c>
      <c r="D145" t="s">
        <v>765</v>
      </c>
      <c r="E145" t="s">
        <v>770</v>
      </c>
      <c r="F145" s="5">
        <v>41800</v>
      </c>
      <c r="G145" t="s">
        <v>781</v>
      </c>
      <c r="H145" s="2">
        <v>45697</v>
      </c>
      <c r="I145" t="s">
        <v>777</v>
      </c>
      <c r="J145" t="str">
        <f>IF(Sales_Data[[#This Row],[Close Date]] &lt;&gt; 0,"Closed", "Open")</f>
        <v>Closed</v>
      </c>
      <c r="K145">
        <f>IF(Sales_Data[[#This Row],[Open/Closed]] = "Closed",Sales_Data[[#This Row],[Close Date]]-Sales_Data[[#This Row],[Created Date]],"")</f>
        <v>71</v>
      </c>
      <c r="L145" s="2">
        <f>EOMONTH(Sales_Data[[#This Row],[Created Date]],0)</f>
        <v>45626</v>
      </c>
      <c r="M145" t="b">
        <f>AND(Sales_Data[[#This Row],[EoM Created]]&gt;=Index!$E$5,Sales_Data[[#This Row],[EoM Created]]&lt;=Index!$E$4)</f>
        <v>1</v>
      </c>
      <c r="N145" t="b" cm="1">
        <f t="array" ref="N145">_xlfn.XLOOKUP(Sales_Data[[#This Row],[Sales Team]],_xlfn.ANCHORARRAY(Dashboard!$B$9),Dashboard!$D$9:$D$10,,0)</f>
        <v>1</v>
      </c>
      <c r="O145" t="b" cm="1">
        <f t="array" ref="O145">_xlfn.XLOOKUP(Sales_Data[[#This Row],[Sales Rep]],_xlfn.ANCHORARRAY(Dashboard!$B$13),Dashboard!$D$13:$D$17,,0)</f>
        <v>1</v>
      </c>
      <c r="P145" t="b" cm="1">
        <f t="array" ref="P145">_xlfn.XLOOKUP(Sales_Data[[#This Row],[Stage]],_xlfn.ANCHORARRAY(Dashboard!$B$20),Dashboard!$D$20:$D$25)</f>
        <v>1</v>
      </c>
      <c r="Q145" t="b" cm="1">
        <f t="array" ref="Q145">_xlfn.XLOOKUP(Sales_Data[[#This Row],[Lead Source]],_xlfn.ANCHORARRAY(Dashboard!$B$28),Dashboard!$D$28:$D$32)</f>
        <v>1</v>
      </c>
      <c r="R145">
        <f>Sales_Data[[#This Row],[Date inc]]*Sales_Data[[#This Row],[Team Inc]]*Sales_Data[[#This Row],[Rep Inc]]*Sales_Data[[#This Row],[Stage Inc]]*Sales_Data[[#This Row],[Source Inc]]</f>
        <v>1</v>
      </c>
    </row>
    <row r="146" spans="1:18" x14ac:dyDescent="0.3">
      <c r="A146" t="s">
        <v>153</v>
      </c>
      <c r="B146" s="2">
        <v>45258</v>
      </c>
      <c r="C146" t="s">
        <v>760</v>
      </c>
      <c r="D146" t="s">
        <v>764</v>
      </c>
      <c r="E146" t="s">
        <v>766</v>
      </c>
      <c r="F146" s="5">
        <v>42600</v>
      </c>
      <c r="G146" t="s">
        <v>781</v>
      </c>
      <c r="H146" s="2">
        <v>45320</v>
      </c>
      <c r="I146" t="s">
        <v>775</v>
      </c>
      <c r="J146" t="str">
        <f>IF(Sales_Data[[#This Row],[Close Date]] &lt;&gt; 0,"Closed", "Open")</f>
        <v>Closed</v>
      </c>
      <c r="K146">
        <f>IF(Sales_Data[[#This Row],[Open/Closed]] = "Closed",Sales_Data[[#This Row],[Close Date]]-Sales_Data[[#This Row],[Created Date]],"")</f>
        <v>62</v>
      </c>
      <c r="L146" s="2">
        <f>EOMONTH(Sales_Data[[#This Row],[Created Date]],0)</f>
        <v>45260</v>
      </c>
      <c r="M146" t="b">
        <f>AND(Sales_Data[[#This Row],[EoM Created]]&gt;=Index!$E$5,Sales_Data[[#This Row],[EoM Created]]&lt;=Index!$E$4)</f>
        <v>1</v>
      </c>
      <c r="N146" t="b" cm="1">
        <f t="array" ref="N146">_xlfn.XLOOKUP(Sales_Data[[#This Row],[Sales Team]],_xlfn.ANCHORARRAY(Dashboard!$B$9),Dashboard!$D$9:$D$10,,0)</f>
        <v>1</v>
      </c>
      <c r="O146" t="b" cm="1">
        <f t="array" ref="O146">_xlfn.XLOOKUP(Sales_Data[[#This Row],[Sales Rep]],_xlfn.ANCHORARRAY(Dashboard!$B$13),Dashboard!$D$13:$D$17,,0)</f>
        <v>1</v>
      </c>
      <c r="P146" t="b" cm="1">
        <f t="array" ref="P146">_xlfn.XLOOKUP(Sales_Data[[#This Row],[Stage]],_xlfn.ANCHORARRAY(Dashboard!$B$20),Dashboard!$D$20:$D$25)</f>
        <v>1</v>
      </c>
      <c r="Q146" t="b" cm="1">
        <f t="array" ref="Q146">_xlfn.XLOOKUP(Sales_Data[[#This Row],[Lead Source]],_xlfn.ANCHORARRAY(Dashboard!$B$28),Dashboard!$D$28:$D$32)</f>
        <v>1</v>
      </c>
      <c r="R146">
        <f>Sales_Data[[#This Row],[Date inc]]*Sales_Data[[#This Row],[Team Inc]]*Sales_Data[[#This Row],[Rep Inc]]*Sales_Data[[#This Row],[Stage Inc]]*Sales_Data[[#This Row],[Source Inc]]</f>
        <v>1</v>
      </c>
    </row>
    <row r="147" spans="1:18" x14ac:dyDescent="0.3">
      <c r="A147" t="s">
        <v>154</v>
      </c>
      <c r="B147" s="2">
        <v>45211</v>
      </c>
      <c r="C147" t="s">
        <v>763</v>
      </c>
      <c r="D147" t="s">
        <v>765</v>
      </c>
      <c r="E147" t="s">
        <v>770</v>
      </c>
      <c r="F147" s="5">
        <v>47800</v>
      </c>
      <c r="G147" t="s">
        <v>781</v>
      </c>
      <c r="H147" s="2">
        <v>45276</v>
      </c>
      <c r="I147" t="s">
        <v>777</v>
      </c>
      <c r="J147" t="str">
        <f>IF(Sales_Data[[#This Row],[Close Date]] &lt;&gt; 0,"Closed", "Open")</f>
        <v>Closed</v>
      </c>
      <c r="K147">
        <f>IF(Sales_Data[[#This Row],[Open/Closed]] = "Closed",Sales_Data[[#This Row],[Close Date]]-Sales_Data[[#This Row],[Created Date]],"")</f>
        <v>65</v>
      </c>
      <c r="L147" s="2">
        <f>EOMONTH(Sales_Data[[#This Row],[Created Date]],0)</f>
        <v>45230</v>
      </c>
      <c r="M147" t="b">
        <f>AND(Sales_Data[[#This Row],[EoM Created]]&gt;=Index!$E$5,Sales_Data[[#This Row],[EoM Created]]&lt;=Index!$E$4)</f>
        <v>1</v>
      </c>
      <c r="N147" t="b" cm="1">
        <f t="array" ref="N147">_xlfn.XLOOKUP(Sales_Data[[#This Row],[Sales Team]],_xlfn.ANCHORARRAY(Dashboard!$B$9),Dashboard!$D$9:$D$10,,0)</f>
        <v>1</v>
      </c>
      <c r="O147" t="b" cm="1">
        <f t="array" ref="O147">_xlfn.XLOOKUP(Sales_Data[[#This Row],[Sales Rep]],_xlfn.ANCHORARRAY(Dashboard!$B$13),Dashboard!$D$13:$D$17,,0)</f>
        <v>1</v>
      </c>
      <c r="P147" t="b" cm="1">
        <f t="array" ref="P147">_xlfn.XLOOKUP(Sales_Data[[#This Row],[Stage]],_xlfn.ANCHORARRAY(Dashboard!$B$20),Dashboard!$D$20:$D$25)</f>
        <v>1</v>
      </c>
      <c r="Q147" t="b" cm="1">
        <f t="array" ref="Q147">_xlfn.XLOOKUP(Sales_Data[[#This Row],[Lead Source]],_xlfn.ANCHORARRAY(Dashboard!$B$28),Dashboard!$D$28:$D$32)</f>
        <v>1</v>
      </c>
      <c r="R147">
        <f>Sales_Data[[#This Row],[Date inc]]*Sales_Data[[#This Row],[Team Inc]]*Sales_Data[[#This Row],[Rep Inc]]*Sales_Data[[#This Row],[Stage Inc]]*Sales_Data[[#This Row],[Source Inc]]</f>
        <v>1</v>
      </c>
    </row>
    <row r="148" spans="1:18" x14ac:dyDescent="0.3">
      <c r="A148" t="s">
        <v>155</v>
      </c>
      <c r="B148" s="2">
        <v>45042</v>
      </c>
      <c r="C148" t="s">
        <v>759</v>
      </c>
      <c r="D148" t="s">
        <v>764</v>
      </c>
      <c r="E148" t="s">
        <v>766</v>
      </c>
      <c r="F148" s="5">
        <v>27600</v>
      </c>
      <c r="G148" t="s">
        <v>780</v>
      </c>
      <c r="H148" s="2">
        <v>45117</v>
      </c>
      <c r="J148" t="str">
        <f>IF(Sales_Data[[#This Row],[Close Date]] &lt;&gt; 0,"Closed", "Open")</f>
        <v>Closed</v>
      </c>
      <c r="K148">
        <f>IF(Sales_Data[[#This Row],[Open/Closed]] = "Closed",Sales_Data[[#This Row],[Close Date]]-Sales_Data[[#This Row],[Created Date]],"")</f>
        <v>75</v>
      </c>
      <c r="L148" s="2">
        <f>EOMONTH(Sales_Data[[#This Row],[Created Date]],0)</f>
        <v>45046</v>
      </c>
      <c r="M148" t="b">
        <f>AND(Sales_Data[[#This Row],[EoM Created]]&gt;=Index!$E$5,Sales_Data[[#This Row],[EoM Created]]&lt;=Index!$E$4)</f>
        <v>0</v>
      </c>
      <c r="N148" t="b" cm="1">
        <f t="array" ref="N148">_xlfn.XLOOKUP(Sales_Data[[#This Row],[Sales Team]],_xlfn.ANCHORARRAY(Dashboard!$B$9),Dashboard!$D$9:$D$10,,0)</f>
        <v>1</v>
      </c>
      <c r="O148" t="b" cm="1">
        <f t="array" ref="O148">_xlfn.XLOOKUP(Sales_Data[[#This Row],[Sales Rep]],_xlfn.ANCHORARRAY(Dashboard!$B$13),Dashboard!$D$13:$D$17,,0)</f>
        <v>1</v>
      </c>
      <c r="P148" t="b" cm="1">
        <f t="array" ref="P148">_xlfn.XLOOKUP(Sales_Data[[#This Row],[Stage]],_xlfn.ANCHORARRAY(Dashboard!$B$20),Dashboard!$D$20:$D$25)</f>
        <v>1</v>
      </c>
      <c r="Q148" t="b" cm="1">
        <f t="array" ref="Q148">_xlfn.XLOOKUP(Sales_Data[[#This Row],[Lead Source]],_xlfn.ANCHORARRAY(Dashboard!$B$28),Dashboard!$D$28:$D$32)</f>
        <v>1</v>
      </c>
      <c r="R148">
        <f>Sales_Data[[#This Row],[Date inc]]*Sales_Data[[#This Row],[Team Inc]]*Sales_Data[[#This Row],[Rep Inc]]*Sales_Data[[#This Row],[Stage Inc]]*Sales_Data[[#This Row],[Source Inc]]</f>
        <v>0</v>
      </c>
    </row>
    <row r="149" spans="1:18" x14ac:dyDescent="0.3">
      <c r="A149" t="s">
        <v>156</v>
      </c>
      <c r="B149" s="2">
        <v>45126</v>
      </c>
      <c r="C149" t="s">
        <v>759</v>
      </c>
      <c r="D149" t="s">
        <v>764</v>
      </c>
      <c r="E149" t="s">
        <v>767</v>
      </c>
      <c r="F149" s="5">
        <v>26800</v>
      </c>
      <c r="G149" t="s">
        <v>781</v>
      </c>
      <c r="H149" s="2">
        <v>45213</v>
      </c>
      <c r="I149" t="s">
        <v>779</v>
      </c>
      <c r="J149" t="str">
        <f>IF(Sales_Data[[#This Row],[Close Date]] &lt;&gt; 0,"Closed", "Open")</f>
        <v>Closed</v>
      </c>
      <c r="K149">
        <f>IF(Sales_Data[[#This Row],[Open/Closed]] = "Closed",Sales_Data[[#This Row],[Close Date]]-Sales_Data[[#This Row],[Created Date]],"")</f>
        <v>87</v>
      </c>
      <c r="L149" s="2">
        <f>EOMONTH(Sales_Data[[#This Row],[Created Date]],0)</f>
        <v>45138</v>
      </c>
      <c r="M149" t="b">
        <f>AND(Sales_Data[[#This Row],[EoM Created]]&gt;=Index!$E$5,Sales_Data[[#This Row],[EoM Created]]&lt;=Index!$E$4)</f>
        <v>1</v>
      </c>
      <c r="N149" t="b" cm="1">
        <f t="array" ref="N149">_xlfn.XLOOKUP(Sales_Data[[#This Row],[Sales Team]],_xlfn.ANCHORARRAY(Dashboard!$B$9),Dashboard!$D$9:$D$10,,0)</f>
        <v>1</v>
      </c>
      <c r="O149" t="b" cm="1">
        <f t="array" ref="O149">_xlfn.XLOOKUP(Sales_Data[[#This Row],[Sales Rep]],_xlfn.ANCHORARRAY(Dashboard!$B$13),Dashboard!$D$13:$D$17,,0)</f>
        <v>1</v>
      </c>
      <c r="P149" t="b" cm="1">
        <f t="array" ref="P149">_xlfn.XLOOKUP(Sales_Data[[#This Row],[Stage]],_xlfn.ANCHORARRAY(Dashboard!$B$20),Dashboard!$D$20:$D$25)</f>
        <v>1</v>
      </c>
      <c r="Q149" t="b" cm="1">
        <f t="array" ref="Q149">_xlfn.XLOOKUP(Sales_Data[[#This Row],[Lead Source]],_xlfn.ANCHORARRAY(Dashboard!$B$28),Dashboard!$D$28:$D$32)</f>
        <v>1</v>
      </c>
      <c r="R149">
        <f>Sales_Data[[#This Row],[Date inc]]*Sales_Data[[#This Row],[Team Inc]]*Sales_Data[[#This Row],[Rep Inc]]*Sales_Data[[#This Row],[Stage Inc]]*Sales_Data[[#This Row],[Source Inc]]</f>
        <v>1</v>
      </c>
    </row>
    <row r="150" spans="1:18" x14ac:dyDescent="0.3">
      <c r="A150" t="s">
        <v>157</v>
      </c>
      <c r="B150" s="2">
        <v>44959</v>
      </c>
      <c r="C150" t="s">
        <v>763</v>
      </c>
      <c r="D150" t="s">
        <v>765</v>
      </c>
      <c r="E150" t="s">
        <v>769</v>
      </c>
      <c r="F150" s="5">
        <v>45200</v>
      </c>
      <c r="G150" t="s">
        <v>780</v>
      </c>
      <c r="H150" s="2">
        <v>45022</v>
      </c>
      <c r="J150" t="str">
        <f>IF(Sales_Data[[#This Row],[Close Date]] &lt;&gt; 0,"Closed", "Open")</f>
        <v>Closed</v>
      </c>
      <c r="K150">
        <f>IF(Sales_Data[[#This Row],[Open/Closed]] = "Closed",Sales_Data[[#This Row],[Close Date]]-Sales_Data[[#This Row],[Created Date]],"")</f>
        <v>63</v>
      </c>
      <c r="L150" s="2">
        <f>EOMONTH(Sales_Data[[#This Row],[Created Date]],0)</f>
        <v>44985</v>
      </c>
      <c r="M150" t="b">
        <f>AND(Sales_Data[[#This Row],[EoM Created]]&gt;=Index!$E$5,Sales_Data[[#This Row],[EoM Created]]&lt;=Index!$E$4)</f>
        <v>0</v>
      </c>
      <c r="N150" t="b" cm="1">
        <f t="array" ref="N150">_xlfn.XLOOKUP(Sales_Data[[#This Row],[Sales Team]],_xlfn.ANCHORARRAY(Dashboard!$B$9),Dashboard!$D$9:$D$10,,0)</f>
        <v>1</v>
      </c>
      <c r="O150" t="b" cm="1">
        <f t="array" ref="O150">_xlfn.XLOOKUP(Sales_Data[[#This Row],[Sales Rep]],_xlfn.ANCHORARRAY(Dashboard!$B$13),Dashboard!$D$13:$D$17,,0)</f>
        <v>1</v>
      </c>
      <c r="P150" t="b" cm="1">
        <f t="array" ref="P150">_xlfn.XLOOKUP(Sales_Data[[#This Row],[Stage]],_xlfn.ANCHORARRAY(Dashboard!$B$20),Dashboard!$D$20:$D$25)</f>
        <v>1</v>
      </c>
      <c r="Q150" t="b" cm="1">
        <f t="array" ref="Q150">_xlfn.XLOOKUP(Sales_Data[[#This Row],[Lead Source]],_xlfn.ANCHORARRAY(Dashboard!$B$28),Dashboard!$D$28:$D$32)</f>
        <v>1</v>
      </c>
      <c r="R150">
        <f>Sales_Data[[#This Row],[Date inc]]*Sales_Data[[#This Row],[Team Inc]]*Sales_Data[[#This Row],[Rep Inc]]*Sales_Data[[#This Row],[Stage Inc]]*Sales_Data[[#This Row],[Source Inc]]</f>
        <v>0</v>
      </c>
    </row>
    <row r="151" spans="1:18" x14ac:dyDescent="0.3">
      <c r="A151" t="s">
        <v>158</v>
      </c>
      <c r="B151" s="2">
        <v>45189</v>
      </c>
      <c r="C151" t="s">
        <v>763</v>
      </c>
      <c r="D151" t="s">
        <v>765</v>
      </c>
      <c r="E151" t="s">
        <v>770</v>
      </c>
      <c r="F151" s="5">
        <v>43000</v>
      </c>
      <c r="G151" t="s">
        <v>780</v>
      </c>
      <c r="H151" s="2">
        <v>45253</v>
      </c>
      <c r="J151" t="str">
        <f>IF(Sales_Data[[#This Row],[Close Date]] &lt;&gt; 0,"Closed", "Open")</f>
        <v>Closed</v>
      </c>
      <c r="K151">
        <f>IF(Sales_Data[[#This Row],[Open/Closed]] = "Closed",Sales_Data[[#This Row],[Close Date]]-Sales_Data[[#This Row],[Created Date]],"")</f>
        <v>64</v>
      </c>
      <c r="L151" s="2">
        <f>EOMONTH(Sales_Data[[#This Row],[Created Date]],0)</f>
        <v>45199</v>
      </c>
      <c r="M151" t="b">
        <f>AND(Sales_Data[[#This Row],[EoM Created]]&gt;=Index!$E$5,Sales_Data[[#This Row],[EoM Created]]&lt;=Index!$E$4)</f>
        <v>1</v>
      </c>
      <c r="N151" t="b" cm="1">
        <f t="array" ref="N151">_xlfn.XLOOKUP(Sales_Data[[#This Row],[Sales Team]],_xlfn.ANCHORARRAY(Dashboard!$B$9),Dashboard!$D$9:$D$10,,0)</f>
        <v>1</v>
      </c>
      <c r="O151" t="b" cm="1">
        <f t="array" ref="O151">_xlfn.XLOOKUP(Sales_Data[[#This Row],[Sales Rep]],_xlfn.ANCHORARRAY(Dashboard!$B$13),Dashboard!$D$13:$D$17,,0)</f>
        <v>1</v>
      </c>
      <c r="P151" t="b" cm="1">
        <f t="array" ref="P151">_xlfn.XLOOKUP(Sales_Data[[#This Row],[Stage]],_xlfn.ANCHORARRAY(Dashboard!$B$20),Dashboard!$D$20:$D$25)</f>
        <v>1</v>
      </c>
      <c r="Q151" t="b" cm="1">
        <f t="array" ref="Q151">_xlfn.XLOOKUP(Sales_Data[[#This Row],[Lead Source]],_xlfn.ANCHORARRAY(Dashboard!$B$28),Dashboard!$D$28:$D$32)</f>
        <v>1</v>
      </c>
      <c r="R151">
        <f>Sales_Data[[#This Row],[Date inc]]*Sales_Data[[#This Row],[Team Inc]]*Sales_Data[[#This Row],[Rep Inc]]*Sales_Data[[#This Row],[Stage Inc]]*Sales_Data[[#This Row],[Source Inc]]</f>
        <v>1</v>
      </c>
    </row>
    <row r="152" spans="1:18" x14ac:dyDescent="0.3">
      <c r="A152" t="s">
        <v>159</v>
      </c>
      <c r="B152" s="2">
        <v>45536</v>
      </c>
      <c r="C152" t="s">
        <v>760</v>
      </c>
      <c r="D152" t="s">
        <v>764</v>
      </c>
      <c r="E152" t="s">
        <v>767</v>
      </c>
      <c r="F152" s="5">
        <v>42500</v>
      </c>
      <c r="G152" t="s">
        <v>781</v>
      </c>
      <c r="H152" s="2">
        <v>45600</v>
      </c>
      <c r="I152" t="s">
        <v>777</v>
      </c>
      <c r="J152" t="str">
        <f>IF(Sales_Data[[#This Row],[Close Date]] &lt;&gt; 0,"Closed", "Open")</f>
        <v>Closed</v>
      </c>
      <c r="K152">
        <f>IF(Sales_Data[[#This Row],[Open/Closed]] = "Closed",Sales_Data[[#This Row],[Close Date]]-Sales_Data[[#This Row],[Created Date]],"")</f>
        <v>64</v>
      </c>
      <c r="L152" s="2">
        <f>EOMONTH(Sales_Data[[#This Row],[Created Date]],0)</f>
        <v>45565</v>
      </c>
      <c r="M152" t="b">
        <f>AND(Sales_Data[[#This Row],[EoM Created]]&gt;=Index!$E$5,Sales_Data[[#This Row],[EoM Created]]&lt;=Index!$E$4)</f>
        <v>1</v>
      </c>
      <c r="N152" t="b" cm="1">
        <f t="array" ref="N152">_xlfn.XLOOKUP(Sales_Data[[#This Row],[Sales Team]],_xlfn.ANCHORARRAY(Dashboard!$B$9),Dashboard!$D$9:$D$10,,0)</f>
        <v>1</v>
      </c>
      <c r="O152" t="b" cm="1">
        <f t="array" ref="O152">_xlfn.XLOOKUP(Sales_Data[[#This Row],[Sales Rep]],_xlfn.ANCHORARRAY(Dashboard!$B$13),Dashboard!$D$13:$D$17,,0)</f>
        <v>1</v>
      </c>
      <c r="P152" t="b" cm="1">
        <f t="array" ref="P152">_xlfn.XLOOKUP(Sales_Data[[#This Row],[Stage]],_xlfn.ANCHORARRAY(Dashboard!$B$20),Dashboard!$D$20:$D$25)</f>
        <v>1</v>
      </c>
      <c r="Q152" t="b" cm="1">
        <f t="array" ref="Q152">_xlfn.XLOOKUP(Sales_Data[[#This Row],[Lead Source]],_xlfn.ANCHORARRAY(Dashboard!$B$28),Dashboard!$D$28:$D$32)</f>
        <v>1</v>
      </c>
      <c r="R152">
        <f>Sales_Data[[#This Row],[Date inc]]*Sales_Data[[#This Row],[Team Inc]]*Sales_Data[[#This Row],[Rep Inc]]*Sales_Data[[#This Row],[Stage Inc]]*Sales_Data[[#This Row],[Source Inc]]</f>
        <v>1</v>
      </c>
    </row>
    <row r="153" spans="1:18" x14ac:dyDescent="0.3">
      <c r="A153" t="s">
        <v>160</v>
      </c>
      <c r="B153" s="2">
        <v>45606</v>
      </c>
      <c r="C153" t="s">
        <v>761</v>
      </c>
      <c r="D153" t="s">
        <v>765</v>
      </c>
      <c r="E153" t="s">
        <v>769</v>
      </c>
      <c r="F153" s="5">
        <v>43500</v>
      </c>
      <c r="G153" t="s">
        <v>781</v>
      </c>
      <c r="H153" s="2">
        <v>45680</v>
      </c>
      <c r="I153" t="s">
        <v>778</v>
      </c>
      <c r="J153" t="str">
        <f>IF(Sales_Data[[#This Row],[Close Date]] &lt;&gt; 0,"Closed", "Open")</f>
        <v>Closed</v>
      </c>
      <c r="K153">
        <f>IF(Sales_Data[[#This Row],[Open/Closed]] = "Closed",Sales_Data[[#This Row],[Close Date]]-Sales_Data[[#This Row],[Created Date]],"")</f>
        <v>74</v>
      </c>
      <c r="L153" s="2">
        <f>EOMONTH(Sales_Data[[#This Row],[Created Date]],0)</f>
        <v>45626</v>
      </c>
      <c r="M153" t="b">
        <f>AND(Sales_Data[[#This Row],[EoM Created]]&gt;=Index!$E$5,Sales_Data[[#This Row],[EoM Created]]&lt;=Index!$E$4)</f>
        <v>1</v>
      </c>
      <c r="N153" t="b" cm="1">
        <f t="array" ref="N153">_xlfn.XLOOKUP(Sales_Data[[#This Row],[Sales Team]],_xlfn.ANCHORARRAY(Dashboard!$B$9),Dashboard!$D$9:$D$10,,0)</f>
        <v>1</v>
      </c>
      <c r="O153" t="b" cm="1">
        <f t="array" ref="O153">_xlfn.XLOOKUP(Sales_Data[[#This Row],[Sales Rep]],_xlfn.ANCHORARRAY(Dashboard!$B$13),Dashboard!$D$13:$D$17,,0)</f>
        <v>1</v>
      </c>
      <c r="P153" t="b" cm="1">
        <f t="array" ref="P153">_xlfn.XLOOKUP(Sales_Data[[#This Row],[Stage]],_xlfn.ANCHORARRAY(Dashboard!$B$20),Dashboard!$D$20:$D$25)</f>
        <v>1</v>
      </c>
      <c r="Q153" t="b" cm="1">
        <f t="array" ref="Q153">_xlfn.XLOOKUP(Sales_Data[[#This Row],[Lead Source]],_xlfn.ANCHORARRAY(Dashboard!$B$28),Dashboard!$D$28:$D$32)</f>
        <v>1</v>
      </c>
      <c r="R153">
        <f>Sales_Data[[#This Row],[Date inc]]*Sales_Data[[#This Row],[Team Inc]]*Sales_Data[[#This Row],[Rep Inc]]*Sales_Data[[#This Row],[Stage Inc]]*Sales_Data[[#This Row],[Source Inc]]</f>
        <v>1</v>
      </c>
    </row>
    <row r="154" spans="1:18" x14ac:dyDescent="0.3">
      <c r="A154" t="s">
        <v>161</v>
      </c>
      <c r="B154" s="2">
        <v>44987</v>
      </c>
      <c r="C154" t="s">
        <v>761</v>
      </c>
      <c r="D154" t="s">
        <v>765</v>
      </c>
      <c r="E154" t="s">
        <v>768</v>
      </c>
      <c r="F154" s="5">
        <v>33200</v>
      </c>
      <c r="G154" t="s">
        <v>781</v>
      </c>
      <c r="H154" s="2">
        <v>45048</v>
      </c>
      <c r="I154" t="s">
        <v>777</v>
      </c>
      <c r="J154" t="str">
        <f>IF(Sales_Data[[#This Row],[Close Date]] &lt;&gt; 0,"Closed", "Open")</f>
        <v>Closed</v>
      </c>
      <c r="K154">
        <f>IF(Sales_Data[[#This Row],[Open/Closed]] = "Closed",Sales_Data[[#This Row],[Close Date]]-Sales_Data[[#This Row],[Created Date]],"")</f>
        <v>61</v>
      </c>
      <c r="L154" s="2">
        <f>EOMONTH(Sales_Data[[#This Row],[Created Date]],0)</f>
        <v>45016</v>
      </c>
      <c r="M154" t="b">
        <f>AND(Sales_Data[[#This Row],[EoM Created]]&gt;=Index!$E$5,Sales_Data[[#This Row],[EoM Created]]&lt;=Index!$E$4)</f>
        <v>0</v>
      </c>
      <c r="N154" t="b" cm="1">
        <f t="array" ref="N154">_xlfn.XLOOKUP(Sales_Data[[#This Row],[Sales Team]],_xlfn.ANCHORARRAY(Dashboard!$B$9),Dashboard!$D$9:$D$10,,0)</f>
        <v>1</v>
      </c>
      <c r="O154" t="b" cm="1">
        <f t="array" ref="O154">_xlfn.XLOOKUP(Sales_Data[[#This Row],[Sales Rep]],_xlfn.ANCHORARRAY(Dashboard!$B$13),Dashboard!$D$13:$D$17,,0)</f>
        <v>1</v>
      </c>
      <c r="P154" t="b" cm="1">
        <f t="array" ref="P154">_xlfn.XLOOKUP(Sales_Data[[#This Row],[Stage]],_xlfn.ANCHORARRAY(Dashboard!$B$20),Dashboard!$D$20:$D$25)</f>
        <v>1</v>
      </c>
      <c r="Q154" t="b" cm="1">
        <f t="array" ref="Q154">_xlfn.XLOOKUP(Sales_Data[[#This Row],[Lead Source]],_xlfn.ANCHORARRAY(Dashboard!$B$28),Dashboard!$D$28:$D$32)</f>
        <v>1</v>
      </c>
      <c r="R154">
        <f>Sales_Data[[#This Row],[Date inc]]*Sales_Data[[#This Row],[Team Inc]]*Sales_Data[[#This Row],[Rep Inc]]*Sales_Data[[#This Row],[Stage Inc]]*Sales_Data[[#This Row],[Source Inc]]</f>
        <v>0</v>
      </c>
    </row>
    <row r="155" spans="1:18" x14ac:dyDescent="0.3">
      <c r="A155" t="s">
        <v>162</v>
      </c>
      <c r="B155" s="2">
        <v>44933</v>
      </c>
      <c r="C155" t="s">
        <v>762</v>
      </c>
      <c r="D155" t="s">
        <v>764</v>
      </c>
      <c r="E155" t="s">
        <v>767</v>
      </c>
      <c r="F155" s="5">
        <v>42300</v>
      </c>
      <c r="G155" t="s">
        <v>781</v>
      </c>
      <c r="H155" s="2">
        <v>45012</v>
      </c>
      <c r="I155" t="s">
        <v>776</v>
      </c>
      <c r="J155" t="str">
        <f>IF(Sales_Data[[#This Row],[Close Date]] &lt;&gt; 0,"Closed", "Open")</f>
        <v>Closed</v>
      </c>
      <c r="K155">
        <f>IF(Sales_Data[[#This Row],[Open/Closed]] = "Closed",Sales_Data[[#This Row],[Close Date]]-Sales_Data[[#This Row],[Created Date]],"")</f>
        <v>79</v>
      </c>
      <c r="L155" s="2">
        <f>EOMONTH(Sales_Data[[#This Row],[Created Date]],0)</f>
        <v>44957</v>
      </c>
      <c r="M155" t="b">
        <f>AND(Sales_Data[[#This Row],[EoM Created]]&gt;=Index!$E$5,Sales_Data[[#This Row],[EoM Created]]&lt;=Index!$E$4)</f>
        <v>0</v>
      </c>
      <c r="N155" t="b" cm="1">
        <f t="array" ref="N155">_xlfn.XLOOKUP(Sales_Data[[#This Row],[Sales Team]],_xlfn.ANCHORARRAY(Dashboard!$B$9),Dashboard!$D$9:$D$10,,0)</f>
        <v>1</v>
      </c>
      <c r="O155" t="b" cm="1">
        <f t="array" ref="O155">_xlfn.XLOOKUP(Sales_Data[[#This Row],[Sales Rep]],_xlfn.ANCHORARRAY(Dashboard!$B$13),Dashboard!$D$13:$D$17,,0)</f>
        <v>1</v>
      </c>
      <c r="P155" t="b" cm="1">
        <f t="array" ref="P155">_xlfn.XLOOKUP(Sales_Data[[#This Row],[Stage]],_xlfn.ANCHORARRAY(Dashboard!$B$20),Dashboard!$D$20:$D$25)</f>
        <v>1</v>
      </c>
      <c r="Q155" t="b" cm="1">
        <f t="array" ref="Q155">_xlfn.XLOOKUP(Sales_Data[[#This Row],[Lead Source]],_xlfn.ANCHORARRAY(Dashboard!$B$28),Dashboard!$D$28:$D$32)</f>
        <v>1</v>
      </c>
      <c r="R155">
        <f>Sales_Data[[#This Row],[Date inc]]*Sales_Data[[#This Row],[Team Inc]]*Sales_Data[[#This Row],[Rep Inc]]*Sales_Data[[#This Row],[Stage Inc]]*Sales_Data[[#This Row],[Source Inc]]</f>
        <v>0</v>
      </c>
    </row>
    <row r="156" spans="1:18" x14ac:dyDescent="0.3">
      <c r="A156" t="s">
        <v>163</v>
      </c>
      <c r="B156" s="2">
        <v>45777</v>
      </c>
      <c r="C156" t="s">
        <v>760</v>
      </c>
      <c r="D156" t="s">
        <v>764</v>
      </c>
      <c r="E156" t="s">
        <v>767</v>
      </c>
      <c r="F156" s="5">
        <v>42900</v>
      </c>
      <c r="G156" t="s">
        <v>772</v>
      </c>
      <c r="H156" s="2"/>
      <c r="J156" t="str">
        <f>IF(Sales_Data[[#This Row],[Close Date]] &lt;&gt; 0,"Closed", "Open")</f>
        <v>Open</v>
      </c>
      <c r="K156" t="str">
        <f>IF(Sales_Data[[#This Row],[Open/Closed]] = "Closed",Sales_Data[[#This Row],[Close Date]]-Sales_Data[[#This Row],[Created Date]],"")</f>
        <v/>
      </c>
      <c r="L156" s="2">
        <f>EOMONTH(Sales_Data[[#This Row],[Created Date]],0)</f>
        <v>45777</v>
      </c>
      <c r="M156" t="b">
        <f>AND(Sales_Data[[#This Row],[EoM Created]]&gt;=Index!$E$5,Sales_Data[[#This Row],[EoM Created]]&lt;=Index!$E$4)</f>
        <v>1</v>
      </c>
      <c r="N156" t="b" cm="1">
        <f t="array" ref="N156">_xlfn.XLOOKUP(Sales_Data[[#This Row],[Sales Team]],_xlfn.ANCHORARRAY(Dashboard!$B$9),Dashboard!$D$9:$D$10,,0)</f>
        <v>1</v>
      </c>
      <c r="O156" t="b" cm="1">
        <f t="array" ref="O156">_xlfn.XLOOKUP(Sales_Data[[#This Row],[Sales Rep]],_xlfn.ANCHORARRAY(Dashboard!$B$13),Dashboard!$D$13:$D$17,,0)</f>
        <v>1</v>
      </c>
      <c r="P156" t="b" cm="1">
        <f t="array" ref="P156">_xlfn.XLOOKUP(Sales_Data[[#This Row],[Stage]],_xlfn.ANCHORARRAY(Dashboard!$B$20),Dashboard!$D$20:$D$25)</f>
        <v>1</v>
      </c>
      <c r="Q156" t="b" cm="1">
        <f t="array" ref="Q156">_xlfn.XLOOKUP(Sales_Data[[#This Row],[Lead Source]],_xlfn.ANCHORARRAY(Dashboard!$B$28),Dashboard!$D$28:$D$32)</f>
        <v>1</v>
      </c>
      <c r="R156">
        <f>Sales_Data[[#This Row],[Date inc]]*Sales_Data[[#This Row],[Team Inc]]*Sales_Data[[#This Row],[Rep Inc]]*Sales_Data[[#This Row],[Stage Inc]]*Sales_Data[[#This Row],[Source Inc]]</f>
        <v>1</v>
      </c>
    </row>
    <row r="157" spans="1:18" x14ac:dyDescent="0.3">
      <c r="A157" t="s">
        <v>164</v>
      </c>
      <c r="B157" s="2">
        <v>45371</v>
      </c>
      <c r="C157" t="s">
        <v>762</v>
      </c>
      <c r="D157" t="s">
        <v>764</v>
      </c>
      <c r="E157" t="s">
        <v>767</v>
      </c>
      <c r="F157" s="5">
        <v>32900</v>
      </c>
      <c r="G157" t="s">
        <v>781</v>
      </c>
      <c r="H157" s="2">
        <v>45458</v>
      </c>
      <c r="I157" t="s">
        <v>779</v>
      </c>
      <c r="J157" t="str">
        <f>IF(Sales_Data[[#This Row],[Close Date]] &lt;&gt; 0,"Closed", "Open")</f>
        <v>Closed</v>
      </c>
      <c r="K157">
        <f>IF(Sales_Data[[#This Row],[Open/Closed]] = "Closed",Sales_Data[[#This Row],[Close Date]]-Sales_Data[[#This Row],[Created Date]],"")</f>
        <v>87</v>
      </c>
      <c r="L157" s="2">
        <f>EOMONTH(Sales_Data[[#This Row],[Created Date]],0)</f>
        <v>45382</v>
      </c>
      <c r="M157" t="b">
        <f>AND(Sales_Data[[#This Row],[EoM Created]]&gt;=Index!$E$5,Sales_Data[[#This Row],[EoM Created]]&lt;=Index!$E$4)</f>
        <v>1</v>
      </c>
      <c r="N157" t="b" cm="1">
        <f t="array" ref="N157">_xlfn.XLOOKUP(Sales_Data[[#This Row],[Sales Team]],_xlfn.ANCHORARRAY(Dashboard!$B$9),Dashboard!$D$9:$D$10,,0)</f>
        <v>1</v>
      </c>
      <c r="O157" t="b" cm="1">
        <f t="array" ref="O157">_xlfn.XLOOKUP(Sales_Data[[#This Row],[Sales Rep]],_xlfn.ANCHORARRAY(Dashboard!$B$13),Dashboard!$D$13:$D$17,,0)</f>
        <v>1</v>
      </c>
      <c r="P157" t="b" cm="1">
        <f t="array" ref="P157">_xlfn.XLOOKUP(Sales_Data[[#This Row],[Stage]],_xlfn.ANCHORARRAY(Dashboard!$B$20),Dashboard!$D$20:$D$25)</f>
        <v>1</v>
      </c>
      <c r="Q157" t="b" cm="1">
        <f t="array" ref="Q157">_xlfn.XLOOKUP(Sales_Data[[#This Row],[Lead Source]],_xlfn.ANCHORARRAY(Dashboard!$B$28),Dashboard!$D$28:$D$32)</f>
        <v>1</v>
      </c>
      <c r="R157">
        <f>Sales_Data[[#This Row],[Date inc]]*Sales_Data[[#This Row],[Team Inc]]*Sales_Data[[#This Row],[Rep Inc]]*Sales_Data[[#This Row],[Stage Inc]]*Sales_Data[[#This Row],[Source Inc]]</f>
        <v>1</v>
      </c>
    </row>
    <row r="158" spans="1:18" x14ac:dyDescent="0.3">
      <c r="A158" t="s">
        <v>165</v>
      </c>
      <c r="B158" s="2">
        <v>45233</v>
      </c>
      <c r="C158" t="s">
        <v>759</v>
      </c>
      <c r="D158" t="s">
        <v>764</v>
      </c>
      <c r="E158" t="s">
        <v>767</v>
      </c>
      <c r="F158" s="5">
        <v>58700</v>
      </c>
      <c r="G158" t="s">
        <v>780</v>
      </c>
      <c r="H158" s="2">
        <v>45317</v>
      </c>
      <c r="J158" t="str">
        <f>IF(Sales_Data[[#This Row],[Close Date]] &lt;&gt; 0,"Closed", "Open")</f>
        <v>Closed</v>
      </c>
      <c r="K158">
        <f>IF(Sales_Data[[#This Row],[Open/Closed]] = "Closed",Sales_Data[[#This Row],[Close Date]]-Sales_Data[[#This Row],[Created Date]],"")</f>
        <v>84</v>
      </c>
      <c r="L158" s="2">
        <f>EOMONTH(Sales_Data[[#This Row],[Created Date]],0)</f>
        <v>45260</v>
      </c>
      <c r="M158" t="b">
        <f>AND(Sales_Data[[#This Row],[EoM Created]]&gt;=Index!$E$5,Sales_Data[[#This Row],[EoM Created]]&lt;=Index!$E$4)</f>
        <v>1</v>
      </c>
      <c r="N158" t="b" cm="1">
        <f t="array" ref="N158">_xlfn.XLOOKUP(Sales_Data[[#This Row],[Sales Team]],_xlfn.ANCHORARRAY(Dashboard!$B$9),Dashboard!$D$9:$D$10,,0)</f>
        <v>1</v>
      </c>
      <c r="O158" t="b" cm="1">
        <f t="array" ref="O158">_xlfn.XLOOKUP(Sales_Data[[#This Row],[Sales Rep]],_xlfn.ANCHORARRAY(Dashboard!$B$13),Dashboard!$D$13:$D$17,,0)</f>
        <v>1</v>
      </c>
      <c r="P158" t="b" cm="1">
        <f t="array" ref="P158">_xlfn.XLOOKUP(Sales_Data[[#This Row],[Stage]],_xlfn.ANCHORARRAY(Dashboard!$B$20),Dashboard!$D$20:$D$25)</f>
        <v>1</v>
      </c>
      <c r="Q158" t="b" cm="1">
        <f t="array" ref="Q158">_xlfn.XLOOKUP(Sales_Data[[#This Row],[Lead Source]],_xlfn.ANCHORARRAY(Dashboard!$B$28),Dashboard!$D$28:$D$32)</f>
        <v>1</v>
      </c>
      <c r="R158">
        <f>Sales_Data[[#This Row],[Date inc]]*Sales_Data[[#This Row],[Team Inc]]*Sales_Data[[#This Row],[Rep Inc]]*Sales_Data[[#This Row],[Stage Inc]]*Sales_Data[[#This Row],[Source Inc]]</f>
        <v>1</v>
      </c>
    </row>
    <row r="159" spans="1:18" x14ac:dyDescent="0.3">
      <c r="A159" t="s">
        <v>166</v>
      </c>
      <c r="B159" s="2">
        <v>45045</v>
      </c>
      <c r="C159" t="s">
        <v>759</v>
      </c>
      <c r="D159" t="s">
        <v>764</v>
      </c>
      <c r="E159" t="s">
        <v>767</v>
      </c>
      <c r="F159" s="5">
        <v>44700</v>
      </c>
      <c r="G159" t="s">
        <v>781</v>
      </c>
      <c r="H159" s="2">
        <v>45130</v>
      </c>
      <c r="I159" t="s">
        <v>775</v>
      </c>
      <c r="J159" t="str">
        <f>IF(Sales_Data[[#This Row],[Close Date]] &lt;&gt; 0,"Closed", "Open")</f>
        <v>Closed</v>
      </c>
      <c r="K159">
        <f>IF(Sales_Data[[#This Row],[Open/Closed]] = "Closed",Sales_Data[[#This Row],[Close Date]]-Sales_Data[[#This Row],[Created Date]],"")</f>
        <v>85</v>
      </c>
      <c r="L159" s="2">
        <f>EOMONTH(Sales_Data[[#This Row],[Created Date]],0)</f>
        <v>45046</v>
      </c>
      <c r="M159" t="b">
        <f>AND(Sales_Data[[#This Row],[EoM Created]]&gt;=Index!$E$5,Sales_Data[[#This Row],[EoM Created]]&lt;=Index!$E$4)</f>
        <v>0</v>
      </c>
      <c r="N159" t="b" cm="1">
        <f t="array" ref="N159">_xlfn.XLOOKUP(Sales_Data[[#This Row],[Sales Team]],_xlfn.ANCHORARRAY(Dashboard!$B$9),Dashboard!$D$9:$D$10,,0)</f>
        <v>1</v>
      </c>
      <c r="O159" t="b" cm="1">
        <f t="array" ref="O159">_xlfn.XLOOKUP(Sales_Data[[#This Row],[Sales Rep]],_xlfn.ANCHORARRAY(Dashboard!$B$13),Dashboard!$D$13:$D$17,,0)</f>
        <v>1</v>
      </c>
      <c r="P159" t="b" cm="1">
        <f t="array" ref="P159">_xlfn.XLOOKUP(Sales_Data[[#This Row],[Stage]],_xlfn.ANCHORARRAY(Dashboard!$B$20),Dashboard!$D$20:$D$25)</f>
        <v>1</v>
      </c>
      <c r="Q159" t="b" cm="1">
        <f t="array" ref="Q159">_xlfn.XLOOKUP(Sales_Data[[#This Row],[Lead Source]],_xlfn.ANCHORARRAY(Dashboard!$B$28),Dashboard!$D$28:$D$32)</f>
        <v>1</v>
      </c>
      <c r="R159">
        <f>Sales_Data[[#This Row],[Date inc]]*Sales_Data[[#This Row],[Team Inc]]*Sales_Data[[#This Row],[Rep Inc]]*Sales_Data[[#This Row],[Stage Inc]]*Sales_Data[[#This Row],[Source Inc]]</f>
        <v>0</v>
      </c>
    </row>
    <row r="160" spans="1:18" x14ac:dyDescent="0.3">
      <c r="A160" t="s">
        <v>167</v>
      </c>
      <c r="B160" s="2">
        <v>45683</v>
      </c>
      <c r="C160" t="s">
        <v>763</v>
      </c>
      <c r="D160" t="s">
        <v>765</v>
      </c>
      <c r="E160" t="s">
        <v>768</v>
      </c>
      <c r="F160" s="5">
        <v>28100</v>
      </c>
      <c r="G160" t="s">
        <v>781</v>
      </c>
      <c r="H160" s="2">
        <v>45766</v>
      </c>
      <c r="I160" t="s">
        <v>776</v>
      </c>
      <c r="J160" t="str">
        <f>IF(Sales_Data[[#This Row],[Close Date]] &lt;&gt; 0,"Closed", "Open")</f>
        <v>Closed</v>
      </c>
      <c r="K160">
        <f>IF(Sales_Data[[#This Row],[Open/Closed]] = "Closed",Sales_Data[[#This Row],[Close Date]]-Sales_Data[[#This Row],[Created Date]],"")</f>
        <v>83</v>
      </c>
      <c r="L160" s="2">
        <f>EOMONTH(Sales_Data[[#This Row],[Created Date]],0)</f>
        <v>45688</v>
      </c>
      <c r="M160" t="b">
        <f>AND(Sales_Data[[#This Row],[EoM Created]]&gt;=Index!$E$5,Sales_Data[[#This Row],[EoM Created]]&lt;=Index!$E$4)</f>
        <v>1</v>
      </c>
      <c r="N160" t="b" cm="1">
        <f t="array" ref="N160">_xlfn.XLOOKUP(Sales_Data[[#This Row],[Sales Team]],_xlfn.ANCHORARRAY(Dashboard!$B$9),Dashboard!$D$9:$D$10,,0)</f>
        <v>1</v>
      </c>
      <c r="O160" t="b" cm="1">
        <f t="array" ref="O160">_xlfn.XLOOKUP(Sales_Data[[#This Row],[Sales Rep]],_xlfn.ANCHORARRAY(Dashboard!$B$13),Dashboard!$D$13:$D$17,,0)</f>
        <v>1</v>
      </c>
      <c r="P160" t="b" cm="1">
        <f t="array" ref="P160">_xlfn.XLOOKUP(Sales_Data[[#This Row],[Stage]],_xlfn.ANCHORARRAY(Dashboard!$B$20),Dashboard!$D$20:$D$25)</f>
        <v>1</v>
      </c>
      <c r="Q160" t="b" cm="1">
        <f t="array" ref="Q160">_xlfn.XLOOKUP(Sales_Data[[#This Row],[Lead Source]],_xlfn.ANCHORARRAY(Dashboard!$B$28),Dashboard!$D$28:$D$32)</f>
        <v>1</v>
      </c>
      <c r="R160">
        <f>Sales_Data[[#This Row],[Date inc]]*Sales_Data[[#This Row],[Team Inc]]*Sales_Data[[#This Row],[Rep Inc]]*Sales_Data[[#This Row],[Stage Inc]]*Sales_Data[[#This Row],[Source Inc]]</f>
        <v>1</v>
      </c>
    </row>
    <row r="161" spans="1:18" x14ac:dyDescent="0.3">
      <c r="A161" t="s">
        <v>168</v>
      </c>
      <c r="B161" s="2">
        <v>45768</v>
      </c>
      <c r="C161" t="s">
        <v>763</v>
      </c>
      <c r="D161" t="s">
        <v>765</v>
      </c>
      <c r="E161" t="s">
        <v>768</v>
      </c>
      <c r="F161" s="5">
        <v>46600</v>
      </c>
      <c r="G161" t="s">
        <v>771</v>
      </c>
      <c r="H161" s="2"/>
      <c r="J161" t="str">
        <f>IF(Sales_Data[[#This Row],[Close Date]] &lt;&gt; 0,"Closed", "Open")</f>
        <v>Open</v>
      </c>
      <c r="K161" t="str">
        <f>IF(Sales_Data[[#This Row],[Open/Closed]] = "Closed",Sales_Data[[#This Row],[Close Date]]-Sales_Data[[#This Row],[Created Date]],"")</f>
        <v/>
      </c>
      <c r="L161" s="2">
        <f>EOMONTH(Sales_Data[[#This Row],[Created Date]],0)</f>
        <v>45777</v>
      </c>
      <c r="M161" t="b">
        <f>AND(Sales_Data[[#This Row],[EoM Created]]&gt;=Index!$E$5,Sales_Data[[#This Row],[EoM Created]]&lt;=Index!$E$4)</f>
        <v>1</v>
      </c>
      <c r="N161" t="b" cm="1">
        <f t="array" ref="N161">_xlfn.XLOOKUP(Sales_Data[[#This Row],[Sales Team]],_xlfn.ANCHORARRAY(Dashboard!$B$9),Dashboard!$D$9:$D$10,,0)</f>
        <v>1</v>
      </c>
      <c r="O161" t="b" cm="1">
        <f t="array" ref="O161">_xlfn.XLOOKUP(Sales_Data[[#This Row],[Sales Rep]],_xlfn.ANCHORARRAY(Dashboard!$B$13),Dashboard!$D$13:$D$17,,0)</f>
        <v>1</v>
      </c>
      <c r="P161" t="b" cm="1">
        <f t="array" ref="P161">_xlfn.XLOOKUP(Sales_Data[[#This Row],[Stage]],_xlfn.ANCHORARRAY(Dashboard!$B$20),Dashboard!$D$20:$D$25)</f>
        <v>1</v>
      </c>
      <c r="Q161" t="b" cm="1">
        <f t="array" ref="Q161">_xlfn.XLOOKUP(Sales_Data[[#This Row],[Lead Source]],_xlfn.ANCHORARRAY(Dashboard!$B$28),Dashboard!$D$28:$D$32)</f>
        <v>1</v>
      </c>
      <c r="R161">
        <f>Sales_Data[[#This Row],[Date inc]]*Sales_Data[[#This Row],[Team Inc]]*Sales_Data[[#This Row],[Rep Inc]]*Sales_Data[[#This Row],[Stage Inc]]*Sales_Data[[#This Row],[Source Inc]]</f>
        <v>1</v>
      </c>
    </row>
    <row r="162" spans="1:18" x14ac:dyDescent="0.3">
      <c r="A162" t="s">
        <v>169</v>
      </c>
      <c r="B162" s="2">
        <v>45504</v>
      </c>
      <c r="C162" t="s">
        <v>760</v>
      </c>
      <c r="D162" t="s">
        <v>764</v>
      </c>
      <c r="E162" t="s">
        <v>767</v>
      </c>
      <c r="F162" s="5">
        <v>30300</v>
      </c>
      <c r="G162" t="s">
        <v>781</v>
      </c>
      <c r="H162" s="2">
        <v>45589</v>
      </c>
      <c r="I162" t="s">
        <v>777</v>
      </c>
      <c r="J162" t="str">
        <f>IF(Sales_Data[[#This Row],[Close Date]] &lt;&gt; 0,"Closed", "Open")</f>
        <v>Closed</v>
      </c>
      <c r="K162">
        <f>IF(Sales_Data[[#This Row],[Open/Closed]] = "Closed",Sales_Data[[#This Row],[Close Date]]-Sales_Data[[#This Row],[Created Date]],"")</f>
        <v>85</v>
      </c>
      <c r="L162" s="2">
        <f>EOMONTH(Sales_Data[[#This Row],[Created Date]],0)</f>
        <v>45504</v>
      </c>
      <c r="M162" t="b">
        <f>AND(Sales_Data[[#This Row],[EoM Created]]&gt;=Index!$E$5,Sales_Data[[#This Row],[EoM Created]]&lt;=Index!$E$4)</f>
        <v>1</v>
      </c>
      <c r="N162" t="b" cm="1">
        <f t="array" ref="N162">_xlfn.XLOOKUP(Sales_Data[[#This Row],[Sales Team]],_xlfn.ANCHORARRAY(Dashboard!$B$9),Dashboard!$D$9:$D$10,,0)</f>
        <v>1</v>
      </c>
      <c r="O162" t="b" cm="1">
        <f t="array" ref="O162">_xlfn.XLOOKUP(Sales_Data[[#This Row],[Sales Rep]],_xlfn.ANCHORARRAY(Dashboard!$B$13),Dashboard!$D$13:$D$17,,0)</f>
        <v>1</v>
      </c>
      <c r="P162" t="b" cm="1">
        <f t="array" ref="P162">_xlfn.XLOOKUP(Sales_Data[[#This Row],[Stage]],_xlfn.ANCHORARRAY(Dashboard!$B$20),Dashboard!$D$20:$D$25)</f>
        <v>1</v>
      </c>
      <c r="Q162" t="b" cm="1">
        <f t="array" ref="Q162">_xlfn.XLOOKUP(Sales_Data[[#This Row],[Lead Source]],_xlfn.ANCHORARRAY(Dashboard!$B$28),Dashboard!$D$28:$D$32)</f>
        <v>1</v>
      </c>
      <c r="R162">
        <f>Sales_Data[[#This Row],[Date inc]]*Sales_Data[[#This Row],[Team Inc]]*Sales_Data[[#This Row],[Rep Inc]]*Sales_Data[[#This Row],[Stage Inc]]*Sales_Data[[#This Row],[Source Inc]]</f>
        <v>1</v>
      </c>
    </row>
    <row r="163" spans="1:18" x14ac:dyDescent="0.3">
      <c r="A163" t="s">
        <v>170</v>
      </c>
      <c r="B163" s="2">
        <v>45438</v>
      </c>
      <c r="C163" t="s">
        <v>762</v>
      </c>
      <c r="D163" t="s">
        <v>764</v>
      </c>
      <c r="E163" t="s">
        <v>766</v>
      </c>
      <c r="F163" s="5">
        <v>47900</v>
      </c>
      <c r="G163" t="s">
        <v>781</v>
      </c>
      <c r="H163" s="2">
        <v>45499</v>
      </c>
      <c r="I163" t="s">
        <v>777</v>
      </c>
      <c r="J163" t="str">
        <f>IF(Sales_Data[[#This Row],[Close Date]] &lt;&gt; 0,"Closed", "Open")</f>
        <v>Closed</v>
      </c>
      <c r="K163">
        <f>IF(Sales_Data[[#This Row],[Open/Closed]] = "Closed",Sales_Data[[#This Row],[Close Date]]-Sales_Data[[#This Row],[Created Date]],"")</f>
        <v>61</v>
      </c>
      <c r="L163" s="2">
        <f>EOMONTH(Sales_Data[[#This Row],[Created Date]],0)</f>
        <v>45443</v>
      </c>
      <c r="M163" t="b">
        <f>AND(Sales_Data[[#This Row],[EoM Created]]&gt;=Index!$E$5,Sales_Data[[#This Row],[EoM Created]]&lt;=Index!$E$4)</f>
        <v>1</v>
      </c>
      <c r="N163" t="b" cm="1">
        <f t="array" ref="N163">_xlfn.XLOOKUP(Sales_Data[[#This Row],[Sales Team]],_xlfn.ANCHORARRAY(Dashboard!$B$9),Dashboard!$D$9:$D$10,,0)</f>
        <v>1</v>
      </c>
      <c r="O163" t="b" cm="1">
        <f t="array" ref="O163">_xlfn.XLOOKUP(Sales_Data[[#This Row],[Sales Rep]],_xlfn.ANCHORARRAY(Dashboard!$B$13),Dashboard!$D$13:$D$17,,0)</f>
        <v>1</v>
      </c>
      <c r="P163" t="b" cm="1">
        <f t="array" ref="P163">_xlfn.XLOOKUP(Sales_Data[[#This Row],[Stage]],_xlfn.ANCHORARRAY(Dashboard!$B$20),Dashboard!$D$20:$D$25)</f>
        <v>1</v>
      </c>
      <c r="Q163" t="b" cm="1">
        <f t="array" ref="Q163">_xlfn.XLOOKUP(Sales_Data[[#This Row],[Lead Source]],_xlfn.ANCHORARRAY(Dashboard!$B$28),Dashboard!$D$28:$D$32)</f>
        <v>1</v>
      </c>
      <c r="R163">
        <f>Sales_Data[[#This Row],[Date inc]]*Sales_Data[[#This Row],[Team Inc]]*Sales_Data[[#This Row],[Rep Inc]]*Sales_Data[[#This Row],[Stage Inc]]*Sales_Data[[#This Row],[Source Inc]]</f>
        <v>1</v>
      </c>
    </row>
    <row r="164" spans="1:18" x14ac:dyDescent="0.3">
      <c r="A164" t="s">
        <v>171</v>
      </c>
      <c r="B164" s="2">
        <v>45439</v>
      </c>
      <c r="C164" t="s">
        <v>762</v>
      </c>
      <c r="D164" t="s">
        <v>764</v>
      </c>
      <c r="E164" t="s">
        <v>766</v>
      </c>
      <c r="F164" s="5">
        <v>51600</v>
      </c>
      <c r="G164" t="s">
        <v>780</v>
      </c>
      <c r="H164" s="2">
        <v>45514</v>
      </c>
      <c r="J164" t="str">
        <f>IF(Sales_Data[[#This Row],[Close Date]] &lt;&gt; 0,"Closed", "Open")</f>
        <v>Closed</v>
      </c>
      <c r="K164">
        <f>IF(Sales_Data[[#This Row],[Open/Closed]] = "Closed",Sales_Data[[#This Row],[Close Date]]-Sales_Data[[#This Row],[Created Date]],"")</f>
        <v>75</v>
      </c>
      <c r="L164" s="2">
        <f>EOMONTH(Sales_Data[[#This Row],[Created Date]],0)</f>
        <v>45443</v>
      </c>
      <c r="M164" t="b">
        <f>AND(Sales_Data[[#This Row],[EoM Created]]&gt;=Index!$E$5,Sales_Data[[#This Row],[EoM Created]]&lt;=Index!$E$4)</f>
        <v>1</v>
      </c>
      <c r="N164" t="b" cm="1">
        <f t="array" ref="N164">_xlfn.XLOOKUP(Sales_Data[[#This Row],[Sales Team]],_xlfn.ANCHORARRAY(Dashboard!$B$9),Dashboard!$D$9:$D$10,,0)</f>
        <v>1</v>
      </c>
      <c r="O164" t="b" cm="1">
        <f t="array" ref="O164">_xlfn.XLOOKUP(Sales_Data[[#This Row],[Sales Rep]],_xlfn.ANCHORARRAY(Dashboard!$B$13),Dashboard!$D$13:$D$17,,0)</f>
        <v>1</v>
      </c>
      <c r="P164" t="b" cm="1">
        <f t="array" ref="P164">_xlfn.XLOOKUP(Sales_Data[[#This Row],[Stage]],_xlfn.ANCHORARRAY(Dashboard!$B$20),Dashboard!$D$20:$D$25)</f>
        <v>1</v>
      </c>
      <c r="Q164" t="b" cm="1">
        <f t="array" ref="Q164">_xlfn.XLOOKUP(Sales_Data[[#This Row],[Lead Source]],_xlfn.ANCHORARRAY(Dashboard!$B$28),Dashboard!$D$28:$D$32)</f>
        <v>1</v>
      </c>
      <c r="R164">
        <f>Sales_Data[[#This Row],[Date inc]]*Sales_Data[[#This Row],[Team Inc]]*Sales_Data[[#This Row],[Rep Inc]]*Sales_Data[[#This Row],[Stage Inc]]*Sales_Data[[#This Row],[Source Inc]]</f>
        <v>1</v>
      </c>
    </row>
    <row r="165" spans="1:18" x14ac:dyDescent="0.3">
      <c r="A165" t="s">
        <v>172</v>
      </c>
      <c r="B165" s="2">
        <v>44957</v>
      </c>
      <c r="C165" t="s">
        <v>759</v>
      </c>
      <c r="D165" t="s">
        <v>764</v>
      </c>
      <c r="E165" t="s">
        <v>766</v>
      </c>
      <c r="F165" s="5">
        <v>31800</v>
      </c>
      <c r="G165" t="s">
        <v>780</v>
      </c>
      <c r="H165" s="2">
        <v>45045</v>
      </c>
      <c r="J165" t="str">
        <f>IF(Sales_Data[[#This Row],[Close Date]] &lt;&gt; 0,"Closed", "Open")</f>
        <v>Closed</v>
      </c>
      <c r="K165">
        <f>IF(Sales_Data[[#This Row],[Open/Closed]] = "Closed",Sales_Data[[#This Row],[Close Date]]-Sales_Data[[#This Row],[Created Date]],"")</f>
        <v>88</v>
      </c>
      <c r="L165" s="2">
        <f>EOMONTH(Sales_Data[[#This Row],[Created Date]],0)</f>
        <v>44957</v>
      </c>
      <c r="M165" t="b">
        <f>AND(Sales_Data[[#This Row],[EoM Created]]&gt;=Index!$E$5,Sales_Data[[#This Row],[EoM Created]]&lt;=Index!$E$4)</f>
        <v>0</v>
      </c>
      <c r="N165" t="b" cm="1">
        <f t="array" ref="N165">_xlfn.XLOOKUP(Sales_Data[[#This Row],[Sales Team]],_xlfn.ANCHORARRAY(Dashboard!$B$9),Dashboard!$D$9:$D$10,,0)</f>
        <v>1</v>
      </c>
      <c r="O165" t="b" cm="1">
        <f t="array" ref="O165">_xlfn.XLOOKUP(Sales_Data[[#This Row],[Sales Rep]],_xlfn.ANCHORARRAY(Dashboard!$B$13),Dashboard!$D$13:$D$17,,0)</f>
        <v>1</v>
      </c>
      <c r="P165" t="b" cm="1">
        <f t="array" ref="P165">_xlfn.XLOOKUP(Sales_Data[[#This Row],[Stage]],_xlfn.ANCHORARRAY(Dashboard!$B$20),Dashboard!$D$20:$D$25)</f>
        <v>1</v>
      </c>
      <c r="Q165" t="b" cm="1">
        <f t="array" ref="Q165">_xlfn.XLOOKUP(Sales_Data[[#This Row],[Lead Source]],_xlfn.ANCHORARRAY(Dashboard!$B$28),Dashboard!$D$28:$D$32)</f>
        <v>1</v>
      </c>
      <c r="R165">
        <f>Sales_Data[[#This Row],[Date inc]]*Sales_Data[[#This Row],[Team Inc]]*Sales_Data[[#This Row],[Rep Inc]]*Sales_Data[[#This Row],[Stage Inc]]*Sales_Data[[#This Row],[Source Inc]]</f>
        <v>0</v>
      </c>
    </row>
    <row r="166" spans="1:18" x14ac:dyDescent="0.3">
      <c r="A166" t="s">
        <v>173</v>
      </c>
      <c r="B166" s="2">
        <v>44988</v>
      </c>
      <c r="C166" t="s">
        <v>760</v>
      </c>
      <c r="D166" t="s">
        <v>764</v>
      </c>
      <c r="E166" t="s">
        <v>766</v>
      </c>
      <c r="F166" s="5">
        <v>49600</v>
      </c>
      <c r="G166" t="s">
        <v>781</v>
      </c>
      <c r="H166" s="2">
        <v>45072</v>
      </c>
      <c r="I166" t="s">
        <v>776</v>
      </c>
      <c r="J166" t="str">
        <f>IF(Sales_Data[[#This Row],[Close Date]] &lt;&gt; 0,"Closed", "Open")</f>
        <v>Closed</v>
      </c>
      <c r="K166">
        <f>IF(Sales_Data[[#This Row],[Open/Closed]] = "Closed",Sales_Data[[#This Row],[Close Date]]-Sales_Data[[#This Row],[Created Date]],"")</f>
        <v>84</v>
      </c>
      <c r="L166" s="2">
        <f>EOMONTH(Sales_Data[[#This Row],[Created Date]],0)</f>
        <v>45016</v>
      </c>
      <c r="M166" t="b">
        <f>AND(Sales_Data[[#This Row],[EoM Created]]&gt;=Index!$E$5,Sales_Data[[#This Row],[EoM Created]]&lt;=Index!$E$4)</f>
        <v>0</v>
      </c>
      <c r="N166" t="b" cm="1">
        <f t="array" ref="N166">_xlfn.XLOOKUP(Sales_Data[[#This Row],[Sales Team]],_xlfn.ANCHORARRAY(Dashboard!$B$9),Dashboard!$D$9:$D$10,,0)</f>
        <v>1</v>
      </c>
      <c r="O166" t="b" cm="1">
        <f t="array" ref="O166">_xlfn.XLOOKUP(Sales_Data[[#This Row],[Sales Rep]],_xlfn.ANCHORARRAY(Dashboard!$B$13),Dashboard!$D$13:$D$17,,0)</f>
        <v>1</v>
      </c>
      <c r="P166" t="b" cm="1">
        <f t="array" ref="P166">_xlfn.XLOOKUP(Sales_Data[[#This Row],[Stage]],_xlfn.ANCHORARRAY(Dashboard!$B$20),Dashboard!$D$20:$D$25)</f>
        <v>1</v>
      </c>
      <c r="Q166" t="b" cm="1">
        <f t="array" ref="Q166">_xlfn.XLOOKUP(Sales_Data[[#This Row],[Lead Source]],_xlfn.ANCHORARRAY(Dashboard!$B$28),Dashboard!$D$28:$D$32)</f>
        <v>1</v>
      </c>
      <c r="R166">
        <f>Sales_Data[[#This Row],[Date inc]]*Sales_Data[[#This Row],[Team Inc]]*Sales_Data[[#This Row],[Rep Inc]]*Sales_Data[[#This Row],[Stage Inc]]*Sales_Data[[#This Row],[Source Inc]]</f>
        <v>0</v>
      </c>
    </row>
    <row r="167" spans="1:18" x14ac:dyDescent="0.3">
      <c r="A167" t="s">
        <v>174</v>
      </c>
      <c r="B167" s="2">
        <v>45097</v>
      </c>
      <c r="C167" t="s">
        <v>760</v>
      </c>
      <c r="D167" t="s">
        <v>764</v>
      </c>
      <c r="E167" t="s">
        <v>766</v>
      </c>
      <c r="F167" s="5">
        <v>44100</v>
      </c>
      <c r="G167" t="s">
        <v>780</v>
      </c>
      <c r="H167" s="2">
        <v>45163</v>
      </c>
      <c r="J167" t="str">
        <f>IF(Sales_Data[[#This Row],[Close Date]] &lt;&gt; 0,"Closed", "Open")</f>
        <v>Closed</v>
      </c>
      <c r="K167">
        <f>IF(Sales_Data[[#This Row],[Open/Closed]] = "Closed",Sales_Data[[#This Row],[Close Date]]-Sales_Data[[#This Row],[Created Date]],"")</f>
        <v>66</v>
      </c>
      <c r="L167" s="2">
        <f>EOMONTH(Sales_Data[[#This Row],[Created Date]],0)</f>
        <v>45107</v>
      </c>
      <c r="M167" t="b">
        <f>AND(Sales_Data[[#This Row],[EoM Created]]&gt;=Index!$E$5,Sales_Data[[#This Row],[EoM Created]]&lt;=Index!$E$4)</f>
        <v>0</v>
      </c>
      <c r="N167" t="b" cm="1">
        <f t="array" ref="N167">_xlfn.XLOOKUP(Sales_Data[[#This Row],[Sales Team]],_xlfn.ANCHORARRAY(Dashboard!$B$9),Dashboard!$D$9:$D$10,,0)</f>
        <v>1</v>
      </c>
      <c r="O167" t="b" cm="1">
        <f t="array" ref="O167">_xlfn.XLOOKUP(Sales_Data[[#This Row],[Sales Rep]],_xlfn.ANCHORARRAY(Dashboard!$B$13),Dashboard!$D$13:$D$17,,0)</f>
        <v>1</v>
      </c>
      <c r="P167" t="b" cm="1">
        <f t="array" ref="P167">_xlfn.XLOOKUP(Sales_Data[[#This Row],[Stage]],_xlfn.ANCHORARRAY(Dashboard!$B$20),Dashboard!$D$20:$D$25)</f>
        <v>1</v>
      </c>
      <c r="Q167" t="b" cm="1">
        <f t="array" ref="Q167">_xlfn.XLOOKUP(Sales_Data[[#This Row],[Lead Source]],_xlfn.ANCHORARRAY(Dashboard!$B$28),Dashboard!$D$28:$D$32)</f>
        <v>1</v>
      </c>
      <c r="R167">
        <f>Sales_Data[[#This Row],[Date inc]]*Sales_Data[[#This Row],[Team Inc]]*Sales_Data[[#This Row],[Rep Inc]]*Sales_Data[[#This Row],[Stage Inc]]*Sales_Data[[#This Row],[Source Inc]]</f>
        <v>0</v>
      </c>
    </row>
    <row r="168" spans="1:18" x14ac:dyDescent="0.3">
      <c r="A168" t="s">
        <v>175</v>
      </c>
      <c r="B168" s="2">
        <v>45164</v>
      </c>
      <c r="C168" t="s">
        <v>759</v>
      </c>
      <c r="D168" t="s">
        <v>764</v>
      </c>
      <c r="E168" t="s">
        <v>767</v>
      </c>
      <c r="F168" s="5">
        <v>48200</v>
      </c>
      <c r="G168" t="s">
        <v>781</v>
      </c>
      <c r="H168" s="2">
        <v>45254</v>
      </c>
      <c r="I168" t="s">
        <v>778</v>
      </c>
      <c r="J168" t="str">
        <f>IF(Sales_Data[[#This Row],[Close Date]] &lt;&gt; 0,"Closed", "Open")</f>
        <v>Closed</v>
      </c>
      <c r="K168">
        <f>IF(Sales_Data[[#This Row],[Open/Closed]] = "Closed",Sales_Data[[#This Row],[Close Date]]-Sales_Data[[#This Row],[Created Date]],"")</f>
        <v>90</v>
      </c>
      <c r="L168" s="2">
        <f>EOMONTH(Sales_Data[[#This Row],[Created Date]],0)</f>
        <v>45169</v>
      </c>
      <c r="M168" t="b">
        <f>AND(Sales_Data[[#This Row],[EoM Created]]&gt;=Index!$E$5,Sales_Data[[#This Row],[EoM Created]]&lt;=Index!$E$4)</f>
        <v>1</v>
      </c>
      <c r="N168" t="b" cm="1">
        <f t="array" ref="N168">_xlfn.XLOOKUP(Sales_Data[[#This Row],[Sales Team]],_xlfn.ANCHORARRAY(Dashboard!$B$9),Dashboard!$D$9:$D$10,,0)</f>
        <v>1</v>
      </c>
      <c r="O168" t="b" cm="1">
        <f t="array" ref="O168">_xlfn.XLOOKUP(Sales_Data[[#This Row],[Sales Rep]],_xlfn.ANCHORARRAY(Dashboard!$B$13),Dashboard!$D$13:$D$17,,0)</f>
        <v>1</v>
      </c>
      <c r="P168" t="b" cm="1">
        <f t="array" ref="P168">_xlfn.XLOOKUP(Sales_Data[[#This Row],[Stage]],_xlfn.ANCHORARRAY(Dashboard!$B$20),Dashboard!$D$20:$D$25)</f>
        <v>1</v>
      </c>
      <c r="Q168" t="b" cm="1">
        <f t="array" ref="Q168">_xlfn.XLOOKUP(Sales_Data[[#This Row],[Lead Source]],_xlfn.ANCHORARRAY(Dashboard!$B$28),Dashboard!$D$28:$D$32)</f>
        <v>1</v>
      </c>
      <c r="R168">
        <f>Sales_Data[[#This Row],[Date inc]]*Sales_Data[[#This Row],[Team Inc]]*Sales_Data[[#This Row],[Rep Inc]]*Sales_Data[[#This Row],[Stage Inc]]*Sales_Data[[#This Row],[Source Inc]]</f>
        <v>1</v>
      </c>
    </row>
    <row r="169" spans="1:18" x14ac:dyDescent="0.3">
      <c r="A169" t="s">
        <v>176</v>
      </c>
      <c r="B169" s="2">
        <v>45399</v>
      </c>
      <c r="C169" t="s">
        <v>761</v>
      </c>
      <c r="D169" t="s">
        <v>765</v>
      </c>
      <c r="E169" t="s">
        <v>768</v>
      </c>
      <c r="F169" s="5">
        <v>59000</v>
      </c>
      <c r="G169" t="s">
        <v>781</v>
      </c>
      <c r="H169" s="2">
        <v>45465</v>
      </c>
      <c r="I169" t="s">
        <v>775</v>
      </c>
      <c r="J169" t="str">
        <f>IF(Sales_Data[[#This Row],[Close Date]] &lt;&gt; 0,"Closed", "Open")</f>
        <v>Closed</v>
      </c>
      <c r="K169">
        <f>IF(Sales_Data[[#This Row],[Open/Closed]] = "Closed",Sales_Data[[#This Row],[Close Date]]-Sales_Data[[#This Row],[Created Date]],"")</f>
        <v>66</v>
      </c>
      <c r="L169" s="2">
        <f>EOMONTH(Sales_Data[[#This Row],[Created Date]],0)</f>
        <v>45412</v>
      </c>
      <c r="M169" t="b">
        <f>AND(Sales_Data[[#This Row],[EoM Created]]&gt;=Index!$E$5,Sales_Data[[#This Row],[EoM Created]]&lt;=Index!$E$4)</f>
        <v>1</v>
      </c>
      <c r="N169" t="b" cm="1">
        <f t="array" ref="N169">_xlfn.XLOOKUP(Sales_Data[[#This Row],[Sales Team]],_xlfn.ANCHORARRAY(Dashboard!$B$9),Dashboard!$D$9:$D$10,,0)</f>
        <v>1</v>
      </c>
      <c r="O169" t="b" cm="1">
        <f t="array" ref="O169">_xlfn.XLOOKUP(Sales_Data[[#This Row],[Sales Rep]],_xlfn.ANCHORARRAY(Dashboard!$B$13),Dashboard!$D$13:$D$17,,0)</f>
        <v>1</v>
      </c>
      <c r="P169" t="b" cm="1">
        <f t="array" ref="P169">_xlfn.XLOOKUP(Sales_Data[[#This Row],[Stage]],_xlfn.ANCHORARRAY(Dashboard!$B$20),Dashboard!$D$20:$D$25)</f>
        <v>1</v>
      </c>
      <c r="Q169" t="b" cm="1">
        <f t="array" ref="Q169">_xlfn.XLOOKUP(Sales_Data[[#This Row],[Lead Source]],_xlfn.ANCHORARRAY(Dashboard!$B$28),Dashboard!$D$28:$D$32)</f>
        <v>1</v>
      </c>
      <c r="R169">
        <f>Sales_Data[[#This Row],[Date inc]]*Sales_Data[[#This Row],[Team Inc]]*Sales_Data[[#This Row],[Rep Inc]]*Sales_Data[[#This Row],[Stage Inc]]*Sales_Data[[#This Row],[Source Inc]]</f>
        <v>1</v>
      </c>
    </row>
    <row r="170" spans="1:18" x14ac:dyDescent="0.3">
      <c r="A170" t="s">
        <v>177</v>
      </c>
      <c r="B170" s="2">
        <v>45019</v>
      </c>
      <c r="C170" t="s">
        <v>760</v>
      </c>
      <c r="D170" t="s">
        <v>764</v>
      </c>
      <c r="E170" t="s">
        <v>766</v>
      </c>
      <c r="F170" s="5">
        <v>37500</v>
      </c>
      <c r="G170" t="s">
        <v>781</v>
      </c>
      <c r="H170" s="2">
        <v>45092</v>
      </c>
      <c r="I170" t="s">
        <v>776</v>
      </c>
      <c r="J170" t="str">
        <f>IF(Sales_Data[[#This Row],[Close Date]] &lt;&gt; 0,"Closed", "Open")</f>
        <v>Closed</v>
      </c>
      <c r="K170">
        <f>IF(Sales_Data[[#This Row],[Open/Closed]] = "Closed",Sales_Data[[#This Row],[Close Date]]-Sales_Data[[#This Row],[Created Date]],"")</f>
        <v>73</v>
      </c>
      <c r="L170" s="2">
        <f>EOMONTH(Sales_Data[[#This Row],[Created Date]],0)</f>
        <v>45046</v>
      </c>
      <c r="M170" t="b">
        <f>AND(Sales_Data[[#This Row],[EoM Created]]&gt;=Index!$E$5,Sales_Data[[#This Row],[EoM Created]]&lt;=Index!$E$4)</f>
        <v>0</v>
      </c>
      <c r="N170" t="b" cm="1">
        <f t="array" ref="N170">_xlfn.XLOOKUP(Sales_Data[[#This Row],[Sales Team]],_xlfn.ANCHORARRAY(Dashboard!$B$9),Dashboard!$D$9:$D$10,,0)</f>
        <v>1</v>
      </c>
      <c r="O170" t="b" cm="1">
        <f t="array" ref="O170">_xlfn.XLOOKUP(Sales_Data[[#This Row],[Sales Rep]],_xlfn.ANCHORARRAY(Dashboard!$B$13),Dashboard!$D$13:$D$17,,0)</f>
        <v>1</v>
      </c>
      <c r="P170" t="b" cm="1">
        <f t="array" ref="P170">_xlfn.XLOOKUP(Sales_Data[[#This Row],[Stage]],_xlfn.ANCHORARRAY(Dashboard!$B$20),Dashboard!$D$20:$D$25)</f>
        <v>1</v>
      </c>
      <c r="Q170" t="b" cm="1">
        <f t="array" ref="Q170">_xlfn.XLOOKUP(Sales_Data[[#This Row],[Lead Source]],_xlfn.ANCHORARRAY(Dashboard!$B$28),Dashboard!$D$28:$D$32)</f>
        <v>1</v>
      </c>
      <c r="R170">
        <f>Sales_Data[[#This Row],[Date inc]]*Sales_Data[[#This Row],[Team Inc]]*Sales_Data[[#This Row],[Rep Inc]]*Sales_Data[[#This Row],[Stage Inc]]*Sales_Data[[#This Row],[Source Inc]]</f>
        <v>0</v>
      </c>
    </row>
    <row r="171" spans="1:18" x14ac:dyDescent="0.3">
      <c r="A171" t="s">
        <v>178</v>
      </c>
      <c r="B171" s="2">
        <v>45679</v>
      </c>
      <c r="C171" t="s">
        <v>760</v>
      </c>
      <c r="D171" t="s">
        <v>764</v>
      </c>
      <c r="E171" t="s">
        <v>767</v>
      </c>
      <c r="F171" s="5">
        <v>32500</v>
      </c>
      <c r="G171" t="s">
        <v>781</v>
      </c>
      <c r="H171" s="2">
        <v>45765</v>
      </c>
      <c r="I171" t="s">
        <v>777</v>
      </c>
      <c r="J171" t="str">
        <f>IF(Sales_Data[[#This Row],[Close Date]] &lt;&gt; 0,"Closed", "Open")</f>
        <v>Closed</v>
      </c>
      <c r="K171">
        <f>IF(Sales_Data[[#This Row],[Open/Closed]] = "Closed",Sales_Data[[#This Row],[Close Date]]-Sales_Data[[#This Row],[Created Date]],"")</f>
        <v>86</v>
      </c>
      <c r="L171" s="2">
        <f>EOMONTH(Sales_Data[[#This Row],[Created Date]],0)</f>
        <v>45688</v>
      </c>
      <c r="M171" t="b">
        <f>AND(Sales_Data[[#This Row],[EoM Created]]&gt;=Index!$E$5,Sales_Data[[#This Row],[EoM Created]]&lt;=Index!$E$4)</f>
        <v>1</v>
      </c>
      <c r="N171" t="b" cm="1">
        <f t="array" ref="N171">_xlfn.XLOOKUP(Sales_Data[[#This Row],[Sales Team]],_xlfn.ANCHORARRAY(Dashboard!$B$9),Dashboard!$D$9:$D$10,,0)</f>
        <v>1</v>
      </c>
      <c r="O171" t="b" cm="1">
        <f t="array" ref="O171">_xlfn.XLOOKUP(Sales_Data[[#This Row],[Sales Rep]],_xlfn.ANCHORARRAY(Dashboard!$B$13),Dashboard!$D$13:$D$17,,0)</f>
        <v>1</v>
      </c>
      <c r="P171" t="b" cm="1">
        <f t="array" ref="P171">_xlfn.XLOOKUP(Sales_Data[[#This Row],[Stage]],_xlfn.ANCHORARRAY(Dashboard!$B$20),Dashboard!$D$20:$D$25)</f>
        <v>1</v>
      </c>
      <c r="Q171" t="b" cm="1">
        <f t="array" ref="Q171">_xlfn.XLOOKUP(Sales_Data[[#This Row],[Lead Source]],_xlfn.ANCHORARRAY(Dashboard!$B$28),Dashboard!$D$28:$D$32)</f>
        <v>1</v>
      </c>
      <c r="R171">
        <f>Sales_Data[[#This Row],[Date inc]]*Sales_Data[[#This Row],[Team Inc]]*Sales_Data[[#This Row],[Rep Inc]]*Sales_Data[[#This Row],[Stage Inc]]*Sales_Data[[#This Row],[Source Inc]]</f>
        <v>1</v>
      </c>
    </row>
    <row r="172" spans="1:18" x14ac:dyDescent="0.3">
      <c r="A172" t="s">
        <v>179</v>
      </c>
      <c r="B172" s="2">
        <v>45263</v>
      </c>
      <c r="C172" t="s">
        <v>762</v>
      </c>
      <c r="D172" t="s">
        <v>764</v>
      </c>
      <c r="E172" t="s">
        <v>767</v>
      </c>
      <c r="F172" s="5">
        <v>31100</v>
      </c>
      <c r="G172" t="s">
        <v>781</v>
      </c>
      <c r="H172" s="2">
        <v>45349</v>
      </c>
      <c r="I172" t="s">
        <v>776</v>
      </c>
      <c r="J172" t="str">
        <f>IF(Sales_Data[[#This Row],[Close Date]] &lt;&gt; 0,"Closed", "Open")</f>
        <v>Closed</v>
      </c>
      <c r="K172">
        <f>IF(Sales_Data[[#This Row],[Open/Closed]] = "Closed",Sales_Data[[#This Row],[Close Date]]-Sales_Data[[#This Row],[Created Date]],"")</f>
        <v>86</v>
      </c>
      <c r="L172" s="2">
        <f>EOMONTH(Sales_Data[[#This Row],[Created Date]],0)</f>
        <v>45291</v>
      </c>
      <c r="M172" t="b">
        <f>AND(Sales_Data[[#This Row],[EoM Created]]&gt;=Index!$E$5,Sales_Data[[#This Row],[EoM Created]]&lt;=Index!$E$4)</f>
        <v>1</v>
      </c>
      <c r="N172" t="b" cm="1">
        <f t="array" ref="N172">_xlfn.XLOOKUP(Sales_Data[[#This Row],[Sales Team]],_xlfn.ANCHORARRAY(Dashboard!$B$9),Dashboard!$D$9:$D$10,,0)</f>
        <v>1</v>
      </c>
      <c r="O172" t="b" cm="1">
        <f t="array" ref="O172">_xlfn.XLOOKUP(Sales_Data[[#This Row],[Sales Rep]],_xlfn.ANCHORARRAY(Dashboard!$B$13),Dashboard!$D$13:$D$17,,0)</f>
        <v>1</v>
      </c>
      <c r="P172" t="b" cm="1">
        <f t="array" ref="P172">_xlfn.XLOOKUP(Sales_Data[[#This Row],[Stage]],_xlfn.ANCHORARRAY(Dashboard!$B$20),Dashboard!$D$20:$D$25)</f>
        <v>1</v>
      </c>
      <c r="Q172" t="b" cm="1">
        <f t="array" ref="Q172">_xlfn.XLOOKUP(Sales_Data[[#This Row],[Lead Source]],_xlfn.ANCHORARRAY(Dashboard!$B$28),Dashboard!$D$28:$D$32)</f>
        <v>1</v>
      </c>
      <c r="R172">
        <f>Sales_Data[[#This Row],[Date inc]]*Sales_Data[[#This Row],[Team Inc]]*Sales_Data[[#This Row],[Rep Inc]]*Sales_Data[[#This Row],[Stage Inc]]*Sales_Data[[#This Row],[Source Inc]]</f>
        <v>1</v>
      </c>
    </row>
    <row r="173" spans="1:18" x14ac:dyDescent="0.3">
      <c r="A173" t="s">
        <v>180</v>
      </c>
      <c r="B173" s="2">
        <v>45327</v>
      </c>
      <c r="C173" t="s">
        <v>761</v>
      </c>
      <c r="D173" t="s">
        <v>765</v>
      </c>
      <c r="E173" t="s">
        <v>770</v>
      </c>
      <c r="F173" s="5">
        <v>31800</v>
      </c>
      <c r="G173" t="s">
        <v>780</v>
      </c>
      <c r="H173" s="2">
        <v>45414</v>
      </c>
      <c r="J173" t="str">
        <f>IF(Sales_Data[[#This Row],[Close Date]] &lt;&gt; 0,"Closed", "Open")</f>
        <v>Closed</v>
      </c>
      <c r="K173">
        <f>IF(Sales_Data[[#This Row],[Open/Closed]] = "Closed",Sales_Data[[#This Row],[Close Date]]-Sales_Data[[#This Row],[Created Date]],"")</f>
        <v>87</v>
      </c>
      <c r="L173" s="2">
        <f>EOMONTH(Sales_Data[[#This Row],[Created Date]],0)</f>
        <v>45351</v>
      </c>
      <c r="M173" t="b">
        <f>AND(Sales_Data[[#This Row],[EoM Created]]&gt;=Index!$E$5,Sales_Data[[#This Row],[EoM Created]]&lt;=Index!$E$4)</f>
        <v>1</v>
      </c>
      <c r="N173" t="b" cm="1">
        <f t="array" ref="N173">_xlfn.XLOOKUP(Sales_Data[[#This Row],[Sales Team]],_xlfn.ANCHORARRAY(Dashboard!$B$9),Dashboard!$D$9:$D$10,,0)</f>
        <v>1</v>
      </c>
      <c r="O173" t="b" cm="1">
        <f t="array" ref="O173">_xlfn.XLOOKUP(Sales_Data[[#This Row],[Sales Rep]],_xlfn.ANCHORARRAY(Dashboard!$B$13),Dashboard!$D$13:$D$17,,0)</f>
        <v>1</v>
      </c>
      <c r="P173" t="b" cm="1">
        <f t="array" ref="P173">_xlfn.XLOOKUP(Sales_Data[[#This Row],[Stage]],_xlfn.ANCHORARRAY(Dashboard!$B$20),Dashboard!$D$20:$D$25)</f>
        <v>1</v>
      </c>
      <c r="Q173" t="b" cm="1">
        <f t="array" ref="Q173">_xlfn.XLOOKUP(Sales_Data[[#This Row],[Lead Source]],_xlfn.ANCHORARRAY(Dashboard!$B$28),Dashboard!$D$28:$D$32)</f>
        <v>1</v>
      </c>
      <c r="R173">
        <f>Sales_Data[[#This Row],[Date inc]]*Sales_Data[[#This Row],[Team Inc]]*Sales_Data[[#This Row],[Rep Inc]]*Sales_Data[[#This Row],[Stage Inc]]*Sales_Data[[#This Row],[Source Inc]]</f>
        <v>1</v>
      </c>
    </row>
    <row r="174" spans="1:18" x14ac:dyDescent="0.3">
      <c r="A174" t="s">
        <v>181</v>
      </c>
      <c r="B174" s="2">
        <v>45463</v>
      </c>
      <c r="C174" t="s">
        <v>760</v>
      </c>
      <c r="D174" t="s">
        <v>764</v>
      </c>
      <c r="E174" t="s">
        <v>766</v>
      </c>
      <c r="F174" s="5">
        <v>39200</v>
      </c>
      <c r="G174" t="s">
        <v>781</v>
      </c>
      <c r="H174" s="2">
        <v>45538</v>
      </c>
      <c r="I174" t="s">
        <v>779</v>
      </c>
      <c r="J174" t="str">
        <f>IF(Sales_Data[[#This Row],[Close Date]] &lt;&gt; 0,"Closed", "Open")</f>
        <v>Closed</v>
      </c>
      <c r="K174">
        <f>IF(Sales_Data[[#This Row],[Open/Closed]] = "Closed",Sales_Data[[#This Row],[Close Date]]-Sales_Data[[#This Row],[Created Date]],"")</f>
        <v>75</v>
      </c>
      <c r="L174" s="2">
        <f>EOMONTH(Sales_Data[[#This Row],[Created Date]],0)</f>
        <v>45473</v>
      </c>
      <c r="M174" t="b">
        <f>AND(Sales_Data[[#This Row],[EoM Created]]&gt;=Index!$E$5,Sales_Data[[#This Row],[EoM Created]]&lt;=Index!$E$4)</f>
        <v>1</v>
      </c>
      <c r="N174" t="b" cm="1">
        <f t="array" ref="N174">_xlfn.XLOOKUP(Sales_Data[[#This Row],[Sales Team]],_xlfn.ANCHORARRAY(Dashboard!$B$9),Dashboard!$D$9:$D$10,,0)</f>
        <v>1</v>
      </c>
      <c r="O174" t="b" cm="1">
        <f t="array" ref="O174">_xlfn.XLOOKUP(Sales_Data[[#This Row],[Sales Rep]],_xlfn.ANCHORARRAY(Dashboard!$B$13),Dashboard!$D$13:$D$17,,0)</f>
        <v>1</v>
      </c>
      <c r="P174" t="b" cm="1">
        <f t="array" ref="P174">_xlfn.XLOOKUP(Sales_Data[[#This Row],[Stage]],_xlfn.ANCHORARRAY(Dashboard!$B$20),Dashboard!$D$20:$D$25)</f>
        <v>1</v>
      </c>
      <c r="Q174" t="b" cm="1">
        <f t="array" ref="Q174">_xlfn.XLOOKUP(Sales_Data[[#This Row],[Lead Source]],_xlfn.ANCHORARRAY(Dashboard!$B$28),Dashboard!$D$28:$D$32)</f>
        <v>1</v>
      </c>
      <c r="R174">
        <f>Sales_Data[[#This Row],[Date inc]]*Sales_Data[[#This Row],[Team Inc]]*Sales_Data[[#This Row],[Rep Inc]]*Sales_Data[[#This Row],[Stage Inc]]*Sales_Data[[#This Row],[Source Inc]]</f>
        <v>1</v>
      </c>
    </row>
    <row r="175" spans="1:18" x14ac:dyDescent="0.3">
      <c r="A175" t="s">
        <v>182</v>
      </c>
      <c r="B175" s="2">
        <v>45402</v>
      </c>
      <c r="C175" t="s">
        <v>761</v>
      </c>
      <c r="D175" t="s">
        <v>765</v>
      </c>
      <c r="E175" t="s">
        <v>769</v>
      </c>
      <c r="F175" s="5">
        <v>43400</v>
      </c>
      <c r="G175" t="s">
        <v>781</v>
      </c>
      <c r="H175" s="2">
        <v>45488</v>
      </c>
      <c r="I175" t="s">
        <v>775</v>
      </c>
      <c r="J175" t="str">
        <f>IF(Sales_Data[[#This Row],[Close Date]] &lt;&gt; 0,"Closed", "Open")</f>
        <v>Closed</v>
      </c>
      <c r="K175">
        <f>IF(Sales_Data[[#This Row],[Open/Closed]] = "Closed",Sales_Data[[#This Row],[Close Date]]-Sales_Data[[#This Row],[Created Date]],"")</f>
        <v>86</v>
      </c>
      <c r="L175" s="2">
        <f>EOMONTH(Sales_Data[[#This Row],[Created Date]],0)</f>
        <v>45412</v>
      </c>
      <c r="M175" t="b">
        <f>AND(Sales_Data[[#This Row],[EoM Created]]&gt;=Index!$E$5,Sales_Data[[#This Row],[EoM Created]]&lt;=Index!$E$4)</f>
        <v>1</v>
      </c>
      <c r="N175" t="b" cm="1">
        <f t="array" ref="N175">_xlfn.XLOOKUP(Sales_Data[[#This Row],[Sales Team]],_xlfn.ANCHORARRAY(Dashboard!$B$9),Dashboard!$D$9:$D$10,,0)</f>
        <v>1</v>
      </c>
      <c r="O175" t="b" cm="1">
        <f t="array" ref="O175">_xlfn.XLOOKUP(Sales_Data[[#This Row],[Sales Rep]],_xlfn.ANCHORARRAY(Dashboard!$B$13),Dashboard!$D$13:$D$17,,0)</f>
        <v>1</v>
      </c>
      <c r="P175" t="b" cm="1">
        <f t="array" ref="P175">_xlfn.XLOOKUP(Sales_Data[[#This Row],[Stage]],_xlfn.ANCHORARRAY(Dashboard!$B$20),Dashboard!$D$20:$D$25)</f>
        <v>1</v>
      </c>
      <c r="Q175" t="b" cm="1">
        <f t="array" ref="Q175">_xlfn.XLOOKUP(Sales_Data[[#This Row],[Lead Source]],_xlfn.ANCHORARRAY(Dashboard!$B$28),Dashboard!$D$28:$D$32)</f>
        <v>1</v>
      </c>
      <c r="R175">
        <f>Sales_Data[[#This Row],[Date inc]]*Sales_Data[[#This Row],[Team Inc]]*Sales_Data[[#This Row],[Rep Inc]]*Sales_Data[[#This Row],[Stage Inc]]*Sales_Data[[#This Row],[Source Inc]]</f>
        <v>1</v>
      </c>
    </row>
    <row r="176" spans="1:18" x14ac:dyDescent="0.3">
      <c r="A176" t="s">
        <v>183</v>
      </c>
      <c r="B176" s="2">
        <v>45753</v>
      </c>
      <c r="C176" t="s">
        <v>759</v>
      </c>
      <c r="D176" t="s">
        <v>764</v>
      </c>
      <c r="E176" t="s">
        <v>767</v>
      </c>
      <c r="F176" s="5">
        <v>42800</v>
      </c>
      <c r="G176" t="s">
        <v>772</v>
      </c>
      <c r="H176" s="2"/>
      <c r="J176" t="str">
        <f>IF(Sales_Data[[#This Row],[Close Date]] &lt;&gt; 0,"Closed", "Open")</f>
        <v>Open</v>
      </c>
      <c r="K176" t="str">
        <f>IF(Sales_Data[[#This Row],[Open/Closed]] = "Closed",Sales_Data[[#This Row],[Close Date]]-Sales_Data[[#This Row],[Created Date]],"")</f>
        <v/>
      </c>
      <c r="L176" s="2">
        <f>EOMONTH(Sales_Data[[#This Row],[Created Date]],0)</f>
        <v>45777</v>
      </c>
      <c r="M176" t="b">
        <f>AND(Sales_Data[[#This Row],[EoM Created]]&gt;=Index!$E$5,Sales_Data[[#This Row],[EoM Created]]&lt;=Index!$E$4)</f>
        <v>1</v>
      </c>
      <c r="N176" t="b" cm="1">
        <f t="array" ref="N176">_xlfn.XLOOKUP(Sales_Data[[#This Row],[Sales Team]],_xlfn.ANCHORARRAY(Dashboard!$B$9),Dashboard!$D$9:$D$10,,0)</f>
        <v>1</v>
      </c>
      <c r="O176" t="b" cm="1">
        <f t="array" ref="O176">_xlfn.XLOOKUP(Sales_Data[[#This Row],[Sales Rep]],_xlfn.ANCHORARRAY(Dashboard!$B$13),Dashboard!$D$13:$D$17,,0)</f>
        <v>1</v>
      </c>
      <c r="P176" t="b" cm="1">
        <f t="array" ref="P176">_xlfn.XLOOKUP(Sales_Data[[#This Row],[Stage]],_xlfn.ANCHORARRAY(Dashboard!$B$20),Dashboard!$D$20:$D$25)</f>
        <v>1</v>
      </c>
      <c r="Q176" t="b" cm="1">
        <f t="array" ref="Q176">_xlfn.XLOOKUP(Sales_Data[[#This Row],[Lead Source]],_xlfn.ANCHORARRAY(Dashboard!$B$28),Dashboard!$D$28:$D$32)</f>
        <v>1</v>
      </c>
      <c r="R176">
        <f>Sales_Data[[#This Row],[Date inc]]*Sales_Data[[#This Row],[Team Inc]]*Sales_Data[[#This Row],[Rep Inc]]*Sales_Data[[#This Row],[Stage Inc]]*Sales_Data[[#This Row],[Source Inc]]</f>
        <v>1</v>
      </c>
    </row>
    <row r="177" spans="1:18" x14ac:dyDescent="0.3">
      <c r="A177" t="s">
        <v>184</v>
      </c>
      <c r="B177" s="2">
        <v>45354</v>
      </c>
      <c r="C177" t="s">
        <v>761</v>
      </c>
      <c r="D177" t="s">
        <v>765</v>
      </c>
      <c r="E177" t="s">
        <v>769</v>
      </c>
      <c r="F177" s="5">
        <v>48300</v>
      </c>
      <c r="G177" t="s">
        <v>781</v>
      </c>
      <c r="H177" s="2">
        <v>45416</v>
      </c>
      <c r="I177" t="s">
        <v>778</v>
      </c>
      <c r="J177" t="str">
        <f>IF(Sales_Data[[#This Row],[Close Date]] &lt;&gt; 0,"Closed", "Open")</f>
        <v>Closed</v>
      </c>
      <c r="K177">
        <f>IF(Sales_Data[[#This Row],[Open/Closed]] = "Closed",Sales_Data[[#This Row],[Close Date]]-Sales_Data[[#This Row],[Created Date]],"")</f>
        <v>62</v>
      </c>
      <c r="L177" s="2">
        <f>EOMONTH(Sales_Data[[#This Row],[Created Date]],0)</f>
        <v>45382</v>
      </c>
      <c r="M177" t="b">
        <f>AND(Sales_Data[[#This Row],[EoM Created]]&gt;=Index!$E$5,Sales_Data[[#This Row],[EoM Created]]&lt;=Index!$E$4)</f>
        <v>1</v>
      </c>
      <c r="N177" t="b" cm="1">
        <f t="array" ref="N177">_xlfn.XLOOKUP(Sales_Data[[#This Row],[Sales Team]],_xlfn.ANCHORARRAY(Dashboard!$B$9),Dashboard!$D$9:$D$10,,0)</f>
        <v>1</v>
      </c>
      <c r="O177" t="b" cm="1">
        <f t="array" ref="O177">_xlfn.XLOOKUP(Sales_Data[[#This Row],[Sales Rep]],_xlfn.ANCHORARRAY(Dashboard!$B$13),Dashboard!$D$13:$D$17,,0)</f>
        <v>1</v>
      </c>
      <c r="P177" t="b" cm="1">
        <f t="array" ref="P177">_xlfn.XLOOKUP(Sales_Data[[#This Row],[Stage]],_xlfn.ANCHORARRAY(Dashboard!$B$20),Dashboard!$D$20:$D$25)</f>
        <v>1</v>
      </c>
      <c r="Q177" t="b" cm="1">
        <f t="array" ref="Q177">_xlfn.XLOOKUP(Sales_Data[[#This Row],[Lead Source]],_xlfn.ANCHORARRAY(Dashboard!$B$28),Dashboard!$D$28:$D$32)</f>
        <v>1</v>
      </c>
      <c r="R177">
        <f>Sales_Data[[#This Row],[Date inc]]*Sales_Data[[#This Row],[Team Inc]]*Sales_Data[[#This Row],[Rep Inc]]*Sales_Data[[#This Row],[Stage Inc]]*Sales_Data[[#This Row],[Source Inc]]</f>
        <v>1</v>
      </c>
    </row>
    <row r="178" spans="1:18" x14ac:dyDescent="0.3">
      <c r="A178" t="s">
        <v>185</v>
      </c>
      <c r="B178" s="2">
        <v>45416</v>
      </c>
      <c r="C178" t="s">
        <v>762</v>
      </c>
      <c r="D178" t="s">
        <v>764</v>
      </c>
      <c r="E178" t="s">
        <v>767</v>
      </c>
      <c r="F178" s="5">
        <v>40100</v>
      </c>
      <c r="G178" t="s">
        <v>781</v>
      </c>
      <c r="H178" s="2">
        <v>45503</v>
      </c>
      <c r="I178" t="s">
        <v>777</v>
      </c>
      <c r="J178" t="str">
        <f>IF(Sales_Data[[#This Row],[Close Date]] &lt;&gt; 0,"Closed", "Open")</f>
        <v>Closed</v>
      </c>
      <c r="K178">
        <f>IF(Sales_Data[[#This Row],[Open/Closed]] = "Closed",Sales_Data[[#This Row],[Close Date]]-Sales_Data[[#This Row],[Created Date]],"")</f>
        <v>87</v>
      </c>
      <c r="L178" s="2">
        <f>EOMONTH(Sales_Data[[#This Row],[Created Date]],0)</f>
        <v>45443</v>
      </c>
      <c r="M178" t="b">
        <f>AND(Sales_Data[[#This Row],[EoM Created]]&gt;=Index!$E$5,Sales_Data[[#This Row],[EoM Created]]&lt;=Index!$E$4)</f>
        <v>1</v>
      </c>
      <c r="N178" t="b" cm="1">
        <f t="array" ref="N178">_xlfn.XLOOKUP(Sales_Data[[#This Row],[Sales Team]],_xlfn.ANCHORARRAY(Dashboard!$B$9),Dashboard!$D$9:$D$10,,0)</f>
        <v>1</v>
      </c>
      <c r="O178" t="b" cm="1">
        <f t="array" ref="O178">_xlfn.XLOOKUP(Sales_Data[[#This Row],[Sales Rep]],_xlfn.ANCHORARRAY(Dashboard!$B$13),Dashboard!$D$13:$D$17,,0)</f>
        <v>1</v>
      </c>
      <c r="P178" t="b" cm="1">
        <f t="array" ref="P178">_xlfn.XLOOKUP(Sales_Data[[#This Row],[Stage]],_xlfn.ANCHORARRAY(Dashboard!$B$20),Dashboard!$D$20:$D$25)</f>
        <v>1</v>
      </c>
      <c r="Q178" t="b" cm="1">
        <f t="array" ref="Q178">_xlfn.XLOOKUP(Sales_Data[[#This Row],[Lead Source]],_xlfn.ANCHORARRAY(Dashboard!$B$28),Dashboard!$D$28:$D$32)</f>
        <v>1</v>
      </c>
      <c r="R178">
        <f>Sales_Data[[#This Row],[Date inc]]*Sales_Data[[#This Row],[Team Inc]]*Sales_Data[[#This Row],[Rep Inc]]*Sales_Data[[#This Row],[Stage Inc]]*Sales_Data[[#This Row],[Source Inc]]</f>
        <v>1</v>
      </c>
    </row>
    <row r="179" spans="1:18" x14ac:dyDescent="0.3">
      <c r="A179" t="s">
        <v>186</v>
      </c>
      <c r="B179" s="2">
        <v>45469</v>
      </c>
      <c r="C179" t="s">
        <v>759</v>
      </c>
      <c r="D179" t="s">
        <v>764</v>
      </c>
      <c r="E179" t="s">
        <v>766</v>
      </c>
      <c r="F179" s="5">
        <v>54500</v>
      </c>
      <c r="G179" t="s">
        <v>781</v>
      </c>
      <c r="H179" s="2">
        <v>45548</v>
      </c>
      <c r="I179" t="s">
        <v>777</v>
      </c>
      <c r="J179" t="str">
        <f>IF(Sales_Data[[#This Row],[Close Date]] &lt;&gt; 0,"Closed", "Open")</f>
        <v>Closed</v>
      </c>
      <c r="K179">
        <f>IF(Sales_Data[[#This Row],[Open/Closed]] = "Closed",Sales_Data[[#This Row],[Close Date]]-Sales_Data[[#This Row],[Created Date]],"")</f>
        <v>79</v>
      </c>
      <c r="L179" s="2">
        <f>EOMONTH(Sales_Data[[#This Row],[Created Date]],0)</f>
        <v>45473</v>
      </c>
      <c r="M179" t="b">
        <f>AND(Sales_Data[[#This Row],[EoM Created]]&gt;=Index!$E$5,Sales_Data[[#This Row],[EoM Created]]&lt;=Index!$E$4)</f>
        <v>1</v>
      </c>
      <c r="N179" t="b" cm="1">
        <f t="array" ref="N179">_xlfn.XLOOKUP(Sales_Data[[#This Row],[Sales Team]],_xlfn.ANCHORARRAY(Dashboard!$B$9),Dashboard!$D$9:$D$10,,0)</f>
        <v>1</v>
      </c>
      <c r="O179" t="b" cm="1">
        <f t="array" ref="O179">_xlfn.XLOOKUP(Sales_Data[[#This Row],[Sales Rep]],_xlfn.ANCHORARRAY(Dashboard!$B$13),Dashboard!$D$13:$D$17,,0)</f>
        <v>1</v>
      </c>
      <c r="P179" t="b" cm="1">
        <f t="array" ref="P179">_xlfn.XLOOKUP(Sales_Data[[#This Row],[Stage]],_xlfn.ANCHORARRAY(Dashboard!$B$20),Dashboard!$D$20:$D$25)</f>
        <v>1</v>
      </c>
      <c r="Q179" t="b" cm="1">
        <f t="array" ref="Q179">_xlfn.XLOOKUP(Sales_Data[[#This Row],[Lead Source]],_xlfn.ANCHORARRAY(Dashboard!$B$28),Dashboard!$D$28:$D$32)</f>
        <v>1</v>
      </c>
      <c r="R179">
        <f>Sales_Data[[#This Row],[Date inc]]*Sales_Data[[#This Row],[Team Inc]]*Sales_Data[[#This Row],[Rep Inc]]*Sales_Data[[#This Row],[Stage Inc]]*Sales_Data[[#This Row],[Source Inc]]</f>
        <v>1</v>
      </c>
    </row>
    <row r="180" spans="1:18" x14ac:dyDescent="0.3">
      <c r="A180" t="s">
        <v>187</v>
      </c>
      <c r="B180" s="2">
        <v>45669</v>
      </c>
      <c r="C180" t="s">
        <v>760</v>
      </c>
      <c r="D180" t="s">
        <v>764</v>
      </c>
      <c r="E180" t="s">
        <v>767</v>
      </c>
      <c r="F180" s="5">
        <v>37400</v>
      </c>
      <c r="G180" t="s">
        <v>781</v>
      </c>
      <c r="H180" s="2">
        <v>45752</v>
      </c>
      <c r="I180" t="s">
        <v>776</v>
      </c>
      <c r="J180" t="str">
        <f>IF(Sales_Data[[#This Row],[Close Date]] &lt;&gt; 0,"Closed", "Open")</f>
        <v>Closed</v>
      </c>
      <c r="K180">
        <f>IF(Sales_Data[[#This Row],[Open/Closed]] = "Closed",Sales_Data[[#This Row],[Close Date]]-Sales_Data[[#This Row],[Created Date]],"")</f>
        <v>83</v>
      </c>
      <c r="L180" s="2">
        <f>EOMONTH(Sales_Data[[#This Row],[Created Date]],0)</f>
        <v>45688</v>
      </c>
      <c r="M180" t="b">
        <f>AND(Sales_Data[[#This Row],[EoM Created]]&gt;=Index!$E$5,Sales_Data[[#This Row],[EoM Created]]&lt;=Index!$E$4)</f>
        <v>1</v>
      </c>
      <c r="N180" t="b" cm="1">
        <f t="array" ref="N180">_xlfn.XLOOKUP(Sales_Data[[#This Row],[Sales Team]],_xlfn.ANCHORARRAY(Dashboard!$B$9),Dashboard!$D$9:$D$10,,0)</f>
        <v>1</v>
      </c>
      <c r="O180" t="b" cm="1">
        <f t="array" ref="O180">_xlfn.XLOOKUP(Sales_Data[[#This Row],[Sales Rep]],_xlfn.ANCHORARRAY(Dashboard!$B$13),Dashboard!$D$13:$D$17,,0)</f>
        <v>1</v>
      </c>
      <c r="P180" t="b" cm="1">
        <f t="array" ref="P180">_xlfn.XLOOKUP(Sales_Data[[#This Row],[Stage]],_xlfn.ANCHORARRAY(Dashboard!$B$20),Dashboard!$D$20:$D$25)</f>
        <v>1</v>
      </c>
      <c r="Q180" t="b" cm="1">
        <f t="array" ref="Q180">_xlfn.XLOOKUP(Sales_Data[[#This Row],[Lead Source]],_xlfn.ANCHORARRAY(Dashboard!$B$28),Dashboard!$D$28:$D$32)</f>
        <v>1</v>
      </c>
      <c r="R180">
        <f>Sales_Data[[#This Row],[Date inc]]*Sales_Data[[#This Row],[Team Inc]]*Sales_Data[[#This Row],[Rep Inc]]*Sales_Data[[#This Row],[Stage Inc]]*Sales_Data[[#This Row],[Source Inc]]</f>
        <v>1</v>
      </c>
    </row>
    <row r="181" spans="1:18" x14ac:dyDescent="0.3">
      <c r="A181" t="s">
        <v>188</v>
      </c>
      <c r="B181" s="2">
        <v>45312</v>
      </c>
      <c r="C181" t="s">
        <v>763</v>
      </c>
      <c r="D181" t="s">
        <v>765</v>
      </c>
      <c r="E181" t="s">
        <v>770</v>
      </c>
      <c r="F181" s="5">
        <v>67200</v>
      </c>
      <c r="G181" t="s">
        <v>781</v>
      </c>
      <c r="H181" s="2">
        <v>45394</v>
      </c>
      <c r="I181" t="s">
        <v>775</v>
      </c>
      <c r="J181" t="str">
        <f>IF(Sales_Data[[#This Row],[Close Date]] &lt;&gt; 0,"Closed", "Open")</f>
        <v>Closed</v>
      </c>
      <c r="K181">
        <f>IF(Sales_Data[[#This Row],[Open/Closed]] = "Closed",Sales_Data[[#This Row],[Close Date]]-Sales_Data[[#This Row],[Created Date]],"")</f>
        <v>82</v>
      </c>
      <c r="L181" s="2">
        <f>EOMONTH(Sales_Data[[#This Row],[Created Date]],0)</f>
        <v>45322</v>
      </c>
      <c r="M181" t="b">
        <f>AND(Sales_Data[[#This Row],[EoM Created]]&gt;=Index!$E$5,Sales_Data[[#This Row],[EoM Created]]&lt;=Index!$E$4)</f>
        <v>1</v>
      </c>
      <c r="N181" t="b" cm="1">
        <f t="array" ref="N181">_xlfn.XLOOKUP(Sales_Data[[#This Row],[Sales Team]],_xlfn.ANCHORARRAY(Dashboard!$B$9),Dashboard!$D$9:$D$10,,0)</f>
        <v>1</v>
      </c>
      <c r="O181" t="b" cm="1">
        <f t="array" ref="O181">_xlfn.XLOOKUP(Sales_Data[[#This Row],[Sales Rep]],_xlfn.ANCHORARRAY(Dashboard!$B$13),Dashboard!$D$13:$D$17,,0)</f>
        <v>1</v>
      </c>
      <c r="P181" t="b" cm="1">
        <f t="array" ref="P181">_xlfn.XLOOKUP(Sales_Data[[#This Row],[Stage]],_xlfn.ANCHORARRAY(Dashboard!$B$20),Dashboard!$D$20:$D$25)</f>
        <v>1</v>
      </c>
      <c r="Q181" t="b" cm="1">
        <f t="array" ref="Q181">_xlfn.XLOOKUP(Sales_Data[[#This Row],[Lead Source]],_xlfn.ANCHORARRAY(Dashboard!$B$28),Dashboard!$D$28:$D$32)</f>
        <v>1</v>
      </c>
      <c r="R181">
        <f>Sales_Data[[#This Row],[Date inc]]*Sales_Data[[#This Row],[Team Inc]]*Sales_Data[[#This Row],[Rep Inc]]*Sales_Data[[#This Row],[Stage Inc]]*Sales_Data[[#This Row],[Source Inc]]</f>
        <v>1</v>
      </c>
    </row>
    <row r="182" spans="1:18" x14ac:dyDescent="0.3">
      <c r="A182" t="s">
        <v>189</v>
      </c>
      <c r="B182" s="2">
        <v>45470</v>
      </c>
      <c r="C182" t="s">
        <v>762</v>
      </c>
      <c r="D182" t="s">
        <v>764</v>
      </c>
      <c r="E182" t="s">
        <v>766</v>
      </c>
      <c r="F182" s="5">
        <v>46300</v>
      </c>
      <c r="G182" t="s">
        <v>781</v>
      </c>
      <c r="H182" s="2">
        <v>45550</v>
      </c>
      <c r="I182" t="s">
        <v>778</v>
      </c>
      <c r="J182" t="str">
        <f>IF(Sales_Data[[#This Row],[Close Date]] &lt;&gt; 0,"Closed", "Open")</f>
        <v>Closed</v>
      </c>
      <c r="K182">
        <f>IF(Sales_Data[[#This Row],[Open/Closed]] = "Closed",Sales_Data[[#This Row],[Close Date]]-Sales_Data[[#This Row],[Created Date]],"")</f>
        <v>80</v>
      </c>
      <c r="L182" s="2">
        <f>EOMONTH(Sales_Data[[#This Row],[Created Date]],0)</f>
        <v>45473</v>
      </c>
      <c r="M182" t="b">
        <f>AND(Sales_Data[[#This Row],[EoM Created]]&gt;=Index!$E$5,Sales_Data[[#This Row],[EoM Created]]&lt;=Index!$E$4)</f>
        <v>1</v>
      </c>
      <c r="N182" t="b" cm="1">
        <f t="array" ref="N182">_xlfn.XLOOKUP(Sales_Data[[#This Row],[Sales Team]],_xlfn.ANCHORARRAY(Dashboard!$B$9),Dashboard!$D$9:$D$10,,0)</f>
        <v>1</v>
      </c>
      <c r="O182" t="b" cm="1">
        <f t="array" ref="O182">_xlfn.XLOOKUP(Sales_Data[[#This Row],[Sales Rep]],_xlfn.ANCHORARRAY(Dashboard!$B$13),Dashboard!$D$13:$D$17,,0)</f>
        <v>1</v>
      </c>
      <c r="P182" t="b" cm="1">
        <f t="array" ref="P182">_xlfn.XLOOKUP(Sales_Data[[#This Row],[Stage]],_xlfn.ANCHORARRAY(Dashboard!$B$20),Dashboard!$D$20:$D$25)</f>
        <v>1</v>
      </c>
      <c r="Q182" t="b" cm="1">
        <f t="array" ref="Q182">_xlfn.XLOOKUP(Sales_Data[[#This Row],[Lead Source]],_xlfn.ANCHORARRAY(Dashboard!$B$28),Dashboard!$D$28:$D$32)</f>
        <v>1</v>
      </c>
      <c r="R182">
        <f>Sales_Data[[#This Row],[Date inc]]*Sales_Data[[#This Row],[Team Inc]]*Sales_Data[[#This Row],[Rep Inc]]*Sales_Data[[#This Row],[Stage Inc]]*Sales_Data[[#This Row],[Source Inc]]</f>
        <v>1</v>
      </c>
    </row>
    <row r="183" spans="1:18" x14ac:dyDescent="0.3">
      <c r="A183" t="s">
        <v>190</v>
      </c>
      <c r="B183" s="2">
        <v>45007</v>
      </c>
      <c r="C183" t="s">
        <v>759</v>
      </c>
      <c r="D183" t="s">
        <v>764</v>
      </c>
      <c r="E183" t="s">
        <v>767</v>
      </c>
      <c r="F183" s="5">
        <v>31400</v>
      </c>
      <c r="G183" t="s">
        <v>781</v>
      </c>
      <c r="H183" s="2">
        <v>45092</v>
      </c>
      <c r="I183" t="s">
        <v>777</v>
      </c>
      <c r="J183" t="str">
        <f>IF(Sales_Data[[#This Row],[Close Date]] &lt;&gt; 0,"Closed", "Open")</f>
        <v>Closed</v>
      </c>
      <c r="K183">
        <f>IF(Sales_Data[[#This Row],[Open/Closed]] = "Closed",Sales_Data[[#This Row],[Close Date]]-Sales_Data[[#This Row],[Created Date]],"")</f>
        <v>85</v>
      </c>
      <c r="L183" s="2">
        <f>EOMONTH(Sales_Data[[#This Row],[Created Date]],0)</f>
        <v>45016</v>
      </c>
      <c r="M183" t="b">
        <f>AND(Sales_Data[[#This Row],[EoM Created]]&gt;=Index!$E$5,Sales_Data[[#This Row],[EoM Created]]&lt;=Index!$E$4)</f>
        <v>0</v>
      </c>
      <c r="N183" t="b" cm="1">
        <f t="array" ref="N183">_xlfn.XLOOKUP(Sales_Data[[#This Row],[Sales Team]],_xlfn.ANCHORARRAY(Dashboard!$B$9),Dashboard!$D$9:$D$10,,0)</f>
        <v>1</v>
      </c>
      <c r="O183" t="b" cm="1">
        <f t="array" ref="O183">_xlfn.XLOOKUP(Sales_Data[[#This Row],[Sales Rep]],_xlfn.ANCHORARRAY(Dashboard!$B$13),Dashboard!$D$13:$D$17,,0)</f>
        <v>1</v>
      </c>
      <c r="P183" t="b" cm="1">
        <f t="array" ref="P183">_xlfn.XLOOKUP(Sales_Data[[#This Row],[Stage]],_xlfn.ANCHORARRAY(Dashboard!$B$20),Dashboard!$D$20:$D$25)</f>
        <v>1</v>
      </c>
      <c r="Q183" t="b" cm="1">
        <f t="array" ref="Q183">_xlfn.XLOOKUP(Sales_Data[[#This Row],[Lead Source]],_xlfn.ANCHORARRAY(Dashboard!$B$28),Dashboard!$D$28:$D$32)</f>
        <v>1</v>
      </c>
      <c r="R183">
        <f>Sales_Data[[#This Row],[Date inc]]*Sales_Data[[#This Row],[Team Inc]]*Sales_Data[[#This Row],[Rep Inc]]*Sales_Data[[#This Row],[Stage Inc]]*Sales_Data[[#This Row],[Source Inc]]</f>
        <v>0</v>
      </c>
    </row>
    <row r="184" spans="1:18" x14ac:dyDescent="0.3">
      <c r="A184" t="s">
        <v>191</v>
      </c>
      <c r="B184" s="2">
        <v>45166</v>
      </c>
      <c r="C184" t="s">
        <v>763</v>
      </c>
      <c r="D184" t="s">
        <v>765</v>
      </c>
      <c r="E184" t="s">
        <v>770</v>
      </c>
      <c r="F184" s="5">
        <v>29300</v>
      </c>
      <c r="G184" t="s">
        <v>781</v>
      </c>
      <c r="H184" s="2">
        <v>45238</v>
      </c>
      <c r="I184" t="s">
        <v>776</v>
      </c>
      <c r="J184" t="str">
        <f>IF(Sales_Data[[#This Row],[Close Date]] &lt;&gt; 0,"Closed", "Open")</f>
        <v>Closed</v>
      </c>
      <c r="K184">
        <f>IF(Sales_Data[[#This Row],[Open/Closed]] = "Closed",Sales_Data[[#This Row],[Close Date]]-Sales_Data[[#This Row],[Created Date]],"")</f>
        <v>72</v>
      </c>
      <c r="L184" s="2">
        <f>EOMONTH(Sales_Data[[#This Row],[Created Date]],0)</f>
        <v>45169</v>
      </c>
      <c r="M184" t="b">
        <f>AND(Sales_Data[[#This Row],[EoM Created]]&gt;=Index!$E$5,Sales_Data[[#This Row],[EoM Created]]&lt;=Index!$E$4)</f>
        <v>1</v>
      </c>
      <c r="N184" t="b" cm="1">
        <f t="array" ref="N184">_xlfn.XLOOKUP(Sales_Data[[#This Row],[Sales Team]],_xlfn.ANCHORARRAY(Dashboard!$B$9),Dashboard!$D$9:$D$10,,0)</f>
        <v>1</v>
      </c>
      <c r="O184" t="b" cm="1">
        <f t="array" ref="O184">_xlfn.XLOOKUP(Sales_Data[[#This Row],[Sales Rep]],_xlfn.ANCHORARRAY(Dashboard!$B$13),Dashboard!$D$13:$D$17,,0)</f>
        <v>1</v>
      </c>
      <c r="P184" t="b" cm="1">
        <f t="array" ref="P184">_xlfn.XLOOKUP(Sales_Data[[#This Row],[Stage]],_xlfn.ANCHORARRAY(Dashboard!$B$20),Dashboard!$D$20:$D$25)</f>
        <v>1</v>
      </c>
      <c r="Q184" t="b" cm="1">
        <f t="array" ref="Q184">_xlfn.XLOOKUP(Sales_Data[[#This Row],[Lead Source]],_xlfn.ANCHORARRAY(Dashboard!$B$28),Dashboard!$D$28:$D$32)</f>
        <v>1</v>
      </c>
      <c r="R184">
        <f>Sales_Data[[#This Row],[Date inc]]*Sales_Data[[#This Row],[Team Inc]]*Sales_Data[[#This Row],[Rep Inc]]*Sales_Data[[#This Row],[Stage Inc]]*Sales_Data[[#This Row],[Source Inc]]</f>
        <v>1</v>
      </c>
    </row>
    <row r="185" spans="1:18" x14ac:dyDescent="0.3">
      <c r="A185" t="s">
        <v>192</v>
      </c>
      <c r="B185" s="2">
        <v>44928</v>
      </c>
      <c r="C185" t="s">
        <v>763</v>
      </c>
      <c r="D185" t="s">
        <v>765</v>
      </c>
      <c r="E185" t="s">
        <v>770</v>
      </c>
      <c r="F185" s="5">
        <v>44800</v>
      </c>
      <c r="G185" t="s">
        <v>781</v>
      </c>
      <c r="H185" s="2">
        <v>45018</v>
      </c>
      <c r="I185" t="s">
        <v>779</v>
      </c>
      <c r="J185" t="str">
        <f>IF(Sales_Data[[#This Row],[Close Date]] &lt;&gt; 0,"Closed", "Open")</f>
        <v>Closed</v>
      </c>
      <c r="K185">
        <f>IF(Sales_Data[[#This Row],[Open/Closed]] = "Closed",Sales_Data[[#This Row],[Close Date]]-Sales_Data[[#This Row],[Created Date]],"")</f>
        <v>90</v>
      </c>
      <c r="L185" s="2">
        <f>EOMONTH(Sales_Data[[#This Row],[Created Date]],0)</f>
        <v>44957</v>
      </c>
      <c r="M185" t="b">
        <f>AND(Sales_Data[[#This Row],[EoM Created]]&gt;=Index!$E$5,Sales_Data[[#This Row],[EoM Created]]&lt;=Index!$E$4)</f>
        <v>0</v>
      </c>
      <c r="N185" t="b" cm="1">
        <f t="array" ref="N185">_xlfn.XLOOKUP(Sales_Data[[#This Row],[Sales Team]],_xlfn.ANCHORARRAY(Dashboard!$B$9),Dashboard!$D$9:$D$10,,0)</f>
        <v>1</v>
      </c>
      <c r="O185" t="b" cm="1">
        <f t="array" ref="O185">_xlfn.XLOOKUP(Sales_Data[[#This Row],[Sales Rep]],_xlfn.ANCHORARRAY(Dashboard!$B$13),Dashboard!$D$13:$D$17,,0)</f>
        <v>1</v>
      </c>
      <c r="P185" t="b" cm="1">
        <f t="array" ref="P185">_xlfn.XLOOKUP(Sales_Data[[#This Row],[Stage]],_xlfn.ANCHORARRAY(Dashboard!$B$20),Dashboard!$D$20:$D$25)</f>
        <v>1</v>
      </c>
      <c r="Q185" t="b" cm="1">
        <f t="array" ref="Q185">_xlfn.XLOOKUP(Sales_Data[[#This Row],[Lead Source]],_xlfn.ANCHORARRAY(Dashboard!$B$28),Dashboard!$D$28:$D$32)</f>
        <v>1</v>
      </c>
      <c r="R185">
        <f>Sales_Data[[#This Row],[Date inc]]*Sales_Data[[#This Row],[Team Inc]]*Sales_Data[[#This Row],[Rep Inc]]*Sales_Data[[#This Row],[Stage Inc]]*Sales_Data[[#This Row],[Source Inc]]</f>
        <v>0</v>
      </c>
    </row>
    <row r="186" spans="1:18" x14ac:dyDescent="0.3">
      <c r="A186" t="s">
        <v>193</v>
      </c>
      <c r="B186" s="2">
        <v>45568</v>
      </c>
      <c r="C186" t="s">
        <v>761</v>
      </c>
      <c r="D186" t="s">
        <v>765</v>
      </c>
      <c r="E186" t="s">
        <v>770</v>
      </c>
      <c r="F186" s="5">
        <v>37800</v>
      </c>
      <c r="G186" t="s">
        <v>781</v>
      </c>
      <c r="H186" s="2">
        <v>45653</v>
      </c>
      <c r="I186" t="s">
        <v>778</v>
      </c>
      <c r="J186" t="str">
        <f>IF(Sales_Data[[#This Row],[Close Date]] &lt;&gt; 0,"Closed", "Open")</f>
        <v>Closed</v>
      </c>
      <c r="K186">
        <f>IF(Sales_Data[[#This Row],[Open/Closed]] = "Closed",Sales_Data[[#This Row],[Close Date]]-Sales_Data[[#This Row],[Created Date]],"")</f>
        <v>85</v>
      </c>
      <c r="L186" s="2">
        <f>EOMONTH(Sales_Data[[#This Row],[Created Date]],0)</f>
        <v>45596</v>
      </c>
      <c r="M186" t="b">
        <f>AND(Sales_Data[[#This Row],[EoM Created]]&gt;=Index!$E$5,Sales_Data[[#This Row],[EoM Created]]&lt;=Index!$E$4)</f>
        <v>1</v>
      </c>
      <c r="N186" t="b" cm="1">
        <f t="array" ref="N186">_xlfn.XLOOKUP(Sales_Data[[#This Row],[Sales Team]],_xlfn.ANCHORARRAY(Dashboard!$B$9),Dashboard!$D$9:$D$10,,0)</f>
        <v>1</v>
      </c>
      <c r="O186" t="b" cm="1">
        <f t="array" ref="O186">_xlfn.XLOOKUP(Sales_Data[[#This Row],[Sales Rep]],_xlfn.ANCHORARRAY(Dashboard!$B$13),Dashboard!$D$13:$D$17,,0)</f>
        <v>1</v>
      </c>
      <c r="P186" t="b" cm="1">
        <f t="array" ref="P186">_xlfn.XLOOKUP(Sales_Data[[#This Row],[Stage]],_xlfn.ANCHORARRAY(Dashboard!$B$20),Dashboard!$D$20:$D$25)</f>
        <v>1</v>
      </c>
      <c r="Q186" t="b" cm="1">
        <f t="array" ref="Q186">_xlfn.XLOOKUP(Sales_Data[[#This Row],[Lead Source]],_xlfn.ANCHORARRAY(Dashboard!$B$28),Dashboard!$D$28:$D$32)</f>
        <v>1</v>
      </c>
      <c r="R186">
        <f>Sales_Data[[#This Row],[Date inc]]*Sales_Data[[#This Row],[Team Inc]]*Sales_Data[[#This Row],[Rep Inc]]*Sales_Data[[#This Row],[Stage Inc]]*Sales_Data[[#This Row],[Source Inc]]</f>
        <v>1</v>
      </c>
    </row>
    <row r="187" spans="1:18" x14ac:dyDescent="0.3">
      <c r="A187" t="s">
        <v>194</v>
      </c>
      <c r="B187" s="2">
        <v>45457</v>
      </c>
      <c r="C187" t="s">
        <v>763</v>
      </c>
      <c r="D187" t="s">
        <v>765</v>
      </c>
      <c r="E187" t="s">
        <v>768</v>
      </c>
      <c r="F187" s="5">
        <v>47100</v>
      </c>
      <c r="G187" t="s">
        <v>781</v>
      </c>
      <c r="H187" s="2">
        <v>45521</v>
      </c>
      <c r="I187" t="s">
        <v>775</v>
      </c>
      <c r="J187" t="str">
        <f>IF(Sales_Data[[#This Row],[Close Date]] &lt;&gt; 0,"Closed", "Open")</f>
        <v>Closed</v>
      </c>
      <c r="K187">
        <f>IF(Sales_Data[[#This Row],[Open/Closed]] = "Closed",Sales_Data[[#This Row],[Close Date]]-Sales_Data[[#This Row],[Created Date]],"")</f>
        <v>64</v>
      </c>
      <c r="L187" s="2">
        <f>EOMONTH(Sales_Data[[#This Row],[Created Date]],0)</f>
        <v>45473</v>
      </c>
      <c r="M187" t="b">
        <f>AND(Sales_Data[[#This Row],[EoM Created]]&gt;=Index!$E$5,Sales_Data[[#This Row],[EoM Created]]&lt;=Index!$E$4)</f>
        <v>1</v>
      </c>
      <c r="N187" t="b" cm="1">
        <f t="array" ref="N187">_xlfn.XLOOKUP(Sales_Data[[#This Row],[Sales Team]],_xlfn.ANCHORARRAY(Dashboard!$B$9),Dashboard!$D$9:$D$10,,0)</f>
        <v>1</v>
      </c>
      <c r="O187" t="b" cm="1">
        <f t="array" ref="O187">_xlfn.XLOOKUP(Sales_Data[[#This Row],[Sales Rep]],_xlfn.ANCHORARRAY(Dashboard!$B$13),Dashboard!$D$13:$D$17,,0)</f>
        <v>1</v>
      </c>
      <c r="P187" t="b" cm="1">
        <f t="array" ref="P187">_xlfn.XLOOKUP(Sales_Data[[#This Row],[Stage]],_xlfn.ANCHORARRAY(Dashboard!$B$20),Dashboard!$D$20:$D$25)</f>
        <v>1</v>
      </c>
      <c r="Q187" t="b" cm="1">
        <f t="array" ref="Q187">_xlfn.XLOOKUP(Sales_Data[[#This Row],[Lead Source]],_xlfn.ANCHORARRAY(Dashboard!$B$28),Dashboard!$D$28:$D$32)</f>
        <v>1</v>
      </c>
      <c r="R187">
        <f>Sales_Data[[#This Row],[Date inc]]*Sales_Data[[#This Row],[Team Inc]]*Sales_Data[[#This Row],[Rep Inc]]*Sales_Data[[#This Row],[Stage Inc]]*Sales_Data[[#This Row],[Source Inc]]</f>
        <v>1</v>
      </c>
    </row>
    <row r="188" spans="1:18" x14ac:dyDescent="0.3">
      <c r="A188" t="s">
        <v>195</v>
      </c>
      <c r="B188" s="2">
        <v>45325</v>
      </c>
      <c r="C188" t="s">
        <v>760</v>
      </c>
      <c r="D188" t="s">
        <v>764</v>
      </c>
      <c r="E188" t="s">
        <v>767</v>
      </c>
      <c r="F188" s="5">
        <v>44700</v>
      </c>
      <c r="G188" t="s">
        <v>780</v>
      </c>
      <c r="H188" s="2">
        <v>45389</v>
      </c>
      <c r="J188" t="str">
        <f>IF(Sales_Data[[#This Row],[Close Date]] &lt;&gt; 0,"Closed", "Open")</f>
        <v>Closed</v>
      </c>
      <c r="K188">
        <f>IF(Sales_Data[[#This Row],[Open/Closed]] = "Closed",Sales_Data[[#This Row],[Close Date]]-Sales_Data[[#This Row],[Created Date]],"")</f>
        <v>64</v>
      </c>
      <c r="L188" s="2">
        <f>EOMONTH(Sales_Data[[#This Row],[Created Date]],0)</f>
        <v>45351</v>
      </c>
      <c r="M188" t="b">
        <f>AND(Sales_Data[[#This Row],[EoM Created]]&gt;=Index!$E$5,Sales_Data[[#This Row],[EoM Created]]&lt;=Index!$E$4)</f>
        <v>1</v>
      </c>
      <c r="N188" t="b" cm="1">
        <f t="array" ref="N188">_xlfn.XLOOKUP(Sales_Data[[#This Row],[Sales Team]],_xlfn.ANCHORARRAY(Dashboard!$B$9),Dashboard!$D$9:$D$10,,0)</f>
        <v>1</v>
      </c>
      <c r="O188" t="b" cm="1">
        <f t="array" ref="O188">_xlfn.XLOOKUP(Sales_Data[[#This Row],[Sales Rep]],_xlfn.ANCHORARRAY(Dashboard!$B$13),Dashboard!$D$13:$D$17,,0)</f>
        <v>1</v>
      </c>
      <c r="P188" t="b" cm="1">
        <f t="array" ref="P188">_xlfn.XLOOKUP(Sales_Data[[#This Row],[Stage]],_xlfn.ANCHORARRAY(Dashboard!$B$20),Dashboard!$D$20:$D$25)</f>
        <v>1</v>
      </c>
      <c r="Q188" t="b" cm="1">
        <f t="array" ref="Q188">_xlfn.XLOOKUP(Sales_Data[[#This Row],[Lead Source]],_xlfn.ANCHORARRAY(Dashboard!$B$28),Dashboard!$D$28:$D$32)</f>
        <v>1</v>
      </c>
      <c r="R188">
        <f>Sales_Data[[#This Row],[Date inc]]*Sales_Data[[#This Row],[Team Inc]]*Sales_Data[[#This Row],[Rep Inc]]*Sales_Data[[#This Row],[Stage Inc]]*Sales_Data[[#This Row],[Source Inc]]</f>
        <v>1</v>
      </c>
    </row>
    <row r="189" spans="1:18" x14ac:dyDescent="0.3">
      <c r="A189" t="s">
        <v>196</v>
      </c>
      <c r="B189" s="2">
        <v>45791</v>
      </c>
      <c r="C189" t="s">
        <v>759</v>
      </c>
      <c r="D189" t="s">
        <v>764</v>
      </c>
      <c r="E189" t="s">
        <v>767</v>
      </c>
      <c r="F189" s="5">
        <v>39300</v>
      </c>
      <c r="G189" t="s">
        <v>772</v>
      </c>
      <c r="H189" s="2"/>
      <c r="J189" t="str">
        <f>IF(Sales_Data[[#This Row],[Close Date]] &lt;&gt; 0,"Closed", "Open")</f>
        <v>Open</v>
      </c>
      <c r="K189" t="str">
        <f>IF(Sales_Data[[#This Row],[Open/Closed]] = "Closed",Sales_Data[[#This Row],[Close Date]]-Sales_Data[[#This Row],[Created Date]],"")</f>
        <v/>
      </c>
      <c r="L189" s="2">
        <f>EOMONTH(Sales_Data[[#This Row],[Created Date]],0)</f>
        <v>45808</v>
      </c>
      <c r="M189" t="b">
        <f>AND(Sales_Data[[#This Row],[EoM Created]]&gt;=Index!$E$5,Sales_Data[[#This Row],[EoM Created]]&lt;=Index!$E$4)</f>
        <v>1</v>
      </c>
      <c r="N189" t="b" cm="1">
        <f t="array" ref="N189">_xlfn.XLOOKUP(Sales_Data[[#This Row],[Sales Team]],_xlfn.ANCHORARRAY(Dashboard!$B$9),Dashboard!$D$9:$D$10,,0)</f>
        <v>1</v>
      </c>
      <c r="O189" t="b" cm="1">
        <f t="array" ref="O189">_xlfn.XLOOKUP(Sales_Data[[#This Row],[Sales Rep]],_xlfn.ANCHORARRAY(Dashboard!$B$13),Dashboard!$D$13:$D$17,,0)</f>
        <v>1</v>
      </c>
      <c r="P189" t="b" cm="1">
        <f t="array" ref="P189">_xlfn.XLOOKUP(Sales_Data[[#This Row],[Stage]],_xlfn.ANCHORARRAY(Dashboard!$B$20),Dashboard!$D$20:$D$25)</f>
        <v>1</v>
      </c>
      <c r="Q189" t="b" cm="1">
        <f t="array" ref="Q189">_xlfn.XLOOKUP(Sales_Data[[#This Row],[Lead Source]],_xlfn.ANCHORARRAY(Dashboard!$B$28),Dashboard!$D$28:$D$32)</f>
        <v>1</v>
      </c>
      <c r="R189">
        <f>Sales_Data[[#This Row],[Date inc]]*Sales_Data[[#This Row],[Team Inc]]*Sales_Data[[#This Row],[Rep Inc]]*Sales_Data[[#This Row],[Stage Inc]]*Sales_Data[[#This Row],[Source Inc]]</f>
        <v>1</v>
      </c>
    </row>
    <row r="190" spans="1:18" x14ac:dyDescent="0.3">
      <c r="A190" t="s">
        <v>197</v>
      </c>
      <c r="B190" s="2">
        <v>45613</v>
      </c>
      <c r="C190" t="s">
        <v>763</v>
      </c>
      <c r="D190" t="s">
        <v>765</v>
      </c>
      <c r="E190" t="s">
        <v>768</v>
      </c>
      <c r="F190" s="5">
        <v>31500</v>
      </c>
      <c r="G190" t="s">
        <v>781</v>
      </c>
      <c r="H190" s="2">
        <v>45697</v>
      </c>
      <c r="I190" t="s">
        <v>779</v>
      </c>
      <c r="J190" t="str">
        <f>IF(Sales_Data[[#This Row],[Close Date]] &lt;&gt; 0,"Closed", "Open")</f>
        <v>Closed</v>
      </c>
      <c r="K190">
        <f>IF(Sales_Data[[#This Row],[Open/Closed]] = "Closed",Sales_Data[[#This Row],[Close Date]]-Sales_Data[[#This Row],[Created Date]],"")</f>
        <v>84</v>
      </c>
      <c r="L190" s="2">
        <f>EOMONTH(Sales_Data[[#This Row],[Created Date]],0)</f>
        <v>45626</v>
      </c>
      <c r="M190" t="b">
        <f>AND(Sales_Data[[#This Row],[EoM Created]]&gt;=Index!$E$5,Sales_Data[[#This Row],[EoM Created]]&lt;=Index!$E$4)</f>
        <v>1</v>
      </c>
      <c r="N190" t="b" cm="1">
        <f t="array" ref="N190">_xlfn.XLOOKUP(Sales_Data[[#This Row],[Sales Team]],_xlfn.ANCHORARRAY(Dashboard!$B$9),Dashboard!$D$9:$D$10,,0)</f>
        <v>1</v>
      </c>
      <c r="O190" t="b" cm="1">
        <f t="array" ref="O190">_xlfn.XLOOKUP(Sales_Data[[#This Row],[Sales Rep]],_xlfn.ANCHORARRAY(Dashboard!$B$13),Dashboard!$D$13:$D$17,,0)</f>
        <v>1</v>
      </c>
      <c r="P190" t="b" cm="1">
        <f t="array" ref="P190">_xlfn.XLOOKUP(Sales_Data[[#This Row],[Stage]],_xlfn.ANCHORARRAY(Dashboard!$B$20),Dashboard!$D$20:$D$25)</f>
        <v>1</v>
      </c>
      <c r="Q190" t="b" cm="1">
        <f t="array" ref="Q190">_xlfn.XLOOKUP(Sales_Data[[#This Row],[Lead Source]],_xlfn.ANCHORARRAY(Dashboard!$B$28),Dashboard!$D$28:$D$32)</f>
        <v>1</v>
      </c>
      <c r="R190">
        <f>Sales_Data[[#This Row],[Date inc]]*Sales_Data[[#This Row],[Team Inc]]*Sales_Data[[#This Row],[Rep Inc]]*Sales_Data[[#This Row],[Stage Inc]]*Sales_Data[[#This Row],[Source Inc]]</f>
        <v>1</v>
      </c>
    </row>
    <row r="191" spans="1:18" x14ac:dyDescent="0.3">
      <c r="A191" t="s">
        <v>198</v>
      </c>
      <c r="B191" s="2">
        <v>45022</v>
      </c>
      <c r="C191" t="s">
        <v>760</v>
      </c>
      <c r="D191" t="s">
        <v>764</v>
      </c>
      <c r="E191" t="s">
        <v>767</v>
      </c>
      <c r="F191" s="5">
        <v>24900</v>
      </c>
      <c r="G191" t="s">
        <v>780</v>
      </c>
      <c r="H191" s="2">
        <v>45112</v>
      </c>
      <c r="J191" t="str">
        <f>IF(Sales_Data[[#This Row],[Close Date]] &lt;&gt; 0,"Closed", "Open")</f>
        <v>Closed</v>
      </c>
      <c r="K191">
        <f>IF(Sales_Data[[#This Row],[Open/Closed]] = "Closed",Sales_Data[[#This Row],[Close Date]]-Sales_Data[[#This Row],[Created Date]],"")</f>
        <v>90</v>
      </c>
      <c r="L191" s="2">
        <f>EOMONTH(Sales_Data[[#This Row],[Created Date]],0)</f>
        <v>45046</v>
      </c>
      <c r="M191" t="b">
        <f>AND(Sales_Data[[#This Row],[EoM Created]]&gt;=Index!$E$5,Sales_Data[[#This Row],[EoM Created]]&lt;=Index!$E$4)</f>
        <v>0</v>
      </c>
      <c r="N191" t="b" cm="1">
        <f t="array" ref="N191">_xlfn.XLOOKUP(Sales_Data[[#This Row],[Sales Team]],_xlfn.ANCHORARRAY(Dashboard!$B$9),Dashboard!$D$9:$D$10,,0)</f>
        <v>1</v>
      </c>
      <c r="O191" t="b" cm="1">
        <f t="array" ref="O191">_xlfn.XLOOKUP(Sales_Data[[#This Row],[Sales Rep]],_xlfn.ANCHORARRAY(Dashboard!$B$13),Dashboard!$D$13:$D$17,,0)</f>
        <v>1</v>
      </c>
      <c r="P191" t="b" cm="1">
        <f t="array" ref="P191">_xlfn.XLOOKUP(Sales_Data[[#This Row],[Stage]],_xlfn.ANCHORARRAY(Dashboard!$B$20),Dashboard!$D$20:$D$25)</f>
        <v>1</v>
      </c>
      <c r="Q191" t="b" cm="1">
        <f t="array" ref="Q191">_xlfn.XLOOKUP(Sales_Data[[#This Row],[Lead Source]],_xlfn.ANCHORARRAY(Dashboard!$B$28),Dashboard!$D$28:$D$32)</f>
        <v>1</v>
      </c>
      <c r="R191">
        <f>Sales_Data[[#This Row],[Date inc]]*Sales_Data[[#This Row],[Team Inc]]*Sales_Data[[#This Row],[Rep Inc]]*Sales_Data[[#This Row],[Stage Inc]]*Sales_Data[[#This Row],[Source Inc]]</f>
        <v>0</v>
      </c>
    </row>
    <row r="192" spans="1:18" x14ac:dyDescent="0.3">
      <c r="A192" t="s">
        <v>199</v>
      </c>
      <c r="B192" s="2">
        <v>45762</v>
      </c>
      <c r="C192" t="s">
        <v>761</v>
      </c>
      <c r="D192" t="s">
        <v>765</v>
      </c>
      <c r="E192" t="s">
        <v>770</v>
      </c>
      <c r="F192" s="5">
        <v>35500</v>
      </c>
      <c r="G192" t="s">
        <v>774</v>
      </c>
      <c r="H192" s="2"/>
      <c r="J192" t="str">
        <f>IF(Sales_Data[[#This Row],[Close Date]] &lt;&gt; 0,"Closed", "Open")</f>
        <v>Open</v>
      </c>
      <c r="K192" t="str">
        <f>IF(Sales_Data[[#This Row],[Open/Closed]] = "Closed",Sales_Data[[#This Row],[Close Date]]-Sales_Data[[#This Row],[Created Date]],"")</f>
        <v/>
      </c>
      <c r="L192" s="2">
        <f>EOMONTH(Sales_Data[[#This Row],[Created Date]],0)</f>
        <v>45777</v>
      </c>
      <c r="M192" t="b">
        <f>AND(Sales_Data[[#This Row],[EoM Created]]&gt;=Index!$E$5,Sales_Data[[#This Row],[EoM Created]]&lt;=Index!$E$4)</f>
        <v>1</v>
      </c>
      <c r="N192" t="b" cm="1">
        <f t="array" ref="N192">_xlfn.XLOOKUP(Sales_Data[[#This Row],[Sales Team]],_xlfn.ANCHORARRAY(Dashboard!$B$9),Dashboard!$D$9:$D$10,,0)</f>
        <v>1</v>
      </c>
      <c r="O192" t="b" cm="1">
        <f t="array" ref="O192">_xlfn.XLOOKUP(Sales_Data[[#This Row],[Sales Rep]],_xlfn.ANCHORARRAY(Dashboard!$B$13),Dashboard!$D$13:$D$17,,0)</f>
        <v>1</v>
      </c>
      <c r="P192" t="b" cm="1">
        <f t="array" ref="P192">_xlfn.XLOOKUP(Sales_Data[[#This Row],[Stage]],_xlfn.ANCHORARRAY(Dashboard!$B$20),Dashboard!$D$20:$D$25)</f>
        <v>1</v>
      </c>
      <c r="Q192" t="b" cm="1">
        <f t="array" ref="Q192">_xlfn.XLOOKUP(Sales_Data[[#This Row],[Lead Source]],_xlfn.ANCHORARRAY(Dashboard!$B$28),Dashboard!$D$28:$D$32)</f>
        <v>1</v>
      </c>
      <c r="R192">
        <f>Sales_Data[[#This Row],[Date inc]]*Sales_Data[[#This Row],[Team Inc]]*Sales_Data[[#This Row],[Rep Inc]]*Sales_Data[[#This Row],[Stage Inc]]*Sales_Data[[#This Row],[Source Inc]]</f>
        <v>1</v>
      </c>
    </row>
    <row r="193" spans="1:18" x14ac:dyDescent="0.3">
      <c r="A193" t="s">
        <v>200</v>
      </c>
      <c r="B193" s="2">
        <v>44930</v>
      </c>
      <c r="C193" t="s">
        <v>762</v>
      </c>
      <c r="D193" t="s">
        <v>764</v>
      </c>
      <c r="E193" t="s">
        <v>767</v>
      </c>
      <c r="F193" s="5">
        <v>48600</v>
      </c>
      <c r="G193" t="s">
        <v>780</v>
      </c>
      <c r="H193" s="2">
        <v>45013</v>
      </c>
      <c r="J193" t="str">
        <f>IF(Sales_Data[[#This Row],[Close Date]] &lt;&gt; 0,"Closed", "Open")</f>
        <v>Closed</v>
      </c>
      <c r="K193">
        <f>IF(Sales_Data[[#This Row],[Open/Closed]] = "Closed",Sales_Data[[#This Row],[Close Date]]-Sales_Data[[#This Row],[Created Date]],"")</f>
        <v>83</v>
      </c>
      <c r="L193" s="2">
        <f>EOMONTH(Sales_Data[[#This Row],[Created Date]],0)</f>
        <v>44957</v>
      </c>
      <c r="M193" t="b">
        <f>AND(Sales_Data[[#This Row],[EoM Created]]&gt;=Index!$E$5,Sales_Data[[#This Row],[EoM Created]]&lt;=Index!$E$4)</f>
        <v>0</v>
      </c>
      <c r="N193" t="b" cm="1">
        <f t="array" ref="N193">_xlfn.XLOOKUP(Sales_Data[[#This Row],[Sales Team]],_xlfn.ANCHORARRAY(Dashboard!$B$9),Dashboard!$D$9:$D$10,,0)</f>
        <v>1</v>
      </c>
      <c r="O193" t="b" cm="1">
        <f t="array" ref="O193">_xlfn.XLOOKUP(Sales_Data[[#This Row],[Sales Rep]],_xlfn.ANCHORARRAY(Dashboard!$B$13),Dashboard!$D$13:$D$17,,0)</f>
        <v>1</v>
      </c>
      <c r="P193" t="b" cm="1">
        <f t="array" ref="P193">_xlfn.XLOOKUP(Sales_Data[[#This Row],[Stage]],_xlfn.ANCHORARRAY(Dashboard!$B$20),Dashboard!$D$20:$D$25)</f>
        <v>1</v>
      </c>
      <c r="Q193" t="b" cm="1">
        <f t="array" ref="Q193">_xlfn.XLOOKUP(Sales_Data[[#This Row],[Lead Source]],_xlfn.ANCHORARRAY(Dashboard!$B$28),Dashboard!$D$28:$D$32)</f>
        <v>1</v>
      </c>
      <c r="R193">
        <f>Sales_Data[[#This Row],[Date inc]]*Sales_Data[[#This Row],[Team Inc]]*Sales_Data[[#This Row],[Rep Inc]]*Sales_Data[[#This Row],[Stage Inc]]*Sales_Data[[#This Row],[Source Inc]]</f>
        <v>0</v>
      </c>
    </row>
    <row r="194" spans="1:18" x14ac:dyDescent="0.3">
      <c r="A194" t="s">
        <v>201</v>
      </c>
      <c r="B194" s="2">
        <v>45756</v>
      </c>
      <c r="C194" t="s">
        <v>763</v>
      </c>
      <c r="D194" t="s">
        <v>765</v>
      </c>
      <c r="E194" t="s">
        <v>770</v>
      </c>
      <c r="F194" s="5">
        <v>42100</v>
      </c>
      <c r="G194" t="s">
        <v>773</v>
      </c>
      <c r="H194" s="2"/>
      <c r="J194" t="str">
        <f>IF(Sales_Data[[#This Row],[Close Date]] &lt;&gt; 0,"Closed", "Open")</f>
        <v>Open</v>
      </c>
      <c r="K194" t="str">
        <f>IF(Sales_Data[[#This Row],[Open/Closed]] = "Closed",Sales_Data[[#This Row],[Close Date]]-Sales_Data[[#This Row],[Created Date]],"")</f>
        <v/>
      </c>
      <c r="L194" s="2">
        <f>EOMONTH(Sales_Data[[#This Row],[Created Date]],0)</f>
        <v>45777</v>
      </c>
      <c r="M194" t="b">
        <f>AND(Sales_Data[[#This Row],[EoM Created]]&gt;=Index!$E$5,Sales_Data[[#This Row],[EoM Created]]&lt;=Index!$E$4)</f>
        <v>1</v>
      </c>
      <c r="N194" t="b" cm="1">
        <f t="array" ref="N194">_xlfn.XLOOKUP(Sales_Data[[#This Row],[Sales Team]],_xlfn.ANCHORARRAY(Dashboard!$B$9),Dashboard!$D$9:$D$10,,0)</f>
        <v>1</v>
      </c>
      <c r="O194" t="b" cm="1">
        <f t="array" ref="O194">_xlfn.XLOOKUP(Sales_Data[[#This Row],[Sales Rep]],_xlfn.ANCHORARRAY(Dashboard!$B$13),Dashboard!$D$13:$D$17,,0)</f>
        <v>1</v>
      </c>
      <c r="P194" t="b" cm="1">
        <f t="array" ref="P194">_xlfn.XLOOKUP(Sales_Data[[#This Row],[Stage]],_xlfn.ANCHORARRAY(Dashboard!$B$20),Dashboard!$D$20:$D$25)</f>
        <v>1</v>
      </c>
      <c r="Q194" t="b" cm="1">
        <f t="array" ref="Q194">_xlfn.XLOOKUP(Sales_Data[[#This Row],[Lead Source]],_xlfn.ANCHORARRAY(Dashboard!$B$28),Dashboard!$D$28:$D$32)</f>
        <v>1</v>
      </c>
      <c r="R194">
        <f>Sales_Data[[#This Row],[Date inc]]*Sales_Data[[#This Row],[Team Inc]]*Sales_Data[[#This Row],[Rep Inc]]*Sales_Data[[#This Row],[Stage Inc]]*Sales_Data[[#This Row],[Source Inc]]</f>
        <v>1</v>
      </c>
    </row>
    <row r="195" spans="1:18" x14ac:dyDescent="0.3">
      <c r="A195" t="s">
        <v>202</v>
      </c>
      <c r="B195" s="2">
        <v>45818</v>
      </c>
      <c r="C195" t="s">
        <v>763</v>
      </c>
      <c r="D195" t="s">
        <v>765</v>
      </c>
      <c r="E195" t="s">
        <v>769</v>
      </c>
      <c r="F195" s="5">
        <v>27500</v>
      </c>
      <c r="G195" t="s">
        <v>773</v>
      </c>
      <c r="H195" s="2"/>
      <c r="J195" t="str">
        <f>IF(Sales_Data[[#This Row],[Close Date]] &lt;&gt; 0,"Closed", "Open")</f>
        <v>Open</v>
      </c>
      <c r="K195" t="str">
        <f>IF(Sales_Data[[#This Row],[Open/Closed]] = "Closed",Sales_Data[[#This Row],[Close Date]]-Sales_Data[[#This Row],[Created Date]],"")</f>
        <v/>
      </c>
      <c r="L195" s="2">
        <f>EOMONTH(Sales_Data[[#This Row],[Created Date]],0)</f>
        <v>45838</v>
      </c>
      <c r="M195" t="b">
        <f>AND(Sales_Data[[#This Row],[EoM Created]]&gt;=Index!$E$5,Sales_Data[[#This Row],[EoM Created]]&lt;=Index!$E$4)</f>
        <v>1</v>
      </c>
      <c r="N195" t="b" cm="1">
        <f t="array" ref="N195">_xlfn.XLOOKUP(Sales_Data[[#This Row],[Sales Team]],_xlfn.ANCHORARRAY(Dashboard!$B$9),Dashboard!$D$9:$D$10,,0)</f>
        <v>1</v>
      </c>
      <c r="O195" t="b" cm="1">
        <f t="array" ref="O195">_xlfn.XLOOKUP(Sales_Data[[#This Row],[Sales Rep]],_xlfn.ANCHORARRAY(Dashboard!$B$13),Dashboard!$D$13:$D$17,,0)</f>
        <v>1</v>
      </c>
      <c r="P195" t="b" cm="1">
        <f t="array" ref="P195">_xlfn.XLOOKUP(Sales_Data[[#This Row],[Stage]],_xlfn.ANCHORARRAY(Dashboard!$B$20),Dashboard!$D$20:$D$25)</f>
        <v>1</v>
      </c>
      <c r="Q195" t="b" cm="1">
        <f t="array" ref="Q195">_xlfn.XLOOKUP(Sales_Data[[#This Row],[Lead Source]],_xlfn.ANCHORARRAY(Dashboard!$B$28),Dashboard!$D$28:$D$32)</f>
        <v>1</v>
      </c>
      <c r="R195">
        <f>Sales_Data[[#This Row],[Date inc]]*Sales_Data[[#This Row],[Team Inc]]*Sales_Data[[#This Row],[Rep Inc]]*Sales_Data[[#This Row],[Stage Inc]]*Sales_Data[[#This Row],[Source Inc]]</f>
        <v>1</v>
      </c>
    </row>
    <row r="196" spans="1:18" x14ac:dyDescent="0.3">
      <c r="A196" t="s">
        <v>203</v>
      </c>
      <c r="B196" s="2">
        <v>45546</v>
      </c>
      <c r="C196" t="s">
        <v>761</v>
      </c>
      <c r="D196" t="s">
        <v>765</v>
      </c>
      <c r="E196" t="s">
        <v>768</v>
      </c>
      <c r="F196" s="5">
        <v>41700</v>
      </c>
      <c r="G196" t="s">
        <v>780</v>
      </c>
      <c r="H196" s="2">
        <v>45630</v>
      </c>
      <c r="J196" t="str">
        <f>IF(Sales_Data[[#This Row],[Close Date]] &lt;&gt; 0,"Closed", "Open")</f>
        <v>Closed</v>
      </c>
      <c r="K196">
        <f>IF(Sales_Data[[#This Row],[Open/Closed]] = "Closed",Sales_Data[[#This Row],[Close Date]]-Sales_Data[[#This Row],[Created Date]],"")</f>
        <v>84</v>
      </c>
      <c r="L196" s="2">
        <f>EOMONTH(Sales_Data[[#This Row],[Created Date]],0)</f>
        <v>45565</v>
      </c>
      <c r="M196" t="b">
        <f>AND(Sales_Data[[#This Row],[EoM Created]]&gt;=Index!$E$5,Sales_Data[[#This Row],[EoM Created]]&lt;=Index!$E$4)</f>
        <v>1</v>
      </c>
      <c r="N196" t="b" cm="1">
        <f t="array" ref="N196">_xlfn.XLOOKUP(Sales_Data[[#This Row],[Sales Team]],_xlfn.ANCHORARRAY(Dashboard!$B$9),Dashboard!$D$9:$D$10,,0)</f>
        <v>1</v>
      </c>
      <c r="O196" t="b" cm="1">
        <f t="array" ref="O196">_xlfn.XLOOKUP(Sales_Data[[#This Row],[Sales Rep]],_xlfn.ANCHORARRAY(Dashboard!$B$13),Dashboard!$D$13:$D$17,,0)</f>
        <v>1</v>
      </c>
      <c r="P196" t="b" cm="1">
        <f t="array" ref="P196">_xlfn.XLOOKUP(Sales_Data[[#This Row],[Stage]],_xlfn.ANCHORARRAY(Dashboard!$B$20),Dashboard!$D$20:$D$25)</f>
        <v>1</v>
      </c>
      <c r="Q196" t="b" cm="1">
        <f t="array" ref="Q196">_xlfn.XLOOKUP(Sales_Data[[#This Row],[Lead Source]],_xlfn.ANCHORARRAY(Dashboard!$B$28),Dashboard!$D$28:$D$32)</f>
        <v>1</v>
      </c>
      <c r="R196">
        <f>Sales_Data[[#This Row],[Date inc]]*Sales_Data[[#This Row],[Team Inc]]*Sales_Data[[#This Row],[Rep Inc]]*Sales_Data[[#This Row],[Stage Inc]]*Sales_Data[[#This Row],[Source Inc]]</f>
        <v>1</v>
      </c>
    </row>
    <row r="197" spans="1:18" x14ac:dyDescent="0.3">
      <c r="A197" t="s">
        <v>204</v>
      </c>
      <c r="B197" s="2">
        <v>45679</v>
      </c>
      <c r="C197" t="s">
        <v>761</v>
      </c>
      <c r="D197" t="s">
        <v>765</v>
      </c>
      <c r="E197" t="s">
        <v>768</v>
      </c>
      <c r="F197" s="5">
        <v>43900</v>
      </c>
      <c r="G197" t="s">
        <v>781</v>
      </c>
      <c r="H197" s="2">
        <v>45765</v>
      </c>
      <c r="I197" t="s">
        <v>778</v>
      </c>
      <c r="J197" t="str">
        <f>IF(Sales_Data[[#This Row],[Close Date]] &lt;&gt; 0,"Closed", "Open")</f>
        <v>Closed</v>
      </c>
      <c r="K197">
        <f>IF(Sales_Data[[#This Row],[Open/Closed]] = "Closed",Sales_Data[[#This Row],[Close Date]]-Sales_Data[[#This Row],[Created Date]],"")</f>
        <v>86</v>
      </c>
      <c r="L197" s="2">
        <f>EOMONTH(Sales_Data[[#This Row],[Created Date]],0)</f>
        <v>45688</v>
      </c>
      <c r="M197" t="b">
        <f>AND(Sales_Data[[#This Row],[EoM Created]]&gt;=Index!$E$5,Sales_Data[[#This Row],[EoM Created]]&lt;=Index!$E$4)</f>
        <v>1</v>
      </c>
      <c r="N197" t="b" cm="1">
        <f t="array" ref="N197">_xlfn.XLOOKUP(Sales_Data[[#This Row],[Sales Team]],_xlfn.ANCHORARRAY(Dashboard!$B$9),Dashboard!$D$9:$D$10,,0)</f>
        <v>1</v>
      </c>
      <c r="O197" t="b" cm="1">
        <f t="array" ref="O197">_xlfn.XLOOKUP(Sales_Data[[#This Row],[Sales Rep]],_xlfn.ANCHORARRAY(Dashboard!$B$13),Dashboard!$D$13:$D$17,,0)</f>
        <v>1</v>
      </c>
      <c r="P197" t="b" cm="1">
        <f t="array" ref="P197">_xlfn.XLOOKUP(Sales_Data[[#This Row],[Stage]],_xlfn.ANCHORARRAY(Dashboard!$B$20),Dashboard!$D$20:$D$25)</f>
        <v>1</v>
      </c>
      <c r="Q197" t="b" cm="1">
        <f t="array" ref="Q197">_xlfn.XLOOKUP(Sales_Data[[#This Row],[Lead Source]],_xlfn.ANCHORARRAY(Dashboard!$B$28),Dashboard!$D$28:$D$32)</f>
        <v>1</v>
      </c>
      <c r="R197">
        <f>Sales_Data[[#This Row],[Date inc]]*Sales_Data[[#This Row],[Team Inc]]*Sales_Data[[#This Row],[Rep Inc]]*Sales_Data[[#This Row],[Stage Inc]]*Sales_Data[[#This Row],[Source Inc]]</f>
        <v>1</v>
      </c>
    </row>
    <row r="198" spans="1:18" x14ac:dyDescent="0.3">
      <c r="A198" t="s">
        <v>205</v>
      </c>
      <c r="B198" s="2">
        <v>45051</v>
      </c>
      <c r="C198" t="s">
        <v>761</v>
      </c>
      <c r="D198" t="s">
        <v>765</v>
      </c>
      <c r="E198" t="s">
        <v>768</v>
      </c>
      <c r="F198" s="5">
        <v>31200</v>
      </c>
      <c r="G198" t="s">
        <v>781</v>
      </c>
      <c r="H198" s="2">
        <v>45126</v>
      </c>
      <c r="I198" t="s">
        <v>778</v>
      </c>
      <c r="J198" t="str">
        <f>IF(Sales_Data[[#This Row],[Close Date]] &lt;&gt; 0,"Closed", "Open")</f>
        <v>Closed</v>
      </c>
      <c r="K198">
        <f>IF(Sales_Data[[#This Row],[Open/Closed]] = "Closed",Sales_Data[[#This Row],[Close Date]]-Sales_Data[[#This Row],[Created Date]],"")</f>
        <v>75</v>
      </c>
      <c r="L198" s="2">
        <f>EOMONTH(Sales_Data[[#This Row],[Created Date]],0)</f>
        <v>45077</v>
      </c>
      <c r="M198" t="b">
        <f>AND(Sales_Data[[#This Row],[EoM Created]]&gt;=Index!$E$5,Sales_Data[[#This Row],[EoM Created]]&lt;=Index!$E$4)</f>
        <v>0</v>
      </c>
      <c r="N198" t="b" cm="1">
        <f t="array" ref="N198">_xlfn.XLOOKUP(Sales_Data[[#This Row],[Sales Team]],_xlfn.ANCHORARRAY(Dashboard!$B$9),Dashboard!$D$9:$D$10,,0)</f>
        <v>1</v>
      </c>
      <c r="O198" t="b" cm="1">
        <f t="array" ref="O198">_xlfn.XLOOKUP(Sales_Data[[#This Row],[Sales Rep]],_xlfn.ANCHORARRAY(Dashboard!$B$13),Dashboard!$D$13:$D$17,,0)</f>
        <v>1</v>
      </c>
      <c r="P198" t="b" cm="1">
        <f t="array" ref="P198">_xlfn.XLOOKUP(Sales_Data[[#This Row],[Stage]],_xlfn.ANCHORARRAY(Dashboard!$B$20),Dashboard!$D$20:$D$25)</f>
        <v>1</v>
      </c>
      <c r="Q198" t="b" cm="1">
        <f t="array" ref="Q198">_xlfn.XLOOKUP(Sales_Data[[#This Row],[Lead Source]],_xlfn.ANCHORARRAY(Dashboard!$B$28),Dashboard!$D$28:$D$32)</f>
        <v>1</v>
      </c>
      <c r="R198">
        <f>Sales_Data[[#This Row],[Date inc]]*Sales_Data[[#This Row],[Team Inc]]*Sales_Data[[#This Row],[Rep Inc]]*Sales_Data[[#This Row],[Stage Inc]]*Sales_Data[[#This Row],[Source Inc]]</f>
        <v>0</v>
      </c>
    </row>
    <row r="199" spans="1:18" x14ac:dyDescent="0.3">
      <c r="A199" t="s">
        <v>206</v>
      </c>
      <c r="B199" s="2">
        <v>45471</v>
      </c>
      <c r="C199" t="s">
        <v>760</v>
      </c>
      <c r="D199" t="s">
        <v>764</v>
      </c>
      <c r="E199" t="s">
        <v>767</v>
      </c>
      <c r="F199" s="5">
        <v>41500</v>
      </c>
      <c r="G199" t="s">
        <v>781</v>
      </c>
      <c r="H199" s="2">
        <v>45558</v>
      </c>
      <c r="I199" t="s">
        <v>778</v>
      </c>
      <c r="J199" t="str">
        <f>IF(Sales_Data[[#This Row],[Close Date]] &lt;&gt; 0,"Closed", "Open")</f>
        <v>Closed</v>
      </c>
      <c r="K199">
        <f>IF(Sales_Data[[#This Row],[Open/Closed]] = "Closed",Sales_Data[[#This Row],[Close Date]]-Sales_Data[[#This Row],[Created Date]],"")</f>
        <v>87</v>
      </c>
      <c r="L199" s="2">
        <f>EOMONTH(Sales_Data[[#This Row],[Created Date]],0)</f>
        <v>45473</v>
      </c>
      <c r="M199" t="b">
        <f>AND(Sales_Data[[#This Row],[EoM Created]]&gt;=Index!$E$5,Sales_Data[[#This Row],[EoM Created]]&lt;=Index!$E$4)</f>
        <v>1</v>
      </c>
      <c r="N199" t="b" cm="1">
        <f t="array" ref="N199">_xlfn.XLOOKUP(Sales_Data[[#This Row],[Sales Team]],_xlfn.ANCHORARRAY(Dashboard!$B$9),Dashboard!$D$9:$D$10,,0)</f>
        <v>1</v>
      </c>
      <c r="O199" t="b" cm="1">
        <f t="array" ref="O199">_xlfn.XLOOKUP(Sales_Data[[#This Row],[Sales Rep]],_xlfn.ANCHORARRAY(Dashboard!$B$13),Dashboard!$D$13:$D$17,,0)</f>
        <v>1</v>
      </c>
      <c r="P199" t="b" cm="1">
        <f t="array" ref="P199">_xlfn.XLOOKUP(Sales_Data[[#This Row],[Stage]],_xlfn.ANCHORARRAY(Dashboard!$B$20),Dashboard!$D$20:$D$25)</f>
        <v>1</v>
      </c>
      <c r="Q199" t="b" cm="1">
        <f t="array" ref="Q199">_xlfn.XLOOKUP(Sales_Data[[#This Row],[Lead Source]],_xlfn.ANCHORARRAY(Dashboard!$B$28),Dashboard!$D$28:$D$32)</f>
        <v>1</v>
      </c>
      <c r="R199">
        <f>Sales_Data[[#This Row],[Date inc]]*Sales_Data[[#This Row],[Team Inc]]*Sales_Data[[#This Row],[Rep Inc]]*Sales_Data[[#This Row],[Stage Inc]]*Sales_Data[[#This Row],[Source Inc]]</f>
        <v>1</v>
      </c>
    </row>
    <row r="200" spans="1:18" x14ac:dyDescent="0.3">
      <c r="A200" t="s">
        <v>207</v>
      </c>
      <c r="B200" s="2">
        <v>45675</v>
      </c>
      <c r="C200" t="s">
        <v>761</v>
      </c>
      <c r="D200" t="s">
        <v>765</v>
      </c>
      <c r="E200" t="s">
        <v>768</v>
      </c>
      <c r="F200" s="5">
        <v>40600</v>
      </c>
      <c r="G200" t="s">
        <v>780</v>
      </c>
      <c r="H200" s="2">
        <v>45758</v>
      </c>
      <c r="J200" t="str">
        <f>IF(Sales_Data[[#This Row],[Close Date]] &lt;&gt; 0,"Closed", "Open")</f>
        <v>Closed</v>
      </c>
      <c r="K200">
        <f>IF(Sales_Data[[#This Row],[Open/Closed]] = "Closed",Sales_Data[[#This Row],[Close Date]]-Sales_Data[[#This Row],[Created Date]],"")</f>
        <v>83</v>
      </c>
      <c r="L200" s="2">
        <f>EOMONTH(Sales_Data[[#This Row],[Created Date]],0)</f>
        <v>45688</v>
      </c>
      <c r="M200" t="b">
        <f>AND(Sales_Data[[#This Row],[EoM Created]]&gt;=Index!$E$5,Sales_Data[[#This Row],[EoM Created]]&lt;=Index!$E$4)</f>
        <v>1</v>
      </c>
      <c r="N200" t="b" cm="1">
        <f t="array" ref="N200">_xlfn.XLOOKUP(Sales_Data[[#This Row],[Sales Team]],_xlfn.ANCHORARRAY(Dashboard!$B$9),Dashboard!$D$9:$D$10,,0)</f>
        <v>1</v>
      </c>
      <c r="O200" t="b" cm="1">
        <f t="array" ref="O200">_xlfn.XLOOKUP(Sales_Data[[#This Row],[Sales Rep]],_xlfn.ANCHORARRAY(Dashboard!$B$13),Dashboard!$D$13:$D$17,,0)</f>
        <v>1</v>
      </c>
      <c r="P200" t="b" cm="1">
        <f t="array" ref="P200">_xlfn.XLOOKUP(Sales_Data[[#This Row],[Stage]],_xlfn.ANCHORARRAY(Dashboard!$B$20),Dashboard!$D$20:$D$25)</f>
        <v>1</v>
      </c>
      <c r="Q200" t="b" cm="1">
        <f t="array" ref="Q200">_xlfn.XLOOKUP(Sales_Data[[#This Row],[Lead Source]],_xlfn.ANCHORARRAY(Dashboard!$B$28),Dashboard!$D$28:$D$32)</f>
        <v>1</v>
      </c>
      <c r="R200">
        <f>Sales_Data[[#This Row],[Date inc]]*Sales_Data[[#This Row],[Team Inc]]*Sales_Data[[#This Row],[Rep Inc]]*Sales_Data[[#This Row],[Stage Inc]]*Sales_Data[[#This Row],[Source Inc]]</f>
        <v>1</v>
      </c>
    </row>
    <row r="201" spans="1:18" x14ac:dyDescent="0.3">
      <c r="A201" t="s">
        <v>208</v>
      </c>
      <c r="B201" s="2">
        <v>45527</v>
      </c>
      <c r="C201" t="s">
        <v>760</v>
      </c>
      <c r="D201" t="s">
        <v>764</v>
      </c>
      <c r="E201" t="s">
        <v>767</v>
      </c>
      <c r="F201" s="5">
        <v>28600</v>
      </c>
      <c r="G201" t="s">
        <v>780</v>
      </c>
      <c r="H201" s="2">
        <v>45606</v>
      </c>
      <c r="J201" t="str">
        <f>IF(Sales_Data[[#This Row],[Close Date]] &lt;&gt; 0,"Closed", "Open")</f>
        <v>Closed</v>
      </c>
      <c r="K201">
        <f>IF(Sales_Data[[#This Row],[Open/Closed]] = "Closed",Sales_Data[[#This Row],[Close Date]]-Sales_Data[[#This Row],[Created Date]],"")</f>
        <v>79</v>
      </c>
      <c r="L201" s="2">
        <f>EOMONTH(Sales_Data[[#This Row],[Created Date]],0)</f>
        <v>45535</v>
      </c>
      <c r="M201" t="b">
        <f>AND(Sales_Data[[#This Row],[EoM Created]]&gt;=Index!$E$5,Sales_Data[[#This Row],[EoM Created]]&lt;=Index!$E$4)</f>
        <v>1</v>
      </c>
      <c r="N201" t="b" cm="1">
        <f t="array" ref="N201">_xlfn.XLOOKUP(Sales_Data[[#This Row],[Sales Team]],_xlfn.ANCHORARRAY(Dashboard!$B$9),Dashboard!$D$9:$D$10,,0)</f>
        <v>1</v>
      </c>
      <c r="O201" t="b" cm="1">
        <f t="array" ref="O201">_xlfn.XLOOKUP(Sales_Data[[#This Row],[Sales Rep]],_xlfn.ANCHORARRAY(Dashboard!$B$13),Dashboard!$D$13:$D$17,,0)</f>
        <v>1</v>
      </c>
      <c r="P201" t="b" cm="1">
        <f t="array" ref="P201">_xlfn.XLOOKUP(Sales_Data[[#This Row],[Stage]],_xlfn.ANCHORARRAY(Dashboard!$B$20),Dashboard!$D$20:$D$25)</f>
        <v>1</v>
      </c>
      <c r="Q201" t="b" cm="1">
        <f t="array" ref="Q201">_xlfn.XLOOKUP(Sales_Data[[#This Row],[Lead Source]],_xlfn.ANCHORARRAY(Dashboard!$B$28),Dashboard!$D$28:$D$32)</f>
        <v>1</v>
      </c>
      <c r="R201">
        <f>Sales_Data[[#This Row],[Date inc]]*Sales_Data[[#This Row],[Team Inc]]*Sales_Data[[#This Row],[Rep Inc]]*Sales_Data[[#This Row],[Stage Inc]]*Sales_Data[[#This Row],[Source Inc]]</f>
        <v>1</v>
      </c>
    </row>
    <row r="202" spans="1:18" x14ac:dyDescent="0.3">
      <c r="A202" t="s">
        <v>209</v>
      </c>
      <c r="B202" s="2">
        <v>45441</v>
      </c>
      <c r="C202" t="s">
        <v>762</v>
      </c>
      <c r="D202" t="s">
        <v>764</v>
      </c>
      <c r="E202" t="s">
        <v>767</v>
      </c>
      <c r="F202" s="5">
        <v>43600</v>
      </c>
      <c r="G202" t="s">
        <v>781</v>
      </c>
      <c r="H202" s="2">
        <v>45524</v>
      </c>
      <c r="I202" t="s">
        <v>779</v>
      </c>
      <c r="J202" t="str">
        <f>IF(Sales_Data[[#This Row],[Close Date]] &lt;&gt; 0,"Closed", "Open")</f>
        <v>Closed</v>
      </c>
      <c r="K202">
        <f>IF(Sales_Data[[#This Row],[Open/Closed]] = "Closed",Sales_Data[[#This Row],[Close Date]]-Sales_Data[[#This Row],[Created Date]],"")</f>
        <v>83</v>
      </c>
      <c r="L202" s="2">
        <f>EOMONTH(Sales_Data[[#This Row],[Created Date]],0)</f>
        <v>45443</v>
      </c>
      <c r="M202" t="b">
        <f>AND(Sales_Data[[#This Row],[EoM Created]]&gt;=Index!$E$5,Sales_Data[[#This Row],[EoM Created]]&lt;=Index!$E$4)</f>
        <v>1</v>
      </c>
      <c r="N202" t="b" cm="1">
        <f t="array" ref="N202">_xlfn.XLOOKUP(Sales_Data[[#This Row],[Sales Team]],_xlfn.ANCHORARRAY(Dashboard!$B$9),Dashboard!$D$9:$D$10,,0)</f>
        <v>1</v>
      </c>
      <c r="O202" t="b" cm="1">
        <f t="array" ref="O202">_xlfn.XLOOKUP(Sales_Data[[#This Row],[Sales Rep]],_xlfn.ANCHORARRAY(Dashboard!$B$13),Dashboard!$D$13:$D$17,,0)</f>
        <v>1</v>
      </c>
      <c r="P202" t="b" cm="1">
        <f t="array" ref="P202">_xlfn.XLOOKUP(Sales_Data[[#This Row],[Stage]],_xlfn.ANCHORARRAY(Dashboard!$B$20),Dashboard!$D$20:$D$25)</f>
        <v>1</v>
      </c>
      <c r="Q202" t="b" cm="1">
        <f t="array" ref="Q202">_xlfn.XLOOKUP(Sales_Data[[#This Row],[Lead Source]],_xlfn.ANCHORARRAY(Dashboard!$B$28),Dashboard!$D$28:$D$32)</f>
        <v>1</v>
      </c>
      <c r="R202">
        <f>Sales_Data[[#This Row],[Date inc]]*Sales_Data[[#This Row],[Team Inc]]*Sales_Data[[#This Row],[Rep Inc]]*Sales_Data[[#This Row],[Stage Inc]]*Sales_Data[[#This Row],[Source Inc]]</f>
        <v>1</v>
      </c>
    </row>
    <row r="203" spans="1:18" x14ac:dyDescent="0.3">
      <c r="A203" t="s">
        <v>210</v>
      </c>
      <c r="B203" s="2">
        <v>45661</v>
      </c>
      <c r="C203" t="s">
        <v>762</v>
      </c>
      <c r="D203" t="s">
        <v>764</v>
      </c>
      <c r="E203" t="s">
        <v>766</v>
      </c>
      <c r="F203" s="5">
        <v>45600</v>
      </c>
      <c r="G203" t="s">
        <v>781</v>
      </c>
      <c r="H203" s="2">
        <v>45725</v>
      </c>
      <c r="I203" t="s">
        <v>779</v>
      </c>
      <c r="J203" t="str">
        <f>IF(Sales_Data[[#This Row],[Close Date]] &lt;&gt; 0,"Closed", "Open")</f>
        <v>Closed</v>
      </c>
      <c r="K203">
        <f>IF(Sales_Data[[#This Row],[Open/Closed]] = "Closed",Sales_Data[[#This Row],[Close Date]]-Sales_Data[[#This Row],[Created Date]],"")</f>
        <v>64</v>
      </c>
      <c r="L203" s="2">
        <f>EOMONTH(Sales_Data[[#This Row],[Created Date]],0)</f>
        <v>45688</v>
      </c>
      <c r="M203" t="b">
        <f>AND(Sales_Data[[#This Row],[EoM Created]]&gt;=Index!$E$5,Sales_Data[[#This Row],[EoM Created]]&lt;=Index!$E$4)</f>
        <v>1</v>
      </c>
      <c r="N203" t="b" cm="1">
        <f t="array" ref="N203">_xlfn.XLOOKUP(Sales_Data[[#This Row],[Sales Team]],_xlfn.ANCHORARRAY(Dashboard!$B$9),Dashboard!$D$9:$D$10,,0)</f>
        <v>1</v>
      </c>
      <c r="O203" t="b" cm="1">
        <f t="array" ref="O203">_xlfn.XLOOKUP(Sales_Data[[#This Row],[Sales Rep]],_xlfn.ANCHORARRAY(Dashboard!$B$13),Dashboard!$D$13:$D$17,,0)</f>
        <v>1</v>
      </c>
      <c r="P203" t="b" cm="1">
        <f t="array" ref="P203">_xlfn.XLOOKUP(Sales_Data[[#This Row],[Stage]],_xlfn.ANCHORARRAY(Dashboard!$B$20),Dashboard!$D$20:$D$25)</f>
        <v>1</v>
      </c>
      <c r="Q203" t="b" cm="1">
        <f t="array" ref="Q203">_xlfn.XLOOKUP(Sales_Data[[#This Row],[Lead Source]],_xlfn.ANCHORARRAY(Dashboard!$B$28),Dashboard!$D$28:$D$32)</f>
        <v>1</v>
      </c>
      <c r="R203">
        <f>Sales_Data[[#This Row],[Date inc]]*Sales_Data[[#This Row],[Team Inc]]*Sales_Data[[#This Row],[Rep Inc]]*Sales_Data[[#This Row],[Stage Inc]]*Sales_Data[[#This Row],[Source Inc]]</f>
        <v>1</v>
      </c>
    </row>
    <row r="204" spans="1:18" x14ac:dyDescent="0.3">
      <c r="A204" t="s">
        <v>211</v>
      </c>
      <c r="B204" s="2">
        <v>45742</v>
      </c>
      <c r="C204" t="s">
        <v>763</v>
      </c>
      <c r="D204" t="s">
        <v>765</v>
      </c>
      <c r="E204" t="s">
        <v>768</v>
      </c>
      <c r="F204" s="5">
        <v>50800</v>
      </c>
      <c r="G204" t="s">
        <v>781</v>
      </c>
      <c r="H204" s="2">
        <v>45823</v>
      </c>
      <c r="I204" t="s">
        <v>775</v>
      </c>
      <c r="J204" t="str">
        <f>IF(Sales_Data[[#This Row],[Close Date]] &lt;&gt; 0,"Closed", "Open")</f>
        <v>Closed</v>
      </c>
      <c r="K204">
        <f>IF(Sales_Data[[#This Row],[Open/Closed]] = "Closed",Sales_Data[[#This Row],[Close Date]]-Sales_Data[[#This Row],[Created Date]],"")</f>
        <v>81</v>
      </c>
      <c r="L204" s="2">
        <f>EOMONTH(Sales_Data[[#This Row],[Created Date]],0)</f>
        <v>45747</v>
      </c>
      <c r="M204" t="b">
        <f>AND(Sales_Data[[#This Row],[EoM Created]]&gt;=Index!$E$5,Sales_Data[[#This Row],[EoM Created]]&lt;=Index!$E$4)</f>
        <v>1</v>
      </c>
      <c r="N204" t="b" cm="1">
        <f t="array" ref="N204">_xlfn.XLOOKUP(Sales_Data[[#This Row],[Sales Team]],_xlfn.ANCHORARRAY(Dashboard!$B$9),Dashboard!$D$9:$D$10,,0)</f>
        <v>1</v>
      </c>
      <c r="O204" t="b" cm="1">
        <f t="array" ref="O204">_xlfn.XLOOKUP(Sales_Data[[#This Row],[Sales Rep]],_xlfn.ANCHORARRAY(Dashboard!$B$13),Dashboard!$D$13:$D$17,,0)</f>
        <v>1</v>
      </c>
      <c r="P204" t="b" cm="1">
        <f t="array" ref="P204">_xlfn.XLOOKUP(Sales_Data[[#This Row],[Stage]],_xlfn.ANCHORARRAY(Dashboard!$B$20),Dashboard!$D$20:$D$25)</f>
        <v>1</v>
      </c>
      <c r="Q204" t="b" cm="1">
        <f t="array" ref="Q204">_xlfn.XLOOKUP(Sales_Data[[#This Row],[Lead Source]],_xlfn.ANCHORARRAY(Dashboard!$B$28),Dashboard!$D$28:$D$32)</f>
        <v>1</v>
      </c>
      <c r="R204">
        <f>Sales_Data[[#This Row],[Date inc]]*Sales_Data[[#This Row],[Team Inc]]*Sales_Data[[#This Row],[Rep Inc]]*Sales_Data[[#This Row],[Stage Inc]]*Sales_Data[[#This Row],[Source Inc]]</f>
        <v>1</v>
      </c>
    </row>
    <row r="205" spans="1:18" x14ac:dyDescent="0.3">
      <c r="A205" t="s">
        <v>212</v>
      </c>
      <c r="B205" s="2">
        <v>45561</v>
      </c>
      <c r="C205" t="s">
        <v>760</v>
      </c>
      <c r="D205" t="s">
        <v>764</v>
      </c>
      <c r="E205" t="s">
        <v>766</v>
      </c>
      <c r="F205" s="5">
        <v>50500</v>
      </c>
      <c r="G205" t="s">
        <v>780</v>
      </c>
      <c r="H205" s="2">
        <v>45651</v>
      </c>
      <c r="J205" t="str">
        <f>IF(Sales_Data[[#This Row],[Close Date]] &lt;&gt; 0,"Closed", "Open")</f>
        <v>Closed</v>
      </c>
      <c r="K205">
        <f>IF(Sales_Data[[#This Row],[Open/Closed]] = "Closed",Sales_Data[[#This Row],[Close Date]]-Sales_Data[[#This Row],[Created Date]],"")</f>
        <v>90</v>
      </c>
      <c r="L205" s="2">
        <f>EOMONTH(Sales_Data[[#This Row],[Created Date]],0)</f>
        <v>45565</v>
      </c>
      <c r="M205" t="b">
        <f>AND(Sales_Data[[#This Row],[EoM Created]]&gt;=Index!$E$5,Sales_Data[[#This Row],[EoM Created]]&lt;=Index!$E$4)</f>
        <v>1</v>
      </c>
      <c r="N205" t="b" cm="1">
        <f t="array" ref="N205">_xlfn.XLOOKUP(Sales_Data[[#This Row],[Sales Team]],_xlfn.ANCHORARRAY(Dashboard!$B$9),Dashboard!$D$9:$D$10,,0)</f>
        <v>1</v>
      </c>
      <c r="O205" t="b" cm="1">
        <f t="array" ref="O205">_xlfn.XLOOKUP(Sales_Data[[#This Row],[Sales Rep]],_xlfn.ANCHORARRAY(Dashboard!$B$13),Dashboard!$D$13:$D$17,,0)</f>
        <v>1</v>
      </c>
      <c r="P205" t="b" cm="1">
        <f t="array" ref="P205">_xlfn.XLOOKUP(Sales_Data[[#This Row],[Stage]],_xlfn.ANCHORARRAY(Dashboard!$B$20),Dashboard!$D$20:$D$25)</f>
        <v>1</v>
      </c>
      <c r="Q205" t="b" cm="1">
        <f t="array" ref="Q205">_xlfn.XLOOKUP(Sales_Data[[#This Row],[Lead Source]],_xlfn.ANCHORARRAY(Dashboard!$B$28),Dashboard!$D$28:$D$32)</f>
        <v>1</v>
      </c>
      <c r="R205">
        <f>Sales_Data[[#This Row],[Date inc]]*Sales_Data[[#This Row],[Team Inc]]*Sales_Data[[#This Row],[Rep Inc]]*Sales_Data[[#This Row],[Stage Inc]]*Sales_Data[[#This Row],[Source Inc]]</f>
        <v>1</v>
      </c>
    </row>
    <row r="206" spans="1:18" x14ac:dyDescent="0.3">
      <c r="A206" t="s">
        <v>213</v>
      </c>
      <c r="B206" s="2">
        <v>45797</v>
      </c>
      <c r="C206" t="s">
        <v>762</v>
      </c>
      <c r="D206" t="s">
        <v>764</v>
      </c>
      <c r="E206" t="s">
        <v>766</v>
      </c>
      <c r="F206" s="5">
        <v>26200</v>
      </c>
      <c r="G206" t="s">
        <v>771</v>
      </c>
      <c r="H206" s="2"/>
      <c r="J206" t="str">
        <f>IF(Sales_Data[[#This Row],[Close Date]] &lt;&gt; 0,"Closed", "Open")</f>
        <v>Open</v>
      </c>
      <c r="K206" t="str">
        <f>IF(Sales_Data[[#This Row],[Open/Closed]] = "Closed",Sales_Data[[#This Row],[Close Date]]-Sales_Data[[#This Row],[Created Date]],"")</f>
        <v/>
      </c>
      <c r="L206" s="2">
        <f>EOMONTH(Sales_Data[[#This Row],[Created Date]],0)</f>
        <v>45808</v>
      </c>
      <c r="M206" t="b">
        <f>AND(Sales_Data[[#This Row],[EoM Created]]&gt;=Index!$E$5,Sales_Data[[#This Row],[EoM Created]]&lt;=Index!$E$4)</f>
        <v>1</v>
      </c>
      <c r="N206" t="b" cm="1">
        <f t="array" ref="N206">_xlfn.XLOOKUP(Sales_Data[[#This Row],[Sales Team]],_xlfn.ANCHORARRAY(Dashboard!$B$9),Dashboard!$D$9:$D$10,,0)</f>
        <v>1</v>
      </c>
      <c r="O206" t="b" cm="1">
        <f t="array" ref="O206">_xlfn.XLOOKUP(Sales_Data[[#This Row],[Sales Rep]],_xlfn.ANCHORARRAY(Dashboard!$B$13),Dashboard!$D$13:$D$17,,0)</f>
        <v>1</v>
      </c>
      <c r="P206" t="b" cm="1">
        <f t="array" ref="P206">_xlfn.XLOOKUP(Sales_Data[[#This Row],[Stage]],_xlfn.ANCHORARRAY(Dashboard!$B$20),Dashboard!$D$20:$D$25)</f>
        <v>1</v>
      </c>
      <c r="Q206" t="b" cm="1">
        <f t="array" ref="Q206">_xlfn.XLOOKUP(Sales_Data[[#This Row],[Lead Source]],_xlfn.ANCHORARRAY(Dashboard!$B$28),Dashboard!$D$28:$D$32)</f>
        <v>1</v>
      </c>
      <c r="R206">
        <f>Sales_Data[[#This Row],[Date inc]]*Sales_Data[[#This Row],[Team Inc]]*Sales_Data[[#This Row],[Rep Inc]]*Sales_Data[[#This Row],[Stage Inc]]*Sales_Data[[#This Row],[Source Inc]]</f>
        <v>1</v>
      </c>
    </row>
    <row r="207" spans="1:18" x14ac:dyDescent="0.3">
      <c r="A207" t="s">
        <v>214</v>
      </c>
      <c r="B207" s="2">
        <v>45561</v>
      </c>
      <c r="C207" t="s">
        <v>763</v>
      </c>
      <c r="D207" t="s">
        <v>765</v>
      </c>
      <c r="E207" t="s">
        <v>768</v>
      </c>
      <c r="F207" s="5">
        <v>30600</v>
      </c>
      <c r="G207" t="s">
        <v>781</v>
      </c>
      <c r="H207" s="2">
        <v>45625</v>
      </c>
      <c r="I207" t="s">
        <v>775</v>
      </c>
      <c r="J207" t="str">
        <f>IF(Sales_Data[[#This Row],[Close Date]] &lt;&gt; 0,"Closed", "Open")</f>
        <v>Closed</v>
      </c>
      <c r="K207">
        <f>IF(Sales_Data[[#This Row],[Open/Closed]] = "Closed",Sales_Data[[#This Row],[Close Date]]-Sales_Data[[#This Row],[Created Date]],"")</f>
        <v>64</v>
      </c>
      <c r="L207" s="2">
        <f>EOMONTH(Sales_Data[[#This Row],[Created Date]],0)</f>
        <v>45565</v>
      </c>
      <c r="M207" t="b">
        <f>AND(Sales_Data[[#This Row],[EoM Created]]&gt;=Index!$E$5,Sales_Data[[#This Row],[EoM Created]]&lt;=Index!$E$4)</f>
        <v>1</v>
      </c>
      <c r="N207" t="b" cm="1">
        <f t="array" ref="N207">_xlfn.XLOOKUP(Sales_Data[[#This Row],[Sales Team]],_xlfn.ANCHORARRAY(Dashboard!$B$9),Dashboard!$D$9:$D$10,,0)</f>
        <v>1</v>
      </c>
      <c r="O207" t="b" cm="1">
        <f t="array" ref="O207">_xlfn.XLOOKUP(Sales_Data[[#This Row],[Sales Rep]],_xlfn.ANCHORARRAY(Dashboard!$B$13),Dashboard!$D$13:$D$17,,0)</f>
        <v>1</v>
      </c>
      <c r="P207" t="b" cm="1">
        <f t="array" ref="P207">_xlfn.XLOOKUP(Sales_Data[[#This Row],[Stage]],_xlfn.ANCHORARRAY(Dashboard!$B$20),Dashboard!$D$20:$D$25)</f>
        <v>1</v>
      </c>
      <c r="Q207" t="b" cm="1">
        <f t="array" ref="Q207">_xlfn.XLOOKUP(Sales_Data[[#This Row],[Lead Source]],_xlfn.ANCHORARRAY(Dashboard!$B$28),Dashboard!$D$28:$D$32)</f>
        <v>1</v>
      </c>
      <c r="R207">
        <f>Sales_Data[[#This Row],[Date inc]]*Sales_Data[[#This Row],[Team Inc]]*Sales_Data[[#This Row],[Rep Inc]]*Sales_Data[[#This Row],[Stage Inc]]*Sales_Data[[#This Row],[Source Inc]]</f>
        <v>1</v>
      </c>
    </row>
    <row r="208" spans="1:18" x14ac:dyDescent="0.3">
      <c r="A208" t="s">
        <v>215</v>
      </c>
      <c r="B208" s="2">
        <v>45258</v>
      </c>
      <c r="C208" t="s">
        <v>763</v>
      </c>
      <c r="D208" t="s">
        <v>765</v>
      </c>
      <c r="E208" t="s">
        <v>770</v>
      </c>
      <c r="F208" s="5">
        <v>45200</v>
      </c>
      <c r="G208" t="s">
        <v>781</v>
      </c>
      <c r="H208" s="2">
        <v>45328</v>
      </c>
      <c r="I208" t="s">
        <v>776</v>
      </c>
      <c r="J208" t="str">
        <f>IF(Sales_Data[[#This Row],[Close Date]] &lt;&gt; 0,"Closed", "Open")</f>
        <v>Closed</v>
      </c>
      <c r="K208">
        <f>IF(Sales_Data[[#This Row],[Open/Closed]] = "Closed",Sales_Data[[#This Row],[Close Date]]-Sales_Data[[#This Row],[Created Date]],"")</f>
        <v>70</v>
      </c>
      <c r="L208" s="2">
        <f>EOMONTH(Sales_Data[[#This Row],[Created Date]],0)</f>
        <v>45260</v>
      </c>
      <c r="M208" t="b">
        <f>AND(Sales_Data[[#This Row],[EoM Created]]&gt;=Index!$E$5,Sales_Data[[#This Row],[EoM Created]]&lt;=Index!$E$4)</f>
        <v>1</v>
      </c>
      <c r="N208" t="b" cm="1">
        <f t="array" ref="N208">_xlfn.XLOOKUP(Sales_Data[[#This Row],[Sales Team]],_xlfn.ANCHORARRAY(Dashboard!$B$9),Dashboard!$D$9:$D$10,,0)</f>
        <v>1</v>
      </c>
      <c r="O208" t="b" cm="1">
        <f t="array" ref="O208">_xlfn.XLOOKUP(Sales_Data[[#This Row],[Sales Rep]],_xlfn.ANCHORARRAY(Dashboard!$B$13),Dashboard!$D$13:$D$17,,0)</f>
        <v>1</v>
      </c>
      <c r="P208" t="b" cm="1">
        <f t="array" ref="P208">_xlfn.XLOOKUP(Sales_Data[[#This Row],[Stage]],_xlfn.ANCHORARRAY(Dashboard!$B$20),Dashboard!$D$20:$D$25)</f>
        <v>1</v>
      </c>
      <c r="Q208" t="b" cm="1">
        <f t="array" ref="Q208">_xlfn.XLOOKUP(Sales_Data[[#This Row],[Lead Source]],_xlfn.ANCHORARRAY(Dashboard!$B$28),Dashboard!$D$28:$D$32)</f>
        <v>1</v>
      </c>
      <c r="R208">
        <f>Sales_Data[[#This Row],[Date inc]]*Sales_Data[[#This Row],[Team Inc]]*Sales_Data[[#This Row],[Rep Inc]]*Sales_Data[[#This Row],[Stage Inc]]*Sales_Data[[#This Row],[Source Inc]]</f>
        <v>1</v>
      </c>
    </row>
    <row r="209" spans="1:18" x14ac:dyDescent="0.3">
      <c r="A209" t="s">
        <v>216</v>
      </c>
      <c r="B209" s="2">
        <v>45547</v>
      </c>
      <c r="C209" t="s">
        <v>762</v>
      </c>
      <c r="D209" t="s">
        <v>764</v>
      </c>
      <c r="E209" t="s">
        <v>767</v>
      </c>
      <c r="F209" s="5">
        <v>45100</v>
      </c>
      <c r="G209" t="s">
        <v>780</v>
      </c>
      <c r="H209" s="2">
        <v>45625</v>
      </c>
      <c r="J209" t="str">
        <f>IF(Sales_Data[[#This Row],[Close Date]] &lt;&gt; 0,"Closed", "Open")</f>
        <v>Closed</v>
      </c>
      <c r="K209">
        <f>IF(Sales_Data[[#This Row],[Open/Closed]] = "Closed",Sales_Data[[#This Row],[Close Date]]-Sales_Data[[#This Row],[Created Date]],"")</f>
        <v>78</v>
      </c>
      <c r="L209" s="2">
        <f>EOMONTH(Sales_Data[[#This Row],[Created Date]],0)</f>
        <v>45565</v>
      </c>
      <c r="M209" t="b">
        <f>AND(Sales_Data[[#This Row],[EoM Created]]&gt;=Index!$E$5,Sales_Data[[#This Row],[EoM Created]]&lt;=Index!$E$4)</f>
        <v>1</v>
      </c>
      <c r="N209" t="b" cm="1">
        <f t="array" ref="N209">_xlfn.XLOOKUP(Sales_Data[[#This Row],[Sales Team]],_xlfn.ANCHORARRAY(Dashboard!$B$9),Dashboard!$D$9:$D$10,,0)</f>
        <v>1</v>
      </c>
      <c r="O209" t="b" cm="1">
        <f t="array" ref="O209">_xlfn.XLOOKUP(Sales_Data[[#This Row],[Sales Rep]],_xlfn.ANCHORARRAY(Dashboard!$B$13),Dashboard!$D$13:$D$17,,0)</f>
        <v>1</v>
      </c>
      <c r="P209" t="b" cm="1">
        <f t="array" ref="P209">_xlfn.XLOOKUP(Sales_Data[[#This Row],[Stage]],_xlfn.ANCHORARRAY(Dashboard!$B$20),Dashboard!$D$20:$D$25)</f>
        <v>1</v>
      </c>
      <c r="Q209" t="b" cm="1">
        <f t="array" ref="Q209">_xlfn.XLOOKUP(Sales_Data[[#This Row],[Lead Source]],_xlfn.ANCHORARRAY(Dashboard!$B$28),Dashboard!$D$28:$D$32)</f>
        <v>1</v>
      </c>
      <c r="R209">
        <f>Sales_Data[[#This Row],[Date inc]]*Sales_Data[[#This Row],[Team Inc]]*Sales_Data[[#This Row],[Rep Inc]]*Sales_Data[[#This Row],[Stage Inc]]*Sales_Data[[#This Row],[Source Inc]]</f>
        <v>1</v>
      </c>
    </row>
    <row r="210" spans="1:18" x14ac:dyDescent="0.3">
      <c r="A210" t="s">
        <v>217</v>
      </c>
      <c r="B210" s="2">
        <v>45542</v>
      </c>
      <c r="C210" t="s">
        <v>763</v>
      </c>
      <c r="D210" t="s">
        <v>765</v>
      </c>
      <c r="E210" t="s">
        <v>769</v>
      </c>
      <c r="F210" s="5">
        <v>45200</v>
      </c>
      <c r="G210" t="s">
        <v>781</v>
      </c>
      <c r="H210" s="2">
        <v>45605</v>
      </c>
      <c r="I210" t="s">
        <v>775</v>
      </c>
      <c r="J210" t="str">
        <f>IF(Sales_Data[[#This Row],[Close Date]] &lt;&gt; 0,"Closed", "Open")</f>
        <v>Closed</v>
      </c>
      <c r="K210">
        <f>IF(Sales_Data[[#This Row],[Open/Closed]] = "Closed",Sales_Data[[#This Row],[Close Date]]-Sales_Data[[#This Row],[Created Date]],"")</f>
        <v>63</v>
      </c>
      <c r="L210" s="2">
        <f>EOMONTH(Sales_Data[[#This Row],[Created Date]],0)</f>
        <v>45565</v>
      </c>
      <c r="M210" t="b">
        <f>AND(Sales_Data[[#This Row],[EoM Created]]&gt;=Index!$E$5,Sales_Data[[#This Row],[EoM Created]]&lt;=Index!$E$4)</f>
        <v>1</v>
      </c>
      <c r="N210" t="b" cm="1">
        <f t="array" ref="N210">_xlfn.XLOOKUP(Sales_Data[[#This Row],[Sales Team]],_xlfn.ANCHORARRAY(Dashboard!$B$9),Dashboard!$D$9:$D$10,,0)</f>
        <v>1</v>
      </c>
      <c r="O210" t="b" cm="1">
        <f t="array" ref="O210">_xlfn.XLOOKUP(Sales_Data[[#This Row],[Sales Rep]],_xlfn.ANCHORARRAY(Dashboard!$B$13),Dashboard!$D$13:$D$17,,0)</f>
        <v>1</v>
      </c>
      <c r="P210" t="b" cm="1">
        <f t="array" ref="P210">_xlfn.XLOOKUP(Sales_Data[[#This Row],[Stage]],_xlfn.ANCHORARRAY(Dashboard!$B$20),Dashboard!$D$20:$D$25)</f>
        <v>1</v>
      </c>
      <c r="Q210" t="b" cm="1">
        <f t="array" ref="Q210">_xlfn.XLOOKUP(Sales_Data[[#This Row],[Lead Source]],_xlfn.ANCHORARRAY(Dashboard!$B$28),Dashboard!$D$28:$D$32)</f>
        <v>1</v>
      </c>
      <c r="R210">
        <f>Sales_Data[[#This Row],[Date inc]]*Sales_Data[[#This Row],[Team Inc]]*Sales_Data[[#This Row],[Rep Inc]]*Sales_Data[[#This Row],[Stage Inc]]*Sales_Data[[#This Row],[Source Inc]]</f>
        <v>1</v>
      </c>
    </row>
    <row r="211" spans="1:18" x14ac:dyDescent="0.3">
      <c r="A211" t="s">
        <v>218</v>
      </c>
      <c r="B211" s="2">
        <v>45155</v>
      </c>
      <c r="C211" t="s">
        <v>759</v>
      </c>
      <c r="D211" t="s">
        <v>764</v>
      </c>
      <c r="E211" t="s">
        <v>767</v>
      </c>
      <c r="F211" s="5">
        <v>78500</v>
      </c>
      <c r="G211" t="s">
        <v>781</v>
      </c>
      <c r="H211" s="2">
        <v>45216</v>
      </c>
      <c r="I211" t="s">
        <v>779</v>
      </c>
      <c r="J211" t="str">
        <f>IF(Sales_Data[[#This Row],[Close Date]] &lt;&gt; 0,"Closed", "Open")</f>
        <v>Closed</v>
      </c>
      <c r="K211">
        <f>IF(Sales_Data[[#This Row],[Open/Closed]] = "Closed",Sales_Data[[#This Row],[Close Date]]-Sales_Data[[#This Row],[Created Date]],"")</f>
        <v>61</v>
      </c>
      <c r="L211" s="2">
        <f>EOMONTH(Sales_Data[[#This Row],[Created Date]],0)</f>
        <v>45169</v>
      </c>
      <c r="M211" t="b">
        <f>AND(Sales_Data[[#This Row],[EoM Created]]&gt;=Index!$E$5,Sales_Data[[#This Row],[EoM Created]]&lt;=Index!$E$4)</f>
        <v>1</v>
      </c>
      <c r="N211" t="b" cm="1">
        <f t="array" ref="N211">_xlfn.XLOOKUP(Sales_Data[[#This Row],[Sales Team]],_xlfn.ANCHORARRAY(Dashboard!$B$9),Dashboard!$D$9:$D$10,,0)</f>
        <v>1</v>
      </c>
      <c r="O211" t="b" cm="1">
        <f t="array" ref="O211">_xlfn.XLOOKUP(Sales_Data[[#This Row],[Sales Rep]],_xlfn.ANCHORARRAY(Dashboard!$B$13),Dashboard!$D$13:$D$17,,0)</f>
        <v>1</v>
      </c>
      <c r="P211" t="b" cm="1">
        <f t="array" ref="P211">_xlfn.XLOOKUP(Sales_Data[[#This Row],[Stage]],_xlfn.ANCHORARRAY(Dashboard!$B$20),Dashboard!$D$20:$D$25)</f>
        <v>1</v>
      </c>
      <c r="Q211" t="b" cm="1">
        <f t="array" ref="Q211">_xlfn.XLOOKUP(Sales_Data[[#This Row],[Lead Source]],_xlfn.ANCHORARRAY(Dashboard!$B$28),Dashboard!$D$28:$D$32)</f>
        <v>1</v>
      </c>
      <c r="R211">
        <f>Sales_Data[[#This Row],[Date inc]]*Sales_Data[[#This Row],[Team Inc]]*Sales_Data[[#This Row],[Rep Inc]]*Sales_Data[[#This Row],[Stage Inc]]*Sales_Data[[#This Row],[Source Inc]]</f>
        <v>1</v>
      </c>
    </row>
    <row r="212" spans="1:18" x14ac:dyDescent="0.3">
      <c r="A212" t="s">
        <v>219</v>
      </c>
      <c r="B212" s="2">
        <v>45345</v>
      </c>
      <c r="C212" t="s">
        <v>759</v>
      </c>
      <c r="D212" t="s">
        <v>764</v>
      </c>
      <c r="E212" t="s">
        <v>767</v>
      </c>
      <c r="F212" s="5">
        <v>45700</v>
      </c>
      <c r="G212" t="s">
        <v>781</v>
      </c>
      <c r="H212" s="2">
        <v>45415</v>
      </c>
      <c r="I212" t="s">
        <v>776</v>
      </c>
      <c r="J212" t="str">
        <f>IF(Sales_Data[[#This Row],[Close Date]] &lt;&gt; 0,"Closed", "Open")</f>
        <v>Closed</v>
      </c>
      <c r="K212">
        <f>IF(Sales_Data[[#This Row],[Open/Closed]] = "Closed",Sales_Data[[#This Row],[Close Date]]-Sales_Data[[#This Row],[Created Date]],"")</f>
        <v>70</v>
      </c>
      <c r="L212" s="2">
        <f>EOMONTH(Sales_Data[[#This Row],[Created Date]],0)</f>
        <v>45351</v>
      </c>
      <c r="M212" t="b">
        <f>AND(Sales_Data[[#This Row],[EoM Created]]&gt;=Index!$E$5,Sales_Data[[#This Row],[EoM Created]]&lt;=Index!$E$4)</f>
        <v>1</v>
      </c>
      <c r="N212" t="b" cm="1">
        <f t="array" ref="N212">_xlfn.XLOOKUP(Sales_Data[[#This Row],[Sales Team]],_xlfn.ANCHORARRAY(Dashboard!$B$9),Dashboard!$D$9:$D$10,,0)</f>
        <v>1</v>
      </c>
      <c r="O212" t="b" cm="1">
        <f t="array" ref="O212">_xlfn.XLOOKUP(Sales_Data[[#This Row],[Sales Rep]],_xlfn.ANCHORARRAY(Dashboard!$B$13),Dashboard!$D$13:$D$17,,0)</f>
        <v>1</v>
      </c>
      <c r="P212" t="b" cm="1">
        <f t="array" ref="P212">_xlfn.XLOOKUP(Sales_Data[[#This Row],[Stage]],_xlfn.ANCHORARRAY(Dashboard!$B$20),Dashboard!$D$20:$D$25)</f>
        <v>1</v>
      </c>
      <c r="Q212" t="b" cm="1">
        <f t="array" ref="Q212">_xlfn.XLOOKUP(Sales_Data[[#This Row],[Lead Source]],_xlfn.ANCHORARRAY(Dashboard!$B$28),Dashboard!$D$28:$D$32)</f>
        <v>1</v>
      </c>
      <c r="R212">
        <f>Sales_Data[[#This Row],[Date inc]]*Sales_Data[[#This Row],[Team Inc]]*Sales_Data[[#This Row],[Rep Inc]]*Sales_Data[[#This Row],[Stage Inc]]*Sales_Data[[#This Row],[Source Inc]]</f>
        <v>1</v>
      </c>
    </row>
    <row r="213" spans="1:18" x14ac:dyDescent="0.3">
      <c r="A213" t="s">
        <v>220</v>
      </c>
      <c r="B213" s="2">
        <v>45303</v>
      </c>
      <c r="C213" t="s">
        <v>763</v>
      </c>
      <c r="D213" t="s">
        <v>765</v>
      </c>
      <c r="E213" t="s">
        <v>770</v>
      </c>
      <c r="F213" s="5">
        <v>51400</v>
      </c>
      <c r="G213" t="s">
        <v>780</v>
      </c>
      <c r="H213" s="2">
        <v>45365</v>
      </c>
      <c r="J213" t="str">
        <f>IF(Sales_Data[[#This Row],[Close Date]] &lt;&gt; 0,"Closed", "Open")</f>
        <v>Closed</v>
      </c>
      <c r="K213">
        <f>IF(Sales_Data[[#This Row],[Open/Closed]] = "Closed",Sales_Data[[#This Row],[Close Date]]-Sales_Data[[#This Row],[Created Date]],"")</f>
        <v>62</v>
      </c>
      <c r="L213" s="2">
        <f>EOMONTH(Sales_Data[[#This Row],[Created Date]],0)</f>
        <v>45322</v>
      </c>
      <c r="M213" t="b">
        <f>AND(Sales_Data[[#This Row],[EoM Created]]&gt;=Index!$E$5,Sales_Data[[#This Row],[EoM Created]]&lt;=Index!$E$4)</f>
        <v>1</v>
      </c>
      <c r="N213" t="b" cm="1">
        <f t="array" ref="N213">_xlfn.XLOOKUP(Sales_Data[[#This Row],[Sales Team]],_xlfn.ANCHORARRAY(Dashboard!$B$9),Dashboard!$D$9:$D$10,,0)</f>
        <v>1</v>
      </c>
      <c r="O213" t="b" cm="1">
        <f t="array" ref="O213">_xlfn.XLOOKUP(Sales_Data[[#This Row],[Sales Rep]],_xlfn.ANCHORARRAY(Dashboard!$B$13),Dashboard!$D$13:$D$17,,0)</f>
        <v>1</v>
      </c>
      <c r="P213" t="b" cm="1">
        <f t="array" ref="P213">_xlfn.XLOOKUP(Sales_Data[[#This Row],[Stage]],_xlfn.ANCHORARRAY(Dashboard!$B$20),Dashboard!$D$20:$D$25)</f>
        <v>1</v>
      </c>
      <c r="Q213" t="b" cm="1">
        <f t="array" ref="Q213">_xlfn.XLOOKUP(Sales_Data[[#This Row],[Lead Source]],_xlfn.ANCHORARRAY(Dashboard!$B$28),Dashboard!$D$28:$D$32)</f>
        <v>1</v>
      </c>
      <c r="R213">
        <f>Sales_Data[[#This Row],[Date inc]]*Sales_Data[[#This Row],[Team Inc]]*Sales_Data[[#This Row],[Rep Inc]]*Sales_Data[[#This Row],[Stage Inc]]*Sales_Data[[#This Row],[Source Inc]]</f>
        <v>1</v>
      </c>
    </row>
    <row r="214" spans="1:18" x14ac:dyDescent="0.3">
      <c r="A214" t="s">
        <v>221</v>
      </c>
      <c r="B214" s="2">
        <v>45277</v>
      </c>
      <c r="C214" t="s">
        <v>763</v>
      </c>
      <c r="D214" t="s">
        <v>765</v>
      </c>
      <c r="E214" t="s">
        <v>770</v>
      </c>
      <c r="F214" s="5">
        <v>49500</v>
      </c>
      <c r="G214" t="s">
        <v>781</v>
      </c>
      <c r="H214" s="2">
        <v>45346</v>
      </c>
      <c r="I214" t="s">
        <v>776</v>
      </c>
      <c r="J214" t="str">
        <f>IF(Sales_Data[[#This Row],[Close Date]] &lt;&gt; 0,"Closed", "Open")</f>
        <v>Closed</v>
      </c>
      <c r="K214">
        <f>IF(Sales_Data[[#This Row],[Open/Closed]] = "Closed",Sales_Data[[#This Row],[Close Date]]-Sales_Data[[#This Row],[Created Date]],"")</f>
        <v>69</v>
      </c>
      <c r="L214" s="2">
        <f>EOMONTH(Sales_Data[[#This Row],[Created Date]],0)</f>
        <v>45291</v>
      </c>
      <c r="M214" t="b">
        <f>AND(Sales_Data[[#This Row],[EoM Created]]&gt;=Index!$E$5,Sales_Data[[#This Row],[EoM Created]]&lt;=Index!$E$4)</f>
        <v>1</v>
      </c>
      <c r="N214" t="b" cm="1">
        <f t="array" ref="N214">_xlfn.XLOOKUP(Sales_Data[[#This Row],[Sales Team]],_xlfn.ANCHORARRAY(Dashboard!$B$9),Dashboard!$D$9:$D$10,,0)</f>
        <v>1</v>
      </c>
      <c r="O214" t="b" cm="1">
        <f t="array" ref="O214">_xlfn.XLOOKUP(Sales_Data[[#This Row],[Sales Rep]],_xlfn.ANCHORARRAY(Dashboard!$B$13),Dashboard!$D$13:$D$17,,0)</f>
        <v>1</v>
      </c>
      <c r="P214" t="b" cm="1">
        <f t="array" ref="P214">_xlfn.XLOOKUP(Sales_Data[[#This Row],[Stage]],_xlfn.ANCHORARRAY(Dashboard!$B$20),Dashboard!$D$20:$D$25)</f>
        <v>1</v>
      </c>
      <c r="Q214" t="b" cm="1">
        <f t="array" ref="Q214">_xlfn.XLOOKUP(Sales_Data[[#This Row],[Lead Source]],_xlfn.ANCHORARRAY(Dashboard!$B$28),Dashboard!$D$28:$D$32)</f>
        <v>1</v>
      </c>
      <c r="R214">
        <f>Sales_Data[[#This Row],[Date inc]]*Sales_Data[[#This Row],[Team Inc]]*Sales_Data[[#This Row],[Rep Inc]]*Sales_Data[[#This Row],[Stage Inc]]*Sales_Data[[#This Row],[Source Inc]]</f>
        <v>1</v>
      </c>
    </row>
    <row r="215" spans="1:18" x14ac:dyDescent="0.3">
      <c r="A215" t="s">
        <v>222</v>
      </c>
      <c r="B215" s="2">
        <v>45081</v>
      </c>
      <c r="C215" t="s">
        <v>760</v>
      </c>
      <c r="D215" t="s">
        <v>764</v>
      </c>
      <c r="E215" t="s">
        <v>766</v>
      </c>
      <c r="F215" s="5">
        <v>46500</v>
      </c>
      <c r="G215" t="s">
        <v>781</v>
      </c>
      <c r="H215" s="2">
        <v>45171</v>
      </c>
      <c r="I215" t="s">
        <v>776</v>
      </c>
      <c r="J215" t="str">
        <f>IF(Sales_Data[[#This Row],[Close Date]] &lt;&gt; 0,"Closed", "Open")</f>
        <v>Closed</v>
      </c>
      <c r="K215">
        <f>IF(Sales_Data[[#This Row],[Open/Closed]] = "Closed",Sales_Data[[#This Row],[Close Date]]-Sales_Data[[#This Row],[Created Date]],"")</f>
        <v>90</v>
      </c>
      <c r="L215" s="2">
        <f>EOMONTH(Sales_Data[[#This Row],[Created Date]],0)</f>
        <v>45107</v>
      </c>
      <c r="M215" t="b">
        <f>AND(Sales_Data[[#This Row],[EoM Created]]&gt;=Index!$E$5,Sales_Data[[#This Row],[EoM Created]]&lt;=Index!$E$4)</f>
        <v>0</v>
      </c>
      <c r="N215" t="b" cm="1">
        <f t="array" ref="N215">_xlfn.XLOOKUP(Sales_Data[[#This Row],[Sales Team]],_xlfn.ANCHORARRAY(Dashboard!$B$9),Dashboard!$D$9:$D$10,,0)</f>
        <v>1</v>
      </c>
      <c r="O215" t="b" cm="1">
        <f t="array" ref="O215">_xlfn.XLOOKUP(Sales_Data[[#This Row],[Sales Rep]],_xlfn.ANCHORARRAY(Dashboard!$B$13),Dashboard!$D$13:$D$17,,0)</f>
        <v>1</v>
      </c>
      <c r="P215" t="b" cm="1">
        <f t="array" ref="P215">_xlfn.XLOOKUP(Sales_Data[[#This Row],[Stage]],_xlfn.ANCHORARRAY(Dashboard!$B$20),Dashboard!$D$20:$D$25)</f>
        <v>1</v>
      </c>
      <c r="Q215" t="b" cm="1">
        <f t="array" ref="Q215">_xlfn.XLOOKUP(Sales_Data[[#This Row],[Lead Source]],_xlfn.ANCHORARRAY(Dashboard!$B$28),Dashboard!$D$28:$D$32)</f>
        <v>1</v>
      </c>
      <c r="R215">
        <f>Sales_Data[[#This Row],[Date inc]]*Sales_Data[[#This Row],[Team Inc]]*Sales_Data[[#This Row],[Rep Inc]]*Sales_Data[[#This Row],[Stage Inc]]*Sales_Data[[#This Row],[Source Inc]]</f>
        <v>0</v>
      </c>
    </row>
    <row r="216" spans="1:18" x14ac:dyDescent="0.3">
      <c r="A216" t="s">
        <v>223</v>
      </c>
      <c r="B216" s="2">
        <v>45533</v>
      </c>
      <c r="C216" t="s">
        <v>762</v>
      </c>
      <c r="D216" t="s">
        <v>764</v>
      </c>
      <c r="E216" t="s">
        <v>766</v>
      </c>
      <c r="F216" s="5">
        <v>36800</v>
      </c>
      <c r="G216" t="s">
        <v>780</v>
      </c>
      <c r="H216" s="2">
        <v>45616</v>
      </c>
      <c r="J216" t="str">
        <f>IF(Sales_Data[[#This Row],[Close Date]] &lt;&gt; 0,"Closed", "Open")</f>
        <v>Closed</v>
      </c>
      <c r="K216">
        <f>IF(Sales_Data[[#This Row],[Open/Closed]] = "Closed",Sales_Data[[#This Row],[Close Date]]-Sales_Data[[#This Row],[Created Date]],"")</f>
        <v>83</v>
      </c>
      <c r="L216" s="2">
        <f>EOMONTH(Sales_Data[[#This Row],[Created Date]],0)</f>
        <v>45535</v>
      </c>
      <c r="M216" t="b">
        <f>AND(Sales_Data[[#This Row],[EoM Created]]&gt;=Index!$E$5,Sales_Data[[#This Row],[EoM Created]]&lt;=Index!$E$4)</f>
        <v>1</v>
      </c>
      <c r="N216" t="b" cm="1">
        <f t="array" ref="N216">_xlfn.XLOOKUP(Sales_Data[[#This Row],[Sales Team]],_xlfn.ANCHORARRAY(Dashboard!$B$9),Dashboard!$D$9:$D$10,,0)</f>
        <v>1</v>
      </c>
      <c r="O216" t="b" cm="1">
        <f t="array" ref="O216">_xlfn.XLOOKUP(Sales_Data[[#This Row],[Sales Rep]],_xlfn.ANCHORARRAY(Dashboard!$B$13),Dashboard!$D$13:$D$17,,0)</f>
        <v>1</v>
      </c>
      <c r="P216" t="b" cm="1">
        <f t="array" ref="P216">_xlfn.XLOOKUP(Sales_Data[[#This Row],[Stage]],_xlfn.ANCHORARRAY(Dashboard!$B$20),Dashboard!$D$20:$D$25)</f>
        <v>1</v>
      </c>
      <c r="Q216" t="b" cm="1">
        <f t="array" ref="Q216">_xlfn.XLOOKUP(Sales_Data[[#This Row],[Lead Source]],_xlfn.ANCHORARRAY(Dashboard!$B$28),Dashboard!$D$28:$D$32)</f>
        <v>1</v>
      </c>
      <c r="R216">
        <f>Sales_Data[[#This Row],[Date inc]]*Sales_Data[[#This Row],[Team Inc]]*Sales_Data[[#This Row],[Rep Inc]]*Sales_Data[[#This Row],[Stage Inc]]*Sales_Data[[#This Row],[Source Inc]]</f>
        <v>1</v>
      </c>
    </row>
    <row r="217" spans="1:18" x14ac:dyDescent="0.3">
      <c r="A217" t="s">
        <v>224</v>
      </c>
      <c r="B217" s="2">
        <v>45116</v>
      </c>
      <c r="C217" t="s">
        <v>763</v>
      </c>
      <c r="D217" t="s">
        <v>765</v>
      </c>
      <c r="E217" t="s">
        <v>768</v>
      </c>
      <c r="F217" s="5">
        <v>47600</v>
      </c>
      <c r="G217" t="s">
        <v>781</v>
      </c>
      <c r="H217" s="2">
        <v>45179</v>
      </c>
      <c r="I217" t="s">
        <v>776</v>
      </c>
      <c r="J217" t="str">
        <f>IF(Sales_Data[[#This Row],[Close Date]] &lt;&gt; 0,"Closed", "Open")</f>
        <v>Closed</v>
      </c>
      <c r="K217">
        <f>IF(Sales_Data[[#This Row],[Open/Closed]] = "Closed",Sales_Data[[#This Row],[Close Date]]-Sales_Data[[#This Row],[Created Date]],"")</f>
        <v>63</v>
      </c>
      <c r="L217" s="2">
        <f>EOMONTH(Sales_Data[[#This Row],[Created Date]],0)</f>
        <v>45138</v>
      </c>
      <c r="M217" t="b">
        <f>AND(Sales_Data[[#This Row],[EoM Created]]&gt;=Index!$E$5,Sales_Data[[#This Row],[EoM Created]]&lt;=Index!$E$4)</f>
        <v>1</v>
      </c>
      <c r="N217" t="b" cm="1">
        <f t="array" ref="N217">_xlfn.XLOOKUP(Sales_Data[[#This Row],[Sales Team]],_xlfn.ANCHORARRAY(Dashboard!$B$9),Dashboard!$D$9:$D$10,,0)</f>
        <v>1</v>
      </c>
      <c r="O217" t="b" cm="1">
        <f t="array" ref="O217">_xlfn.XLOOKUP(Sales_Data[[#This Row],[Sales Rep]],_xlfn.ANCHORARRAY(Dashboard!$B$13),Dashboard!$D$13:$D$17,,0)</f>
        <v>1</v>
      </c>
      <c r="P217" t="b" cm="1">
        <f t="array" ref="P217">_xlfn.XLOOKUP(Sales_Data[[#This Row],[Stage]],_xlfn.ANCHORARRAY(Dashboard!$B$20),Dashboard!$D$20:$D$25)</f>
        <v>1</v>
      </c>
      <c r="Q217" t="b" cm="1">
        <f t="array" ref="Q217">_xlfn.XLOOKUP(Sales_Data[[#This Row],[Lead Source]],_xlfn.ANCHORARRAY(Dashboard!$B$28),Dashboard!$D$28:$D$32)</f>
        <v>1</v>
      </c>
      <c r="R217">
        <f>Sales_Data[[#This Row],[Date inc]]*Sales_Data[[#This Row],[Team Inc]]*Sales_Data[[#This Row],[Rep Inc]]*Sales_Data[[#This Row],[Stage Inc]]*Sales_Data[[#This Row],[Source Inc]]</f>
        <v>1</v>
      </c>
    </row>
    <row r="218" spans="1:18" x14ac:dyDescent="0.3">
      <c r="A218" t="s">
        <v>225</v>
      </c>
      <c r="B218" s="2">
        <v>45705</v>
      </c>
      <c r="C218" t="s">
        <v>759</v>
      </c>
      <c r="D218" t="s">
        <v>764</v>
      </c>
      <c r="E218" t="s">
        <v>766</v>
      </c>
      <c r="F218" s="5">
        <v>32300</v>
      </c>
      <c r="G218" t="s">
        <v>781</v>
      </c>
      <c r="H218" s="2">
        <v>45772</v>
      </c>
      <c r="I218" t="s">
        <v>775</v>
      </c>
      <c r="J218" t="str">
        <f>IF(Sales_Data[[#This Row],[Close Date]] &lt;&gt; 0,"Closed", "Open")</f>
        <v>Closed</v>
      </c>
      <c r="K218">
        <f>IF(Sales_Data[[#This Row],[Open/Closed]] = "Closed",Sales_Data[[#This Row],[Close Date]]-Sales_Data[[#This Row],[Created Date]],"")</f>
        <v>67</v>
      </c>
      <c r="L218" s="2">
        <f>EOMONTH(Sales_Data[[#This Row],[Created Date]],0)</f>
        <v>45716</v>
      </c>
      <c r="M218" t="b">
        <f>AND(Sales_Data[[#This Row],[EoM Created]]&gt;=Index!$E$5,Sales_Data[[#This Row],[EoM Created]]&lt;=Index!$E$4)</f>
        <v>1</v>
      </c>
      <c r="N218" t="b" cm="1">
        <f t="array" ref="N218">_xlfn.XLOOKUP(Sales_Data[[#This Row],[Sales Team]],_xlfn.ANCHORARRAY(Dashboard!$B$9),Dashboard!$D$9:$D$10,,0)</f>
        <v>1</v>
      </c>
      <c r="O218" t="b" cm="1">
        <f t="array" ref="O218">_xlfn.XLOOKUP(Sales_Data[[#This Row],[Sales Rep]],_xlfn.ANCHORARRAY(Dashboard!$B$13),Dashboard!$D$13:$D$17,,0)</f>
        <v>1</v>
      </c>
      <c r="P218" t="b" cm="1">
        <f t="array" ref="P218">_xlfn.XLOOKUP(Sales_Data[[#This Row],[Stage]],_xlfn.ANCHORARRAY(Dashboard!$B$20),Dashboard!$D$20:$D$25)</f>
        <v>1</v>
      </c>
      <c r="Q218" t="b" cm="1">
        <f t="array" ref="Q218">_xlfn.XLOOKUP(Sales_Data[[#This Row],[Lead Source]],_xlfn.ANCHORARRAY(Dashboard!$B$28),Dashboard!$D$28:$D$32)</f>
        <v>1</v>
      </c>
      <c r="R218">
        <f>Sales_Data[[#This Row],[Date inc]]*Sales_Data[[#This Row],[Team Inc]]*Sales_Data[[#This Row],[Rep Inc]]*Sales_Data[[#This Row],[Stage Inc]]*Sales_Data[[#This Row],[Source Inc]]</f>
        <v>1</v>
      </c>
    </row>
    <row r="219" spans="1:18" x14ac:dyDescent="0.3">
      <c r="A219" t="s">
        <v>226</v>
      </c>
      <c r="B219" s="2">
        <v>45542</v>
      </c>
      <c r="C219" t="s">
        <v>761</v>
      </c>
      <c r="D219" t="s">
        <v>765</v>
      </c>
      <c r="E219" t="s">
        <v>768</v>
      </c>
      <c r="F219" s="5">
        <v>37600</v>
      </c>
      <c r="G219" t="s">
        <v>780</v>
      </c>
      <c r="H219" s="2">
        <v>45613</v>
      </c>
      <c r="J219" t="str">
        <f>IF(Sales_Data[[#This Row],[Close Date]] &lt;&gt; 0,"Closed", "Open")</f>
        <v>Closed</v>
      </c>
      <c r="K219">
        <f>IF(Sales_Data[[#This Row],[Open/Closed]] = "Closed",Sales_Data[[#This Row],[Close Date]]-Sales_Data[[#This Row],[Created Date]],"")</f>
        <v>71</v>
      </c>
      <c r="L219" s="2">
        <f>EOMONTH(Sales_Data[[#This Row],[Created Date]],0)</f>
        <v>45565</v>
      </c>
      <c r="M219" t="b">
        <f>AND(Sales_Data[[#This Row],[EoM Created]]&gt;=Index!$E$5,Sales_Data[[#This Row],[EoM Created]]&lt;=Index!$E$4)</f>
        <v>1</v>
      </c>
      <c r="N219" t="b" cm="1">
        <f t="array" ref="N219">_xlfn.XLOOKUP(Sales_Data[[#This Row],[Sales Team]],_xlfn.ANCHORARRAY(Dashboard!$B$9),Dashboard!$D$9:$D$10,,0)</f>
        <v>1</v>
      </c>
      <c r="O219" t="b" cm="1">
        <f t="array" ref="O219">_xlfn.XLOOKUP(Sales_Data[[#This Row],[Sales Rep]],_xlfn.ANCHORARRAY(Dashboard!$B$13),Dashboard!$D$13:$D$17,,0)</f>
        <v>1</v>
      </c>
      <c r="P219" t="b" cm="1">
        <f t="array" ref="P219">_xlfn.XLOOKUP(Sales_Data[[#This Row],[Stage]],_xlfn.ANCHORARRAY(Dashboard!$B$20),Dashboard!$D$20:$D$25)</f>
        <v>1</v>
      </c>
      <c r="Q219" t="b" cm="1">
        <f t="array" ref="Q219">_xlfn.XLOOKUP(Sales_Data[[#This Row],[Lead Source]],_xlfn.ANCHORARRAY(Dashboard!$B$28),Dashboard!$D$28:$D$32)</f>
        <v>1</v>
      </c>
      <c r="R219">
        <f>Sales_Data[[#This Row],[Date inc]]*Sales_Data[[#This Row],[Team Inc]]*Sales_Data[[#This Row],[Rep Inc]]*Sales_Data[[#This Row],[Stage Inc]]*Sales_Data[[#This Row],[Source Inc]]</f>
        <v>1</v>
      </c>
    </row>
    <row r="220" spans="1:18" x14ac:dyDescent="0.3">
      <c r="A220" t="s">
        <v>227</v>
      </c>
      <c r="B220" s="2">
        <v>45577</v>
      </c>
      <c r="C220" t="s">
        <v>760</v>
      </c>
      <c r="D220" t="s">
        <v>764</v>
      </c>
      <c r="E220" t="s">
        <v>766</v>
      </c>
      <c r="F220" s="5">
        <v>35100</v>
      </c>
      <c r="G220" t="s">
        <v>780</v>
      </c>
      <c r="H220" s="2">
        <v>45655</v>
      </c>
      <c r="J220" t="str">
        <f>IF(Sales_Data[[#This Row],[Close Date]] &lt;&gt; 0,"Closed", "Open")</f>
        <v>Closed</v>
      </c>
      <c r="K220">
        <f>IF(Sales_Data[[#This Row],[Open/Closed]] = "Closed",Sales_Data[[#This Row],[Close Date]]-Sales_Data[[#This Row],[Created Date]],"")</f>
        <v>78</v>
      </c>
      <c r="L220" s="2">
        <f>EOMONTH(Sales_Data[[#This Row],[Created Date]],0)</f>
        <v>45596</v>
      </c>
      <c r="M220" t="b">
        <f>AND(Sales_Data[[#This Row],[EoM Created]]&gt;=Index!$E$5,Sales_Data[[#This Row],[EoM Created]]&lt;=Index!$E$4)</f>
        <v>1</v>
      </c>
      <c r="N220" t="b" cm="1">
        <f t="array" ref="N220">_xlfn.XLOOKUP(Sales_Data[[#This Row],[Sales Team]],_xlfn.ANCHORARRAY(Dashboard!$B$9),Dashboard!$D$9:$D$10,,0)</f>
        <v>1</v>
      </c>
      <c r="O220" t="b" cm="1">
        <f t="array" ref="O220">_xlfn.XLOOKUP(Sales_Data[[#This Row],[Sales Rep]],_xlfn.ANCHORARRAY(Dashboard!$B$13),Dashboard!$D$13:$D$17,,0)</f>
        <v>1</v>
      </c>
      <c r="P220" t="b" cm="1">
        <f t="array" ref="P220">_xlfn.XLOOKUP(Sales_Data[[#This Row],[Stage]],_xlfn.ANCHORARRAY(Dashboard!$B$20),Dashboard!$D$20:$D$25)</f>
        <v>1</v>
      </c>
      <c r="Q220" t="b" cm="1">
        <f t="array" ref="Q220">_xlfn.XLOOKUP(Sales_Data[[#This Row],[Lead Source]],_xlfn.ANCHORARRAY(Dashboard!$B$28),Dashboard!$D$28:$D$32)</f>
        <v>1</v>
      </c>
      <c r="R220">
        <f>Sales_Data[[#This Row],[Date inc]]*Sales_Data[[#This Row],[Team Inc]]*Sales_Data[[#This Row],[Rep Inc]]*Sales_Data[[#This Row],[Stage Inc]]*Sales_Data[[#This Row],[Source Inc]]</f>
        <v>1</v>
      </c>
    </row>
    <row r="221" spans="1:18" x14ac:dyDescent="0.3">
      <c r="A221" t="s">
        <v>228</v>
      </c>
      <c r="B221" s="2">
        <v>45226</v>
      </c>
      <c r="C221" t="s">
        <v>759</v>
      </c>
      <c r="D221" t="s">
        <v>764</v>
      </c>
      <c r="E221" t="s">
        <v>766</v>
      </c>
      <c r="F221" s="5">
        <v>40800</v>
      </c>
      <c r="G221" t="s">
        <v>781</v>
      </c>
      <c r="H221" s="2">
        <v>45292</v>
      </c>
      <c r="I221" t="s">
        <v>777</v>
      </c>
      <c r="J221" t="str">
        <f>IF(Sales_Data[[#This Row],[Close Date]] &lt;&gt; 0,"Closed", "Open")</f>
        <v>Closed</v>
      </c>
      <c r="K221">
        <f>IF(Sales_Data[[#This Row],[Open/Closed]] = "Closed",Sales_Data[[#This Row],[Close Date]]-Sales_Data[[#This Row],[Created Date]],"")</f>
        <v>66</v>
      </c>
      <c r="L221" s="2">
        <f>EOMONTH(Sales_Data[[#This Row],[Created Date]],0)</f>
        <v>45230</v>
      </c>
      <c r="M221" t="b">
        <f>AND(Sales_Data[[#This Row],[EoM Created]]&gt;=Index!$E$5,Sales_Data[[#This Row],[EoM Created]]&lt;=Index!$E$4)</f>
        <v>1</v>
      </c>
      <c r="N221" t="b" cm="1">
        <f t="array" ref="N221">_xlfn.XLOOKUP(Sales_Data[[#This Row],[Sales Team]],_xlfn.ANCHORARRAY(Dashboard!$B$9),Dashboard!$D$9:$D$10,,0)</f>
        <v>1</v>
      </c>
      <c r="O221" t="b" cm="1">
        <f t="array" ref="O221">_xlfn.XLOOKUP(Sales_Data[[#This Row],[Sales Rep]],_xlfn.ANCHORARRAY(Dashboard!$B$13),Dashboard!$D$13:$D$17,,0)</f>
        <v>1</v>
      </c>
      <c r="P221" t="b" cm="1">
        <f t="array" ref="P221">_xlfn.XLOOKUP(Sales_Data[[#This Row],[Stage]],_xlfn.ANCHORARRAY(Dashboard!$B$20),Dashboard!$D$20:$D$25)</f>
        <v>1</v>
      </c>
      <c r="Q221" t="b" cm="1">
        <f t="array" ref="Q221">_xlfn.XLOOKUP(Sales_Data[[#This Row],[Lead Source]],_xlfn.ANCHORARRAY(Dashboard!$B$28),Dashboard!$D$28:$D$32)</f>
        <v>1</v>
      </c>
      <c r="R221">
        <f>Sales_Data[[#This Row],[Date inc]]*Sales_Data[[#This Row],[Team Inc]]*Sales_Data[[#This Row],[Rep Inc]]*Sales_Data[[#This Row],[Stage Inc]]*Sales_Data[[#This Row],[Source Inc]]</f>
        <v>1</v>
      </c>
    </row>
    <row r="222" spans="1:18" x14ac:dyDescent="0.3">
      <c r="A222" t="s">
        <v>229</v>
      </c>
      <c r="B222" s="2">
        <v>45347</v>
      </c>
      <c r="C222" t="s">
        <v>762</v>
      </c>
      <c r="D222" t="s">
        <v>764</v>
      </c>
      <c r="E222" t="s">
        <v>766</v>
      </c>
      <c r="F222" s="5">
        <v>63100</v>
      </c>
      <c r="G222" t="s">
        <v>780</v>
      </c>
      <c r="H222" s="2">
        <v>45433</v>
      </c>
      <c r="J222" t="str">
        <f>IF(Sales_Data[[#This Row],[Close Date]] &lt;&gt; 0,"Closed", "Open")</f>
        <v>Closed</v>
      </c>
      <c r="K222">
        <f>IF(Sales_Data[[#This Row],[Open/Closed]] = "Closed",Sales_Data[[#This Row],[Close Date]]-Sales_Data[[#This Row],[Created Date]],"")</f>
        <v>86</v>
      </c>
      <c r="L222" s="2">
        <f>EOMONTH(Sales_Data[[#This Row],[Created Date]],0)</f>
        <v>45351</v>
      </c>
      <c r="M222" t="b">
        <f>AND(Sales_Data[[#This Row],[EoM Created]]&gt;=Index!$E$5,Sales_Data[[#This Row],[EoM Created]]&lt;=Index!$E$4)</f>
        <v>1</v>
      </c>
      <c r="N222" t="b" cm="1">
        <f t="array" ref="N222">_xlfn.XLOOKUP(Sales_Data[[#This Row],[Sales Team]],_xlfn.ANCHORARRAY(Dashboard!$B$9),Dashboard!$D$9:$D$10,,0)</f>
        <v>1</v>
      </c>
      <c r="O222" t="b" cm="1">
        <f t="array" ref="O222">_xlfn.XLOOKUP(Sales_Data[[#This Row],[Sales Rep]],_xlfn.ANCHORARRAY(Dashboard!$B$13),Dashboard!$D$13:$D$17,,0)</f>
        <v>1</v>
      </c>
      <c r="P222" t="b" cm="1">
        <f t="array" ref="P222">_xlfn.XLOOKUP(Sales_Data[[#This Row],[Stage]],_xlfn.ANCHORARRAY(Dashboard!$B$20),Dashboard!$D$20:$D$25)</f>
        <v>1</v>
      </c>
      <c r="Q222" t="b" cm="1">
        <f t="array" ref="Q222">_xlfn.XLOOKUP(Sales_Data[[#This Row],[Lead Source]],_xlfn.ANCHORARRAY(Dashboard!$B$28),Dashboard!$D$28:$D$32)</f>
        <v>1</v>
      </c>
      <c r="R222">
        <f>Sales_Data[[#This Row],[Date inc]]*Sales_Data[[#This Row],[Team Inc]]*Sales_Data[[#This Row],[Rep Inc]]*Sales_Data[[#This Row],[Stage Inc]]*Sales_Data[[#This Row],[Source Inc]]</f>
        <v>1</v>
      </c>
    </row>
    <row r="223" spans="1:18" x14ac:dyDescent="0.3">
      <c r="A223" t="s">
        <v>230</v>
      </c>
      <c r="B223" s="2">
        <v>45677</v>
      </c>
      <c r="C223" t="s">
        <v>761</v>
      </c>
      <c r="D223" t="s">
        <v>765</v>
      </c>
      <c r="E223" t="s">
        <v>770</v>
      </c>
      <c r="F223" s="5">
        <v>21300</v>
      </c>
      <c r="G223" t="s">
        <v>781</v>
      </c>
      <c r="H223" s="2">
        <v>45737</v>
      </c>
      <c r="I223" t="s">
        <v>775</v>
      </c>
      <c r="J223" t="str">
        <f>IF(Sales_Data[[#This Row],[Close Date]] &lt;&gt; 0,"Closed", "Open")</f>
        <v>Closed</v>
      </c>
      <c r="K223">
        <f>IF(Sales_Data[[#This Row],[Open/Closed]] = "Closed",Sales_Data[[#This Row],[Close Date]]-Sales_Data[[#This Row],[Created Date]],"")</f>
        <v>60</v>
      </c>
      <c r="L223" s="2">
        <f>EOMONTH(Sales_Data[[#This Row],[Created Date]],0)</f>
        <v>45688</v>
      </c>
      <c r="M223" t="b">
        <f>AND(Sales_Data[[#This Row],[EoM Created]]&gt;=Index!$E$5,Sales_Data[[#This Row],[EoM Created]]&lt;=Index!$E$4)</f>
        <v>1</v>
      </c>
      <c r="N223" t="b" cm="1">
        <f t="array" ref="N223">_xlfn.XLOOKUP(Sales_Data[[#This Row],[Sales Team]],_xlfn.ANCHORARRAY(Dashboard!$B$9),Dashboard!$D$9:$D$10,,0)</f>
        <v>1</v>
      </c>
      <c r="O223" t="b" cm="1">
        <f t="array" ref="O223">_xlfn.XLOOKUP(Sales_Data[[#This Row],[Sales Rep]],_xlfn.ANCHORARRAY(Dashboard!$B$13),Dashboard!$D$13:$D$17,,0)</f>
        <v>1</v>
      </c>
      <c r="P223" t="b" cm="1">
        <f t="array" ref="P223">_xlfn.XLOOKUP(Sales_Data[[#This Row],[Stage]],_xlfn.ANCHORARRAY(Dashboard!$B$20),Dashboard!$D$20:$D$25)</f>
        <v>1</v>
      </c>
      <c r="Q223" t="b" cm="1">
        <f t="array" ref="Q223">_xlfn.XLOOKUP(Sales_Data[[#This Row],[Lead Source]],_xlfn.ANCHORARRAY(Dashboard!$B$28),Dashboard!$D$28:$D$32)</f>
        <v>1</v>
      </c>
      <c r="R223">
        <f>Sales_Data[[#This Row],[Date inc]]*Sales_Data[[#This Row],[Team Inc]]*Sales_Data[[#This Row],[Rep Inc]]*Sales_Data[[#This Row],[Stage Inc]]*Sales_Data[[#This Row],[Source Inc]]</f>
        <v>1</v>
      </c>
    </row>
    <row r="224" spans="1:18" x14ac:dyDescent="0.3">
      <c r="A224" t="s">
        <v>231</v>
      </c>
      <c r="B224" s="2">
        <v>45062</v>
      </c>
      <c r="C224" t="s">
        <v>762</v>
      </c>
      <c r="D224" t="s">
        <v>764</v>
      </c>
      <c r="E224" t="s">
        <v>767</v>
      </c>
      <c r="F224" s="5">
        <v>46900</v>
      </c>
      <c r="G224" t="s">
        <v>780</v>
      </c>
      <c r="H224" s="2">
        <v>45134</v>
      </c>
      <c r="J224" t="str">
        <f>IF(Sales_Data[[#This Row],[Close Date]] &lt;&gt; 0,"Closed", "Open")</f>
        <v>Closed</v>
      </c>
      <c r="K224">
        <f>IF(Sales_Data[[#This Row],[Open/Closed]] = "Closed",Sales_Data[[#This Row],[Close Date]]-Sales_Data[[#This Row],[Created Date]],"")</f>
        <v>72</v>
      </c>
      <c r="L224" s="2">
        <f>EOMONTH(Sales_Data[[#This Row],[Created Date]],0)</f>
        <v>45077</v>
      </c>
      <c r="M224" t="b">
        <f>AND(Sales_Data[[#This Row],[EoM Created]]&gt;=Index!$E$5,Sales_Data[[#This Row],[EoM Created]]&lt;=Index!$E$4)</f>
        <v>0</v>
      </c>
      <c r="N224" t="b" cm="1">
        <f t="array" ref="N224">_xlfn.XLOOKUP(Sales_Data[[#This Row],[Sales Team]],_xlfn.ANCHORARRAY(Dashboard!$B$9),Dashboard!$D$9:$D$10,,0)</f>
        <v>1</v>
      </c>
      <c r="O224" t="b" cm="1">
        <f t="array" ref="O224">_xlfn.XLOOKUP(Sales_Data[[#This Row],[Sales Rep]],_xlfn.ANCHORARRAY(Dashboard!$B$13),Dashboard!$D$13:$D$17,,0)</f>
        <v>1</v>
      </c>
      <c r="P224" t="b" cm="1">
        <f t="array" ref="P224">_xlfn.XLOOKUP(Sales_Data[[#This Row],[Stage]],_xlfn.ANCHORARRAY(Dashboard!$B$20),Dashboard!$D$20:$D$25)</f>
        <v>1</v>
      </c>
      <c r="Q224" t="b" cm="1">
        <f t="array" ref="Q224">_xlfn.XLOOKUP(Sales_Data[[#This Row],[Lead Source]],_xlfn.ANCHORARRAY(Dashboard!$B$28),Dashboard!$D$28:$D$32)</f>
        <v>1</v>
      </c>
      <c r="R224">
        <f>Sales_Data[[#This Row],[Date inc]]*Sales_Data[[#This Row],[Team Inc]]*Sales_Data[[#This Row],[Rep Inc]]*Sales_Data[[#This Row],[Stage Inc]]*Sales_Data[[#This Row],[Source Inc]]</f>
        <v>0</v>
      </c>
    </row>
    <row r="225" spans="1:18" x14ac:dyDescent="0.3">
      <c r="A225" t="s">
        <v>232</v>
      </c>
      <c r="B225" s="2">
        <v>45231</v>
      </c>
      <c r="C225" t="s">
        <v>761</v>
      </c>
      <c r="D225" t="s">
        <v>765</v>
      </c>
      <c r="E225" t="s">
        <v>769</v>
      </c>
      <c r="F225" s="5">
        <v>23900</v>
      </c>
      <c r="G225" t="s">
        <v>781</v>
      </c>
      <c r="H225" s="2">
        <v>45314</v>
      </c>
      <c r="I225" t="s">
        <v>776</v>
      </c>
      <c r="J225" t="str">
        <f>IF(Sales_Data[[#This Row],[Close Date]] &lt;&gt; 0,"Closed", "Open")</f>
        <v>Closed</v>
      </c>
      <c r="K225">
        <f>IF(Sales_Data[[#This Row],[Open/Closed]] = "Closed",Sales_Data[[#This Row],[Close Date]]-Sales_Data[[#This Row],[Created Date]],"")</f>
        <v>83</v>
      </c>
      <c r="L225" s="2">
        <f>EOMONTH(Sales_Data[[#This Row],[Created Date]],0)</f>
        <v>45260</v>
      </c>
      <c r="M225" t="b">
        <f>AND(Sales_Data[[#This Row],[EoM Created]]&gt;=Index!$E$5,Sales_Data[[#This Row],[EoM Created]]&lt;=Index!$E$4)</f>
        <v>1</v>
      </c>
      <c r="N225" t="b" cm="1">
        <f t="array" ref="N225">_xlfn.XLOOKUP(Sales_Data[[#This Row],[Sales Team]],_xlfn.ANCHORARRAY(Dashboard!$B$9),Dashboard!$D$9:$D$10,,0)</f>
        <v>1</v>
      </c>
      <c r="O225" t="b" cm="1">
        <f t="array" ref="O225">_xlfn.XLOOKUP(Sales_Data[[#This Row],[Sales Rep]],_xlfn.ANCHORARRAY(Dashboard!$B$13),Dashboard!$D$13:$D$17,,0)</f>
        <v>1</v>
      </c>
      <c r="P225" t="b" cm="1">
        <f t="array" ref="P225">_xlfn.XLOOKUP(Sales_Data[[#This Row],[Stage]],_xlfn.ANCHORARRAY(Dashboard!$B$20),Dashboard!$D$20:$D$25)</f>
        <v>1</v>
      </c>
      <c r="Q225" t="b" cm="1">
        <f t="array" ref="Q225">_xlfn.XLOOKUP(Sales_Data[[#This Row],[Lead Source]],_xlfn.ANCHORARRAY(Dashboard!$B$28),Dashboard!$D$28:$D$32)</f>
        <v>1</v>
      </c>
      <c r="R225">
        <f>Sales_Data[[#This Row],[Date inc]]*Sales_Data[[#This Row],[Team Inc]]*Sales_Data[[#This Row],[Rep Inc]]*Sales_Data[[#This Row],[Stage Inc]]*Sales_Data[[#This Row],[Source Inc]]</f>
        <v>1</v>
      </c>
    </row>
    <row r="226" spans="1:18" x14ac:dyDescent="0.3">
      <c r="A226" t="s">
        <v>233</v>
      </c>
      <c r="B226" s="2">
        <v>45592</v>
      </c>
      <c r="C226" t="s">
        <v>761</v>
      </c>
      <c r="D226" t="s">
        <v>765</v>
      </c>
      <c r="E226" t="s">
        <v>768</v>
      </c>
      <c r="F226" s="5">
        <v>35300</v>
      </c>
      <c r="G226" t="s">
        <v>780</v>
      </c>
      <c r="H226" s="2">
        <v>45675</v>
      </c>
      <c r="J226" t="str">
        <f>IF(Sales_Data[[#This Row],[Close Date]] &lt;&gt; 0,"Closed", "Open")</f>
        <v>Closed</v>
      </c>
      <c r="K226">
        <f>IF(Sales_Data[[#This Row],[Open/Closed]] = "Closed",Sales_Data[[#This Row],[Close Date]]-Sales_Data[[#This Row],[Created Date]],"")</f>
        <v>83</v>
      </c>
      <c r="L226" s="2">
        <f>EOMONTH(Sales_Data[[#This Row],[Created Date]],0)</f>
        <v>45596</v>
      </c>
      <c r="M226" t="b">
        <f>AND(Sales_Data[[#This Row],[EoM Created]]&gt;=Index!$E$5,Sales_Data[[#This Row],[EoM Created]]&lt;=Index!$E$4)</f>
        <v>1</v>
      </c>
      <c r="N226" t="b" cm="1">
        <f t="array" ref="N226">_xlfn.XLOOKUP(Sales_Data[[#This Row],[Sales Team]],_xlfn.ANCHORARRAY(Dashboard!$B$9),Dashboard!$D$9:$D$10,,0)</f>
        <v>1</v>
      </c>
      <c r="O226" t="b" cm="1">
        <f t="array" ref="O226">_xlfn.XLOOKUP(Sales_Data[[#This Row],[Sales Rep]],_xlfn.ANCHORARRAY(Dashboard!$B$13),Dashboard!$D$13:$D$17,,0)</f>
        <v>1</v>
      </c>
      <c r="P226" t="b" cm="1">
        <f t="array" ref="P226">_xlfn.XLOOKUP(Sales_Data[[#This Row],[Stage]],_xlfn.ANCHORARRAY(Dashboard!$B$20),Dashboard!$D$20:$D$25)</f>
        <v>1</v>
      </c>
      <c r="Q226" t="b" cm="1">
        <f t="array" ref="Q226">_xlfn.XLOOKUP(Sales_Data[[#This Row],[Lead Source]],_xlfn.ANCHORARRAY(Dashboard!$B$28),Dashboard!$D$28:$D$32)</f>
        <v>1</v>
      </c>
      <c r="R226">
        <f>Sales_Data[[#This Row],[Date inc]]*Sales_Data[[#This Row],[Team Inc]]*Sales_Data[[#This Row],[Rep Inc]]*Sales_Data[[#This Row],[Stage Inc]]*Sales_Data[[#This Row],[Source Inc]]</f>
        <v>1</v>
      </c>
    </row>
    <row r="227" spans="1:18" x14ac:dyDescent="0.3">
      <c r="A227" t="s">
        <v>234</v>
      </c>
      <c r="B227" s="2">
        <v>45152</v>
      </c>
      <c r="C227" t="s">
        <v>762</v>
      </c>
      <c r="D227" t="s">
        <v>764</v>
      </c>
      <c r="E227" t="s">
        <v>767</v>
      </c>
      <c r="F227" s="5">
        <v>50900</v>
      </c>
      <c r="G227" t="s">
        <v>781</v>
      </c>
      <c r="H227" s="2">
        <v>45233</v>
      </c>
      <c r="I227" t="s">
        <v>777</v>
      </c>
      <c r="J227" t="str">
        <f>IF(Sales_Data[[#This Row],[Close Date]] &lt;&gt; 0,"Closed", "Open")</f>
        <v>Closed</v>
      </c>
      <c r="K227">
        <f>IF(Sales_Data[[#This Row],[Open/Closed]] = "Closed",Sales_Data[[#This Row],[Close Date]]-Sales_Data[[#This Row],[Created Date]],"")</f>
        <v>81</v>
      </c>
      <c r="L227" s="2">
        <f>EOMONTH(Sales_Data[[#This Row],[Created Date]],0)</f>
        <v>45169</v>
      </c>
      <c r="M227" t="b">
        <f>AND(Sales_Data[[#This Row],[EoM Created]]&gt;=Index!$E$5,Sales_Data[[#This Row],[EoM Created]]&lt;=Index!$E$4)</f>
        <v>1</v>
      </c>
      <c r="N227" t="b" cm="1">
        <f t="array" ref="N227">_xlfn.XLOOKUP(Sales_Data[[#This Row],[Sales Team]],_xlfn.ANCHORARRAY(Dashboard!$B$9),Dashboard!$D$9:$D$10,,0)</f>
        <v>1</v>
      </c>
      <c r="O227" t="b" cm="1">
        <f t="array" ref="O227">_xlfn.XLOOKUP(Sales_Data[[#This Row],[Sales Rep]],_xlfn.ANCHORARRAY(Dashboard!$B$13),Dashboard!$D$13:$D$17,,0)</f>
        <v>1</v>
      </c>
      <c r="P227" t="b" cm="1">
        <f t="array" ref="P227">_xlfn.XLOOKUP(Sales_Data[[#This Row],[Stage]],_xlfn.ANCHORARRAY(Dashboard!$B$20),Dashboard!$D$20:$D$25)</f>
        <v>1</v>
      </c>
      <c r="Q227" t="b" cm="1">
        <f t="array" ref="Q227">_xlfn.XLOOKUP(Sales_Data[[#This Row],[Lead Source]],_xlfn.ANCHORARRAY(Dashboard!$B$28),Dashboard!$D$28:$D$32)</f>
        <v>1</v>
      </c>
      <c r="R227">
        <f>Sales_Data[[#This Row],[Date inc]]*Sales_Data[[#This Row],[Team Inc]]*Sales_Data[[#This Row],[Rep Inc]]*Sales_Data[[#This Row],[Stage Inc]]*Sales_Data[[#This Row],[Source Inc]]</f>
        <v>1</v>
      </c>
    </row>
    <row r="228" spans="1:18" x14ac:dyDescent="0.3">
      <c r="A228" t="s">
        <v>235</v>
      </c>
      <c r="B228" s="2">
        <v>45037</v>
      </c>
      <c r="C228" t="s">
        <v>763</v>
      </c>
      <c r="D228" t="s">
        <v>765</v>
      </c>
      <c r="E228" t="s">
        <v>770</v>
      </c>
      <c r="F228" s="5">
        <v>40600</v>
      </c>
      <c r="G228" t="s">
        <v>781</v>
      </c>
      <c r="H228" s="2">
        <v>45126</v>
      </c>
      <c r="I228" t="s">
        <v>776</v>
      </c>
      <c r="J228" t="str">
        <f>IF(Sales_Data[[#This Row],[Close Date]] &lt;&gt; 0,"Closed", "Open")</f>
        <v>Closed</v>
      </c>
      <c r="K228">
        <f>IF(Sales_Data[[#This Row],[Open/Closed]] = "Closed",Sales_Data[[#This Row],[Close Date]]-Sales_Data[[#This Row],[Created Date]],"")</f>
        <v>89</v>
      </c>
      <c r="L228" s="2">
        <f>EOMONTH(Sales_Data[[#This Row],[Created Date]],0)</f>
        <v>45046</v>
      </c>
      <c r="M228" t="b">
        <f>AND(Sales_Data[[#This Row],[EoM Created]]&gt;=Index!$E$5,Sales_Data[[#This Row],[EoM Created]]&lt;=Index!$E$4)</f>
        <v>0</v>
      </c>
      <c r="N228" t="b" cm="1">
        <f t="array" ref="N228">_xlfn.XLOOKUP(Sales_Data[[#This Row],[Sales Team]],_xlfn.ANCHORARRAY(Dashboard!$B$9),Dashboard!$D$9:$D$10,,0)</f>
        <v>1</v>
      </c>
      <c r="O228" t="b" cm="1">
        <f t="array" ref="O228">_xlfn.XLOOKUP(Sales_Data[[#This Row],[Sales Rep]],_xlfn.ANCHORARRAY(Dashboard!$B$13),Dashboard!$D$13:$D$17,,0)</f>
        <v>1</v>
      </c>
      <c r="P228" t="b" cm="1">
        <f t="array" ref="P228">_xlfn.XLOOKUP(Sales_Data[[#This Row],[Stage]],_xlfn.ANCHORARRAY(Dashboard!$B$20),Dashboard!$D$20:$D$25)</f>
        <v>1</v>
      </c>
      <c r="Q228" t="b" cm="1">
        <f t="array" ref="Q228">_xlfn.XLOOKUP(Sales_Data[[#This Row],[Lead Source]],_xlfn.ANCHORARRAY(Dashboard!$B$28),Dashboard!$D$28:$D$32)</f>
        <v>1</v>
      </c>
      <c r="R228">
        <f>Sales_Data[[#This Row],[Date inc]]*Sales_Data[[#This Row],[Team Inc]]*Sales_Data[[#This Row],[Rep Inc]]*Sales_Data[[#This Row],[Stage Inc]]*Sales_Data[[#This Row],[Source Inc]]</f>
        <v>0</v>
      </c>
    </row>
    <row r="229" spans="1:18" x14ac:dyDescent="0.3">
      <c r="A229" t="s">
        <v>236</v>
      </c>
      <c r="B229" s="2">
        <v>45147</v>
      </c>
      <c r="C229" t="s">
        <v>763</v>
      </c>
      <c r="D229" t="s">
        <v>765</v>
      </c>
      <c r="E229" t="s">
        <v>769</v>
      </c>
      <c r="F229" s="5">
        <v>29200</v>
      </c>
      <c r="G229" t="s">
        <v>781</v>
      </c>
      <c r="H229" s="2">
        <v>45216</v>
      </c>
      <c r="I229" t="s">
        <v>775</v>
      </c>
      <c r="J229" t="str">
        <f>IF(Sales_Data[[#This Row],[Close Date]] &lt;&gt; 0,"Closed", "Open")</f>
        <v>Closed</v>
      </c>
      <c r="K229">
        <f>IF(Sales_Data[[#This Row],[Open/Closed]] = "Closed",Sales_Data[[#This Row],[Close Date]]-Sales_Data[[#This Row],[Created Date]],"")</f>
        <v>69</v>
      </c>
      <c r="L229" s="2">
        <f>EOMONTH(Sales_Data[[#This Row],[Created Date]],0)</f>
        <v>45169</v>
      </c>
      <c r="M229" t="b">
        <f>AND(Sales_Data[[#This Row],[EoM Created]]&gt;=Index!$E$5,Sales_Data[[#This Row],[EoM Created]]&lt;=Index!$E$4)</f>
        <v>1</v>
      </c>
      <c r="N229" t="b" cm="1">
        <f t="array" ref="N229">_xlfn.XLOOKUP(Sales_Data[[#This Row],[Sales Team]],_xlfn.ANCHORARRAY(Dashboard!$B$9),Dashboard!$D$9:$D$10,,0)</f>
        <v>1</v>
      </c>
      <c r="O229" t="b" cm="1">
        <f t="array" ref="O229">_xlfn.XLOOKUP(Sales_Data[[#This Row],[Sales Rep]],_xlfn.ANCHORARRAY(Dashboard!$B$13),Dashboard!$D$13:$D$17,,0)</f>
        <v>1</v>
      </c>
      <c r="P229" t="b" cm="1">
        <f t="array" ref="P229">_xlfn.XLOOKUP(Sales_Data[[#This Row],[Stage]],_xlfn.ANCHORARRAY(Dashboard!$B$20),Dashboard!$D$20:$D$25)</f>
        <v>1</v>
      </c>
      <c r="Q229" t="b" cm="1">
        <f t="array" ref="Q229">_xlfn.XLOOKUP(Sales_Data[[#This Row],[Lead Source]],_xlfn.ANCHORARRAY(Dashboard!$B$28),Dashboard!$D$28:$D$32)</f>
        <v>1</v>
      </c>
      <c r="R229">
        <f>Sales_Data[[#This Row],[Date inc]]*Sales_Data[[#This Row],[Team Inc]]*Sales_Data[[#This Row],[Rep Inc]]*Sales_Data[[#This Row],[Stage Inc]]*Sales_Data[[#This Row],[Source Inc]]</f>
        <v>1</v>
      </c>
    </row>
    <row r="230" spans="1:18" x14ac:dyDescent="0.3">
      <c r="A230" t="s">
        <v>237</v>
      </c>
      <c r="B230" s="2">
        <v>45714</v>
      </c>
      <c r="C230" t="s">
        <v>761</v>
      </c>
      <c r="D230" t="s">
        <v>765</v>
      </c>
      <c r="E230" t="s">
        <v>769</v>
      </c>
      <c r="F230" s="5">
        <v>32800</v>
      </c>
      <c r="G230" t="s">
        <v>781</v>
      </c>
      <c r="H230" s="2">
        <v>45803</v>
      </c>
      <c r="I230" t="s">
        <v>779</v>
      </c>
      <c r="J230" t="str">
        <f>IF(Sales_Data[[#This Row],[Close Date]] &lt;&gt; 0,"Closed", "Open")</f>
        <v>Closed</v>
      </c>
      <c r="K230">
        <f>IF(Sales_Data[[#This Row],[Open/Closed]] = "Closed",Sales_Data[[#This Row],[Close Date]]-Sales_Data[[#This Row],[Created Date]],"")</f>
        <v>89</v>
      </c>
      <c r="L230" s="2">
        <f>EOMONTH(Sales_Data[[#This Row],[Created Date]],0)</f>
        <v>45716</v>
      </c>
      <c r="M230" t="b">
        <f>AND(Sales_Data[[#This Row],[EoM Created]]&gt;=Index!$E$5,Sales_Data[[#This Row],[EoM Created]]&lt;=Index!$E$4)</f>
        <v>1</v>
      </c>
      <c r="N230" t="b" cm="1">
        <f t="array" ref="N230">_xlfn.XLOOKUP(Sales_Data[[#This Row],[Sales Team]],_xlfn.ANCHORARRAY(Dashboard!$B$9),Dashboard!$D$9:$D$10,,0)</f>
        <v>1</v>
      </c>
      <c r="O230" t="b" cm="1">
        <f t="array" ref="O230">_xlfn.XLOOKUP(Sales_Data[[#This Row],[Sales Rep]],_xlfn.ANCHORARRAY(Dashboard!$B$13),Dashboard!$D$13:$D$17,,0)</f>
        <v>1</v>
      </c>
      <c r="P230" t="b" cm="1">
        <f t="array" ref="P230">_xlfn.XLOOKUP(Sales_Data[[#This Row],[Stage]],_xlfn.ANCHORARRAY(Dashboard!$B$20),Dashboard!$D$20:$D$25)</f>
        <v>1</v>
      </c>
      <c r="Q230" t="b" cm="1">
        <f t="array" ref="Q230">_xlfn.XLOOKUP(Sales_Data[[#This Row],[Lead Source]],_xlfn.ANCHORARRAY(Dashboard!$B$28),Dashboard!$D$28:$D$32)</f>
        <v>1</v>
      </c>
      <c r="R230">
        <f>Sales_Data[[#This Row],[Date inc]]*Sales_Data[[#This Row],[Team Inc]]*Sales_Data[[#This Row],[Rep Inc]]*Sales_Data[[#This Row],[Stage Inc]]*Sales_Data[[#This Row],[Source Inc]]</f>
        <v>1</v>
      </c>
    </row>
    <row r="231" spans="1:18" x14ac:dyDescent="0.3">
      <c r="A231" t="s">
        <v>238</v>
      </c>
      <c r="B231" s="2">
        <v>45476</v>
      </c>
      <c r="C231" t="s">
        <v>760</v>
      </c>
      <c r="D231" t="s">
        <v>764</v>
      </c>
      <c r="E231" t="s">
        <v>767</v>
      </c>
      <c r="F231" s="5">
        <v>46800</v>
      </c>
      <c r="G231" t="s">
        <v>780</v>
      </c>
      <c r="H231" s="2">
        <v>45547</v>
      </c>
      <c r="J231" t="str">
        <f>IF(Sales_Data[[#This Row],[Close Date]] &lt;&gt; 0,"Closed", "Open")</f>
        <v>Closed</v>
      </c>
      <c r="K231">
        <f>IF(Sales_Data[[#This Row],[Open/Closed]] = "Closed",Sales_Data[[#This Row],[Close Date]]-Sales_Data[[#This Row],[Created Date]],"")</f>
        <v>71</v>
      </c>
      <c r="L231" s="2">
        <f>EOMONTH(Sales_Data[[#This Row],[Created Date]],0)</f>
        <v>45504</v>
      </c>
      <c r="M231" t="b">
        <f>AND(Sales_Data[[#This Row],[EoM Created]]&gt;=Index!$E$5,Sales_Data[[#This Row],[EoM Created]]&lt;=Index!$E$4)</f>
        <v>1</v>
      </c>
      <c r="N231" t="b" cm="1">
        <f t="array" ref="N231">_xlfn.XLOOKUP(Sales_Data[[#This Row],[Sales Team]],_xlfn.ANCHORARRAY(Dashboard!$B$9),Dashboard!$D$9:$D$10,,0)</f>
        <v>1</v>
      </c>
      <c r="O231" t="b" cm="1">
        <f t="array" ref="O231">_xlfn.XLOOKUP(Sales_Data[[#This Row],[Sales Rep]],_xlfn.ANCHORARRAY(Dashboard!$B$13),Dashboard!$D$13:$D$17,,0)</f>
        <v>1</v>
      </c>
      <c r="P231" t="b" cm="1">
        <f t="array" ref="P231">_xlfn.XLOOKUP(Sales_Data[[#This Row],[Stage]],_xlfn.ANCHORARRAY(Dashboard!$B$20),Dashboard!$D$20:$D$25)</f>
        <v>1</v>
      </c>
      <c r="Q231" t="b" cm="1">
        <f t="array" ref="Q231">_xlfn.XLOOKUP(Sales_Data[[#This Row],[Lead Source]],_xlfn.ANCHORARRAY(Dashboard!$B$28),Dashboard!$D$28:$D$32)</f>
        <v>1</v>
      </c>
      <c r="R231">
        <f>Sales_Data[[#This Row],[Date inc]]*Sales_Data[[#This Row],[Team Inc]]*Sales_Data[[#This Row],[Rep Inc]]*Sales_Data[[#This Row],[Stage Inc]]*Sales_Data[[#This Row],[Source Inc]]</f>
        <v>1</v>
      </c>
    </row>
    <row r="232" spans="1:18" x14ac:dyDescent="0.3">
      <c r="A232" t="s">
        <v>239</v>
      </c>
      <c r="B232" s="2">
        <v>45117</v>
      </c>
      <c r="C232" t="s">
        <v>759</v>
      </c>
      <c r="D232" t="s">
        <v>764</v>
      </c>
      <c r="E232" t="s">
        <v>766</v>
      </c>
      <c r="F232" s="5">
        <v>32700</v>
      </c>
      <c r="G232" t="s">
        <v>781</v>
      </c>
      <c r="H232" s="2">
        <v>45192</v>
      </c>
      <c r="I232" t="s">
        <v>779</v>
      </c>
      <c r="J232" t="str">
        <f>IF(Sales_Data[[#This Row],[Close Date]] &lt;&gt; 0,"Closed", "Open")</f>
        <v>Closed</v>
      </c>
      <c r="K232">
        <f>IF(Sales_Data[[#This Row],[Open/Closed]] = "Closed",Sales_Data[[#This Row],[Close Date]]-Sales_Data[[#This Row],[Created Date]],"")</f>
        <v>75</v>
      </c>
      <c r="L232" s="2">
        <f>EOMONTH(Sales_Data[[#This Row],[Created Date]],0)</f>
        <v>45138</v>
      </c>
      <c r="M232" t="b">
        <f>AND(Sales_Data[[#This Row],[EoM Created]]&gt;=Index!$E$5,Sales_Data[[#This Row],[EoM Created]]&lt;=Index!$E$4)</f>
        <v>1</v>
      </c>
      <c r="N232" t="b" cm="1">
        <f t="array" ref="N232">_xlfn.XLOOKUP(Sales_Data[[#This Row],[Sales Team]],_xlfn.ANCHORARRAY(Dashboard!$B$9),Dashboard!$D$9:$D$10,,0)</f>
        <v>1</v>
      </c>
      <c r="O232" t="b" cm="1">
        <f t="array" ref="O232">_xlfn.XLOOKUP(Sales_Data[[#This Row],[Sales Rep]],_xlfn.ANCHORARRAY(Dashboard!$B$13),Dashboard!$D$13:$D$17,,0)</f>
        <v>1</v>
      </c>
      <c r="P232" t="b" cm="1">
        <f t="array" ref="P232">_xlfn.XLOOKUP(Sales_Data[[#This Row],[Stage]],_xlfn.ANCHORARRAY(Dashboard!$B$20),Dashboard!$D$20:$D$25)</f>
        <v>1</v>
      </c>
      <c r="Q232" t="b" cm="1">
        <f t="array" ref="Q232">_xlfn.XLOOKUP(Sales_Data[[#This Row],[Lead Source]],_xlfn.ANCHORARRAY(Dashboard!$B$28),Dashboard!$D$28:$D$32)</f>
        <v>1</v>
      </c>
      <c r="R232">
        <f>Sales_Data[[#This Row],[Date inc]]*Sales_Data[[#This Row],[Team Inc]]*Sales_Data[[#This Row],[Rep Inc]]*Sales_Data[[#This Row],[Stage Inc]]*Sales_Data[[#This Row],[Source Inc]]</f>
        <v>1</v>
      </c>
    </row>
    <row r="233" spans="1:18" x14ac:dyDescent="0.3">
      <c r="A233" t="s">
        <v>240</v>
      </c>
      <c r="B233" s="2">
        <v>44931</v>
      </c>
      <c r="C233" t="s">
        <v>761</v>
      </c>
      <c r="D233" t="s">
        <v>765</v>
      </c>
      <c r="E233" t="s">
        <v>768</v>
      </c>
      <c r="F233" s="5">
        <v>42200</v>
      </c>
      <c r="G233" t="s">
        <v>780</v>
      </c>
      <c r="H233" s="2">
        <v>44995</v>
      </c>
      <c r="J233" t="str">
        <f>IF(Sales_Data[[#This Row],[Close Date]] &lt;&gt; 0,"Closed", "Open")</f>
        <v>Closed</v>
      </c>
      <c r="K233">
        <f>IF(Sales_Data[[#This Row],[Open/Closed]] = "Closed",Sales_Data[[#This Row],[Close Date]]-Sales_Data[[#This Row],[Created Date]],"")</f>
        <v>64</v>
      </c>
      <c r="L233" s="2">
        <f>EOMONTH(Sales_Data[[#This Row],[Created Date]],0)</f>
        <v>44957</v>
      </c>
      <c r="M233" t="b">
        <f>AND(Sales_Data[[#This Row],[EoM Created]]&gt;=Index!$E$5,Sales_Data[[#This Row],[EoM Created]]&lt;=Index!$E$4)</f>
        <v>0</v>
      </c>
      <c r="N233" t="b" cm="1">
        <f t="array" ref="N233">_xlfn.XLOOKUP(Sales_Data[[#This Row],[Sales Team]],_xlfn.ANCHORARRAY(Dashboard!$B$9),Dashboard!$D$9:$D$10,,0)</f>
        <v>1</v>
      </c>
      <c r="O233" t="b" cm="1">
        <f t="array" ref="O233">_xlfn.XLOOKUP(Sales_Data[[#This Row],[Sales Rep]],_xlfn.ANCHORARRAY(Dashboard!$B$13),Dashboard!$D$13:$D$17,,0)</f>
        <v>1</v>
      </c>
      <c r="P233" t="b" cm="1">
        <f t="array" ref="P233">_xlfn.XLOOKUP(Sales_Data[[#This Row],[Stage]],_xlfn.ANCHORARRAY(Dashboard!$B$20),Dashboard!$D$20:$D$25)</f>
        <v>1</v>
      </c>
      <c r="Q233" t="b" cm="1">
        <f t="array" ref="Q233">_xlfn.XLOOKUP(Sales_Data[[#This Row],[Lead Source]],_xlfn.ANCHORARRAY(Dashboard!$B$28),Dashboard!$D$28:$D$32)</f>
        <v>1</v>
      </c>
      <c r="R233">
        <f>Sales_Data[[#This Row],[Date inc]]*Sales_Data[[#This Row],[Team Inc]]*Sales_Data[[#This Row],[Rep Inc]]*Sales_Data[[#This Row],[Stage Inc]]*Sales_Data[[#This Row],[Source Inc]]</f>
        <v>0</v>
      </c>
    </row>
    <row r="234" spans="1:18" x14ac:dyDescent="0.3">
      <c r="A234" t="s">
        <v>241</v>
      </c>
      <c r="B234" s="2">
        <v>45270</v>
      </c>
      <c r="C234" t="s">
        <v>763</v>
      </c>
      <c r="D234" t="s">
        <v>765</v>
      </c>
      <c r="E234" t="s">
        <v>768</v>
      </c>
      <c r="F234" s="5">
        <v>40500</v>
      </c>
      <c r="G234" t="s">
        <v>780</v>
      </c>
      <c r="H234" s="2">
        <v>45351</v>
      </c>
      <c r="J234" t="str">
        <f>IF(Sales_Data[[#This Row],[Close Date]] &lt;&gt; 0,"Closed", "Open")</f>
        <v>Closed</v>
      </c>
      <c r="K234">
        <f>IF(Sales_Data[[#This Row],[Open/Closed]] = "Closed",Sales_Data[[#This Row],[Close Date]]-Sales_Data[[#This Row],[Created Date]],"")</f>
        <v>81</v>
      </c>
      <c r="L234" s="2">
        <f>EOMONTH(Sales_Data[[#This Row],[Created Date]],0)</f>
        <v>45291</v>
      </c>
      <c r="M234" t="b">
        <f>AND(Sales_Data[[#This Row],[EoM Created]]&gt;=Index!$E$5,Sales_Data[[#This Row],[EoM Created]]&lt;=Index!$E$4)</f>
        <v>1</v>
      </c>
      <c r="N234" t="b" cm="1">
        <f t="array" ref="N234">_xlfn.XLOOKUP(Sales_Data[[#This Row],[Sales Team]],_xlfn.ANCHORARRAY(Dashboard!$B$9),Dashboard!$D$9:$D$10,,0)</f>
        <v>1</v>
      </c>
      <c r="O234" t="b" cm="1">
        <f t="array" ref="O234">_xlfn.XLOOKUP(Sales_Data[[#This Row],[Sales Rep]],_xlfn.ANCHORARRAY(Dashboard!$B$13),Dashboard!$D$13:$D$17,,0)</f>
        <v>1</v>
      </c>
      <c r="P234" t="b" cm="1">
        <f t="array" ref="P234">_xlfn.XLOOKUP(Sales_Data[[#This Row],[Stage]],_xlfn.ANCHORARRAY(Dashboard!$B$20),Dashboard!$D$20:$D$25)</f>
        <v>1</v>
      </c>
      <c r="Q234" t="b" cm="1">
        <f t="array" ref="Q234">_xlfn.XLOOKUP(Sales_Data[[#This Row],[Lead Source]],_xlfn.ANCHORARRAY(Dashboard!$B$28),Dashboard!$D$28:$D$32)</f>
        <v>1</v>
      </c>
      <c r="R234">
        <f>Sales_Data[[#This Row],[Date inc]]*Sales_Data[[#This Row],[Team Inc]]*Sales_Data[[#This Row],[Rep Inc]]*Sales_Data[[#This Row],[Stage Inc]]*Sales_Data[[#This Row],[Source Inc]]</f>
        <v>1</v>
      </c>
    </row>
    <row r="235" spans="1:18" x14ac:dyDescent="0.3">
      <c r="A235" t="s">
        <v>242</v>
      </c>
      <c r="B235" s="2">
        <v>45206</v>
      </c>
      <c r="C235" t="s">
        <v>760</v>
      </c>
      <c r="D235" t="s">
        <v>764</v>
      </c>
      <c r="E235" t="s">
        <v>766</v>
      </c>
      <c r="F235" s="5">
        <v>33500</v>
      </c>
      <c r="G235" t="s">
        <v>780</v>
      </c>
      <c r="H235" s="2">
        <v>45290</v>
      </c>
      <c r="J235" t="str">
        <f>IF(Sales_Data[[#This Row],[Close Date]] &lt;&gt; 0,"Closed", "Open")</f>
        <v>Closed</v>
      </c>
      <c r="K235">
        <f>IF(Sales_Data[[#This Row],[Open/Closed]] = "Closed",Sales_Data[[#This Row],[Close Date]]-Sales_Data[[#This Row],[Created Date]],"")</f>
        <v>84</v>
      </c>
      <c r="L235" s="2">
        <f>EOMONTH(Sales_Data[[#This Row],[Created Date]],0)</f>
        <v>45230</v>
      </c>
      <c r="M235" t="b">
        <f>AND(Sales_Data[[#This Row],[EoM Created]]&gt;=Index!$E$5,Sales_Data[[#This Row],[EoM Created]]&lt;=Index!$E$4)</f>
        <v>1</v>
      </c>
      <c r="N235" t="b" cm="1">
        <f t="array" ref="N235">_xlfn.XLOOKUP(Sales_Data[[#This Row],[Sales Team]],_xlfn.ANCHORARRAY(Dashboard!$B$9),Dashboard!$D$9:$D$10,,0)</f>
        <v>1</v>
      </c>
      <c r="O235" t="b" cm="1">
        <f t="array" ref="O235">_xlfn.XLOOKUP(Sales_Data[[#This Row],[Sales Rep]],_xlfn.ANCHORARRAY(Dashboard!$B$13),Dashboard!$D$13:$D$17,,0)</f>
        <v>1</v>
      </c>
      <c r="P235" t="b" cm="1">
        <f t="array" ref="P235">_xlfn.XLOOKUP(Sales_Data[[#This Row],[Stage]],_xlfn.ANCHORARRAY(Dashboard!$B$20),Dashboard!$D$20:$D$25)</f>
        <v>1</v>
      </c>
      <c r="Q235" t="b" cm="1">
        <f t="array" ref="Q235">_xlfn.XLOOKUP(Sales_Data[[#This Row],[Lead Source]],_xlfn.ANCHORARRAY(Dashboard!$B$28),Dashboard!$D$28:$D$32)</f>
        <v>1</v>
      </c>
      <c r="R235">
        <f>Sales_Data[[#This Row],[Date inc]]*Sales_Data[[#This Row],[Team Inc]]*Sales_Data[[#This Row],[Rep Inc]]*Sales_Data[[#This Row],[Stage Inc]]*Sales_Data[[#This Row],[Source Inc]]</f>
        <v>1</v>
      </c>
    </row>
    <row r="236" spans="1:18" x14ac:dyDescent="0.3">
      <c r="A236" t="s">
        <v>243</v>
      </c>
      <c r="B236" s="2">
        <v>45239</v>
      </c>
      <c r="C236" t="s">
        <v>761</v>
      </c>
      <c r="D236" t="s">
        <v>765</v>
      </c>
      <c r="E236" t="s">
        <v>769</v>
      </c>
      <c r="F236" s="5">
        <v>61400</v>
      </c>
      <c r="G236" t="s">
        <v>781</v>
      </c>
      <c r="H236" s="2">
        <v>45321</v>
      </c>
      <c r="I236" t="s">
        <v>775</v>
      </c>
      <c r="J236" t="str">
        <f>IF(Sales_Data[[#This Row],[Close Date]] &lt;&gt; 0,"Closed", "Open")</f>
        <v>Closed</v>
      </c>
      <c r="K236">
        <f>IF(Sales_Data[[#This Row],[Open/Closed]] = "Closed",Sales_Data[[#This Row],[Close Date]]-Sales_Data[[#This Row],[Created Date]],"")</f>
        <v>82</v>
      </c>
      <c r="L236" s="2">
        <f>EOMONTH(Sales_Data[[#This Row],[Created Date]],0)</f>
        <v>45260</v>
      </c>
      <c r="M236" t="b">
        <f>AND(Sales_Data[[#This Row],[EoM Created]]&gt;=Index!$E$5,Sales_Data[[#This Row],[EoM Created]]&lt;=Index!$E$4)</f>
        <v>1</v>
      </c>
      <c r="N236" t="b" cm="1">
        <f t="array" ref="N236">_xlfn.XLOOKUP(Sales_Data[[#This Row],[Sales Team]],_xlfn.ANCHORARRAY(Dashboard!$B$9),Dashboard!$D$9:$D$10,,0)</f>
        <v>1</v>
      </c>
      <c r="O236" t="b" cm="1">
        <f t="array" ref="O236">_xlfn.XLOOKUP(Sales_Data[[#This Row],[Sales Rep]],_xlfn.ANCHORARRAY(Dashboard!$B$13),Dashboard!$D$13:$D$17,,0)</f>
        <v>1</v>
      </c>
      <c r="P236" t="b" cm="1">
        <f t="array" ref="P236">_xlfn.XLOOKUP(Sales_Data[[#This Row],[Stage]],_xlfn.ANCHORARRAY(Dashboard!$B$20),Dashboard!$D$20:$D$25)</f>
        <v>1</v>
      </c>
      <c r="Q236" t="b" cm="1">
        <f t="array" ref="Q236">_xlfn.XLOOKUP(Sales_Data[[#This Row],[Lead Source]],_xlfn.ANCHORARRAY(Dashboard!$B$28),Dashboard!$D$28:$D$32)</f>
        <v>1</v>
      </c>
      <c r="R236">
        <f>Sales_Data[[#This Row],[Date inc]]*Sales_Data[[#This Row],[Team Inc]]*Sales_Data[[#This Row],[Rep Inc]]*Sales_Data[[#This Row],[Stage Inc]]*Sales_Data[[#This Row],[Source Inc]]</f>
        <v>1</v>
      </c>
    </row>
    <row r="237" spans="1:18" x14ac:dyDescent="0.3">
      <c r="A237" t="s">
        <v>244</v>
      </c>
      <c r="B237" s="2">
        <v>44938</v>
      </c>
      <c r="C237" t="s">
        <v>759</v>
      </c>
      <c r="D237" t="s">
        <v>764</v>
      </c>
      <c r="E237" t="s">
        <v>766</v>
      </c>
      <c r="F237" s="5">
        <v>46300</v>
      </c>
      <c r="G237" t="s">
        <v>781</v>
      </c>
      <c r="H237" s="2">
        <v>45003</v>
      </c>
      <c r="I237" t="s">
        <v>779</v>
      </c>
      <c r="J237" t="str">
        <f>IF(Sales_Data[[#This Row],[Close Date]] &lt;&gt; 0,"Closed", "Open")</f>
        <v>Closed</v>
      </c>
      <c r="K237">
        <f>IF(Sales_Data[[#This Row],[Open/Closed]] = "Closed",Sales_Data[[#This Row],[Close Date]]-Sales_Data[[#This Row],[Created Date]],"")</f>
        <v>65</v>
      </c>
      <c r="L237" s="2">
        <f>EOMONTH(Sales_Data[[#This Row],[Created Date]],0)</f>
        <v>44957</v>
      </c>
      <c r="M237" t="b">
        <f>AND(Sales_Data[[#This Row],[EoM Created]]&gt;=Index!$E$5,Sales_Data[[#This Row],[EoM Created]]&lt;=Index!$E$4)</f>
        <v>0</v>
      </c>
      <c r="N237" t="b" cm="1">
        <f t="array" ref="N237">_xlfn.XLOOKUP(Sales_Data[[#This Row],[Sales Team]],_xlfn.ANCHORARRAY(Dashboard!$B$9),Dashboard!$D$9:$D$10,,0)</f>
        <v>1</v>
      </c>
      <c r="O237" t="b" cm="1">
        <f t="array" ref="O237">_xlfn.XLOOKUP(Sales_Data[[#This Row],[Sales Rep]],_xlfn.ANCHORARRAY(Dashboard!$B$13),Dashboard!$D$13:$D$17,,0)</f>
        <v>1</v>
      </c>
      <c r="P237" t="b" cm="1">
        <f t="array" ref="P237">_xlfn.XLOOKUP(Sales_Data[[#This Row],[Stage]],_xlfn.ANCHORARRAY(Dashboard!$B$20),Dashboard!$D$20:$D$25)</f>
        <v>1</v>
      </c>
      <c r="Q237" t="b" cm="1">
        <f t="array" ref="Q237">_xlfn.XLOOKUP(Sales_Data[[#This Row],[Lead Source]],_xlfn.ANCHORARRAY(Dashboard!$B$28),Dashboard!$D$28:$D$32)</f>
        <v>1</v>
      </c>
      <c r="R237">
        <f>Sales_Data[[#This Row],[Date inc]]*Sales_Data[[#This Row],[Team Inc]]*Sales_Data[[#This Row],[Rep Inc]]*Sales_Data[[#This Row],[Stage Inc]]*Sales_Data[[#This Row],[Source Inc]]</f>
        <v>0</v>
      </c>
    </row>
    <row r="238" spans="1:18" x14ac:dyDescent="0.3">
      <c r="A238" t="s">
        <v>245</v>
      </c>
      <c r="B238" s="2">
        <v>45556</v>
      </c>
      <c r="C238" t="s">
        <v>762</v>
      </c>
      <c r="D238" t="s">
        <v>764</v>
      </c>
      <c r="E238" t="s">
        <v>766</v>
      </c>
      <c r="F238" s="5">
        <v>19700</v>
      </c>
      <c r="G238" t="s">
        <v>781</v>
      </c>
      <c r="H238" s="2">
        <v>45627</v>
      </c>
      <c r="I238" t="s">
        <v>779</v>
      </c>
      <c r="J238" t="str">
        <f>IF(Sales_Data[[#This Row],[Close Date]] &lt;&gt; 0,"Closed", "Open")</f>
        <v>Closed</v>
      </c>
      <c r="K238">
        <f>IF(Sales_Data[[#This Row],[Open/Closed]] = "Closed",Sales_Data[[#This Row],[Close Date]]-Sales_Data[[#This Row],[Created Date]],"")</f>
        <v>71</v>
      </c>
      <c r="L238" s="2">
        <f>EOMONTH(Sales_Data[[#This Row],[Created Date]],0)</f>
        <v>45565</v>
      </c>
      <c r="M238" t="b">
        <f>AND(Sales_Data[[#This Row],[EoM Created]]&gt;=Index!$E$5,Sales_Data[[#This Row],[EoM Created]]&lt;=Index!$E$4)</f>
        <v>1</v>
      </c>
      <c r="N238" t="b" cm="1">
        <f t="array" ref="N238">_xlfn.XLOOKUP(Sales_Data[[#This Row],[Sales Team]],_xlfn.ANCHORARRAY(Dashboard!$B$9),Dashboard!$D$9:$D$10,,0)</f>
        <v>1</v>
      </c>
      <c r="O238" t="b" cm="1">
        <f t="array" ref="O238">_xlfn.XLOOKUP(Sales_Data[[#This Row],[Sales Rep]],_xlfn.ANCHORARRAY(Dashboard!$B$13),Dashboard!$D$13:$D$17,,0)</f>
        <v>1</v>
      </c>
      <c r="P238" t="b" cm="1">
        <f t="array" ref="P238">_xlfn.XLOOKUP(Sales_Data[[#This Row],[Stage]],_xlfn.ANCHORARRAY(Dashboard!$B$20),Dashboard!$D$20:$D$25)</f>
        <v>1</v>
      </c>
      <c r="Q238" t="b" cm="1">
        <f t="array" ref="Q238">_xlfn.XLOOKUP(Sales_Data[[#This Row],[Lead Source]],_xlfn.ANCHORARRAY(Dashboard!$B$28),Dashboard!$D$28:$D$32)</f>
        <v>1</v>
      </c>
      <c r="R238">
        <f>Sales_Data[[#This Row],[Date inc]]*Sales_Data[[#This Row],[Team Inc]]*Sales_Data[[#This Row],[Rep Inc]]*Sales_Data[[#This Row],[Stage Inc]]*Sales_Data[[#This Row],[Source Inc]]</f>
        <v>1</v>
      </c>
    </row>
    <row r="239" spans="1:18" x14ac:dyDescent="0.3">
      <c r="A239" t="s">
        <v>246</v>
      </c>
      <c r="B239" s="2">
        <v>45343</v>
      </c>
      <c r="C239" t="s">
        <v>759</v>
      </c>
      <c r="D239" t="s">
        <v>764</v>
      </c>
      <c r="E239" t="s">
        <v>766</v>
      </c>
      <c r="F239" s="5">
        <v>41900</v>
      </c>
      <c r="G239" t="s">
        <v>781</v>
      </c>
      <c r="H239" s="2">
        <v>45427</v>
      </c>
      <c r="I239" t="s">
        <v>778</v>
      </c>
      <c r="J239" t="str">
        <f>IF(Sales_Data[[#This Row],[Close Date]] &lt;&gt; 0,"Closed", "Open")</f>
        <v>Closed</v>
      </c>
      <c r="K239">
        <f>IF(Sales_Data[[#This Row],[Open/Closed]] = "Closed",Sales_Data[[#This Row],[Close Date]]-Sales_Data[[#This Row],[Created Date]],"")</f>
        <v>84</v>
      </c>
      <c r="L239" s="2">
        <f>EOMONTH(Sales_Data[[#This Row],[Created Date]],0)</f>
        <v>45351</v>
      </c>
      <c r="M239" t="b">
        <f>AND(Sales_Data[[#This Row],[EoM Created]]&gt;=Index!$E$5,Sales_Data[[#This Row],[EoM Created]]&lt;=Index!$E$4)</f>
        <v>1</v>
      </c>
      <c r="N239" t="b" cm="1">
        <f t="array" ref="N239">_xlfn.XLOOKUP(Sales_Data[[#This Row],[Sales Team]],_xlfn.ANCHORARRAY(Dashboard!$B$9),Dashboard!$D$9:$D$10,,0)</f>
        <v>1</v>
      </c>
      <c r="O239" t="b" cm="1">
        <f t="array" ref="O239">_xlfn.XLOOKUP(Sales_Data[[#This Row],[Sales Rep]],_xlfn.ANCHORARRAY(Dashboard!$B$13),Dashboard!$D$13:$D$17,,0)</f>
        <v>1</v>
      </c>
      <c r="P239" t="b" cm="1">
        <f t="array" ref="P239">_xlfn.XLOOKUP(Sales_Data[[#This Row],[Stage]],_xlfn.ANCHORARRAY(Dashboard!$B$20),Dashboard!$D$20:$D$25)</f>
        <v>1</v>
      </c>
      <c r="Q239" t="b" cm="1">
        <f t="array" ref="Q239">_xlfn.XLOOKUP(Sales_Data[[#This Row],[Lead Source]],_xlfn.ANCHORARRAY(Dashboard!$B$28),Dashboard!$D$28:$D$32)</f>
        <v>1</v>
      </c>
      <c r="R239">
        <f>Sales_Data[[#This Row],[Date inc]]*Sales_Data[[#This Row],[Team Inc]]*Sales_Data[[#This Row],[Rep Inc]]*Sales_Data[[#This Row],[Stage Inc]]*Sales_Data[[#This Row],[Source Inc]]</f>
        <v>1</v>
      </c>
    </row>
    <row r="240" spans="1:18" x14ac:dyDescent="0.3">
      <c r="A240" t="s">
        <v>247</v>
      </c>
      <c r="B240" s="2">
        <v>45123</v>
      </c>
      <c r="C240" t="s">
        <v>759</v>
      </c>
      <c r="D240" t="s">
        <v>764</v>
      </c>
      <c r="E240" t="s">
        <v>767</v>
      </c>
      <c r="F240" s="5">
        <v>33400</v>
      </c>
      <c r="G240" t="s">
        <v>780</v>
      </c>
      <c r="H240" s="2">
        <v>45185</v>
      </c>
      <c r="J240" t="str">
        <f>IF(Sales_Data[[#This Row],[Close Date]] &lt;&gt; 0,"Closed", "Open")</f>
        <v>Closed</v>
      </c>
      <c r="K240">
        <f>IF(Sales_Data[[#This Row],[Open/Closed]] = "Closed",Sales_Data[[#This Row],[Close Date]]-Sales_Data[[#This Row],[Created Date]],"")</f>
        <v>62</v>
      </c>
      <c r="L240" s="2">
        <f>EOMONTH(Sales_Data[[#This Row],[Created Date]],0)</f>
        <v>45138</v>
      </c>
      <c r="M240" t="b">
        <f>AND(Sales_Data[[#This Row],[EoM Created]]&gt;=Index!$E$5,Sales_Data[[#This Row],[EoM Created]]&lt;=Index!$E$4)</f>
        <v>1</v>
      </c>
      <c r="N240" t="b" cm="1">
        <f t="array" ref="N240">_xlfn.XLOOKUP(Sales_Data[[#This Row],[Sales Team]],_xlfn.ANCHORARRAY(Dashboard!$B$9),Dashboard!$D$9:$D$10,,0)</f>
        <v>1</v>
      </c>
      <c r="O240" t="b" cm="1">
        <f t="array" ref="O240">_xlfn.XLOOKUP(Sales_Data[[#This Row],[Sales Rep]],_xlfn.ANCHORARRAY(Dashboard!$B$13),Dashboard!$D$13:$D$17,,0)</f>
        <v>1</v>
      </c>
      <c r="P240" t="b" cm="1">
        <f t="array" ref="P240">_xlfn.XLOOKUP(Sales_Data[[#This Row],[Stage]],_xlfn.ANCHORARRAY(Dashboard!$B$20),Dashboard!$D$20:$D$25)</f>
        <v>1</v>
      </c>
      <c r="Q240" t="b" cm="1">
        <f t="array" ref="Q240">_xlfn.XLOOKUP(Sales_Data[[#This Row],[Lead Source]],_xlfn.ANCHORARRAY(Dashboard!$B$28),Dashboard!$D$28:$D$32)</f>
        <v>1</v>
      </c>
      <c r="R240">
        <f>Sales_Data[[#This Row],[Date inc]]*Sales_Data[[#This Row],[Team Inc]]*Sales_Data[[#This Row],[Rep Inc]]*Sales_Data[[#This Row],[Stage Inc]]*Sales_Data[[#This Row],[Source Inc]]</f>
        <v>1</v>
      </c>
    </row>
    <row r="241" spans="1:18" x14ac:dyDescent="0.3">
      <c r="A241" t="s">
        <v>248</v>
      </c>
      <c r="B241" s="2">
        <v>45513</v>
      </c>
      <c r="C241" t="s">
        <v>762</v>
      </c>
      <c r="D241" t="s">
        <v>764</v>
      </c>
      <c r="E241" t="s">
        <v>767</v>
      </c>
      <c r="F241" s="5">
        <v>48500</v>
      </c>
      <c r="G241" t="s">
        <v>781</v>
      </c>
      <c r="H241" s="2">
        <v>45599</v>
      </c>
      <c r="I241" t="s">
        <v>779</v>
      </c>
      <c r="J241" t="str">
        <f>IF(Sales_Data[[#This Row],[Close Date]] &lt;&gt; 0,"Closed", "Open")</f>
        <v>Closed</v>
      </c>
      <c r="K241">
        <f>IF(Sales_Data[[#This Row],[Open/Closed]] = "Closed",Sales_Data[[#This Row],[Close Date]]-Sales_Data[[#This Row],[Created Date]],"")</f>
        <v>86</v>
      </c>
      <c r="L241" s="2">
        <f>EOMONTH(Sales_Data[[#This Row],[Created Date]],0)</f>
        <v>45535</v>
      </c>
      <c r="M241" t="b">
        <f>AND(Sales_Data[[#This Row],[EoM Created]]&gt;=Index!$E$5,Sales_Data[[#This Row],[EoM Created]]&lt;=Index!$E$4)</f>
        <v>1</v>
      </c>
      <c r="N241" t="b" cm="1">
        <f t="array" ref="N241">_xlfn.XLOOKUP(Sales_Data[[#This Row],[Sales Team]],_xlfn.ANCHORARRAY(Dashboard!$B$9),Dashboard!$D$9:$D$10,,0)</f>
        <v>1</v>
      </c>
      <c r="O241" t="b" cm="1">
        <f t="array" ref="O241">_xlfn.XLOOKUP(Sales_Data[[#This Row],[Sales Rep]],_xlfn.ANCHORARRAY(Dashboard!$B$13),Dashboard!$D$13:$D$17,,0)</f>
        <v>1</v>
      </c>
      <c r="P241" t="b" cm="1">
        <f t="array" ref="P241">_xlfn.XLOOKUP(Sales_Data[[#This Row],[Stage]],_xlfn.ANCHORARRAY(Dashboard!$B$20),Dashboard!$D$20:$D$25)</f>
        <v>1</v>
      </c>
      <c r="Q241" t="b" cm="1">
        <f t="array" ref="Q241">_xlfn.XLOOKUP(Sales_Data[[#This Row],[Lead Source]],_xlfn.ANCHORARRAY(Dashboard!$B$28),Dashboard!$D$28:$D$32)</f>
        <v>1</v>
      </c>
      <c r="R241">
        <f>Sales_Data[[#This Row],[Date inc]]*Sales_Data[[#This Row],[Team Inc]]*Sales_Data[[#This Row],[Rep Inc]]*Sales_Data[[#This Row],[Stage Inc]]*Sales_Data[[#This Row],[Source Inc]]</f>
        <v>1</v>
      </c>
    </row>
    <row r="242" spans="1:18" x14ac:dyDescent="0.3">
      <c r="A242" t="s">
        <v>249</v>
      </c>
      <c r="B242" s="2">
        <v>45067</v>
      </c>
      <c r="C242" t="s">
        <v>762</v>
      </c>
      <c r="D242" t="s">
        <v>764</v>
      </c>
      <c r="E242" t="s">
        <v>767</v>
      </c>
      <c r="F242" s="5">
        <v>32100</v>
      </c>
      <c r="G242" t="s">
        <v>781</v>
      </c>
      <c r="H242" s="2">
        <v>45132</v>
      </c>
      <c r="I242" t="s">
        <v>779</v>
      </c>
      <c r="J242" t="str">
        <f>IF(Sales_Data[[#This Row],[Close Date]] &lt;&gt; 0,"Closed", "Open")</f>
        <v>Closed</v>
      </c>
      <c r="K242">
        <f>IF(Sales_Data[[#This Row],[Open/Closed]] = "Closed",Sales_Data[[#This Row],[Close Date]]-Sales_Data[[#This Row],[Created Date]],"")</f>
        <v>65</v>
      </c>
      <c r="L242" s="2">
        <f>EOMONTH(Sales_Data[[#This Row],[Created Date]],0)</f>
        <v>45077</v>
      </c>
      <c r="M242" t="b">
        <f>AND(Sales_Data[[#This Row],[EoM Created]]&gt;=Index!$E$5,Sales_Data[[#This Row],[EoM Created]]&lt;=Index!$E$4)</f>
        <v>0</v>
      </c>
      <c r="N242" t="b" cm="1">
        <f t="array" ref="N242">_xlfn.XLOOKUP(Sales_Data[[#This Row],[Sales Team]],_xlfn.ANCHORARRAY(Dashboard!$B$9),Dashboard!$D$9:$D$10,,0)</f>
        <v>1</v>
      </c>
      <c r="O242" t="b" cm="1">
        <f t="array" ref="O242">_xlfn.XLOOKUP(Sales_Data[[#This Row],[Sales Rep]],_xlfn.ANCHORARRAY(Dashboard!$B$13),Dashboard!$D$13:$D$17,,0)</f>
        <v>1</v>
      </c>
      <c r="P242" t="b" cm="1">
        <f t="array" ref="P242">_xlfn.XLOOKUP(Sales_Data[[#This Row],[Stage]],_xlfn.ANCHORARRAY(Dashboard!$B$20),Dashboard!$D$20:$D$25)</f>
        <v>1</v>
      </c>
      <c r="Q242" t="b" cm="1">
        <f t="array" ref="Q242">_xlfn.XLOOKUP(Sales_Data[[#This Row],[Lead Source]],_xlfn.ANCHORARRAY(Dashboard!$B$28),Dashboard!$D$28:$D$32)</f>
        <v>1</v>
      </c>
      <c r="R242">
        <f>Sales_Data[[#This Row],[Date inc]]*Sales_Data[[#This Row],[Team Inc]]*Sales_Data[[#This Row],[Rep Inc]]*Sales_Data[[#This Row],[Stage Inc]]*Sales_Data[[#This Row],[Source Inc]]</f>
        <v>0</v>
      </c>
    </row>
    <row r="243" spans="1:18" x14ac:dyDescent="0.3">
      <c r="A243" t="s">
        <v>250</v>
      </c>
      <c r="B243" s="2">
        <v>44952</v>
      </c>
      <c r="C243" t="s">
        <v>763</v>
      </c>
      <c r="D243" t="s">
        <v>765</v>
      </c>
      <c r="E243" t="s">
        <v>769</v>
      </c>
      <c r="F243" s="5">
        <v>38900</v>
      </c>
      <c r="G243" t="s">
        <v>781</v>
      </c>
      <c r="H243" s="2">
        <v>45023</v>
      </c>
      <c r="I243" t="s">
        <v>778</v>
      </c>
      <c r="J243" t="str">
        <f>IF(Sales_Data[[#This Row],[Close Date]] &lt;&gt; 0,"Closed", "Open")</f>
        <v>Closed</v>
      </c>
      <c r="K243">
        <f>IF(Sales_Data[[#This Row],[Open/Closed]] = "Closed",Sales_Data[[#This Row],[Close Date]]-Sales_Data[[#This Row],[Created Date]],"")</f>
        <v>71</v>
      </c>
      <c r="L243" s="2">
        <f>EOMONTH(Sales_Data[[#This Row],[Created Date]],0)</f>
        <v>44957</v>
      </c>
      <c r="M243" t="b">
        <f>AND(Sales_Data[[#This Row],[EoM Created]]&gt;=Index!$E$5,Sales_Data[[#This Row],[EoM Created]]&lt;=Index!$E$4)</f>
        <v>0</v>
      </c>
      <c r="N243" t="b" cm="1">
        <f t="array" ref="N243">_xlfn.XLOOKUP(Sales_Data[[#This Row],[Sales Team]],_xlfn.ANCHORARRAY(Dashboard!$B$9),Dashboard!$D$9:$D$10,,0)</f>
        <v>1</v>
      </c>
      <c r="O243" t="b" cm="1">
        <f t="array" ref="O243">_xlfn.XLOOKUP(Sales_Data[[#This Row],[Sales Rep]],_xlfn.ANCHORARRAY(Dashboard!$B$13),Dashboard!$D$13:$D$17,,0)</f>
        <v>1</v>
      </c>
      <c r="P243" t="b" cm="1">
        <f t="array" ref="P243">_xlfn.XLOOKUP(Sales_Data[[#This Row],[Stage]],_xlfn.ANCHORARRAY(Dashboard!$B$20),Dashboard!$D$20:$D$25)</f>
        <v>1</v>
      </c>
      <c r="Q243" t="b" cm="1">
        <f t="array" ref="Q243">_xlfn.XLOOKUP(Sales_Data[[#This Row],[Lead Source]],_xlfn.ANCHORARRAY(Dashboard!$B$28),Dashboard!$D$28:$D$32)</f>
        <v>1</v>
      </c>
      <c r="R243">
        <f>Sales_Data[[#This Row],[Date inc]]*Sales_Data[[#This Row],[Team Inc]]*Sales_Data[[#This Row],[Rep Inc]]*Sales_Data[[#This Row],[Stage Inc]]*Sales_Data[[#This Row],[Source Inc]]</f>
        <v>0</v>
      </c>
    </row>
    <row r="244" spans="1:18" x14ac:dyDescent="0.3">
      <c r="A244" t="s">
        <v>251</v>
      </c>
      <c r="B244" s="2">
        <v>45469</v>
      </c>
      <c r="C244" t="s">
        <v>763</v>
      </c>
      <c r="D244" t="s">
        <v>765</v>
      </c>
      <c r="E244" t="s">
        <v>770</v>
      </c>
      <c r="F244" s="5">
        <v>45000</v>
      </c>
      <c r="G244" t="s">
        <v>780</v>
      </c>
      <c r="H244" s="2">
        <v>45529</v>
      </c>
      <c r="J244" t="str">
        <f>IF(Sales_Data[[#This Row],[Close Date]] &lt;&gt; 0,"Closed", "Open")</f>
        <v>Closed</v>
      </c>
      <c r="K244">
        <f>IF(Sales_Data[[#This Row],[Open/Closed]] = "Closed",Sales_Data[[#This Row],[Close Date]]-Sales_Data[[#This Row],[Created Date]],"")</f>
        <v>60</v>
      </c>
      <c r="L244" s="2">
        <f>EOMONTH(Sales_Data[[#This Row],[Created Date]],0)</f>
        <v>45473</v>
      </c>
      <c r="M244" t="b">
        <f>AND(Sales_Data[[#This Row],[EoM Created]]&gt;=Index!$E$5,Sales_Data[[#This Row],[EoM Created]]&lt;=Index!$E$4)</f>
        <v>1</v>
      </c>
      <c r="N244" t="b" cm="1">
        <f t="array" ref="N244">_xlfn.XLOOKUP(Sales_Data[[#This Row],[Sales Team]],_xlfn.ANCHORARRAY(Dashboard!$B$9),Dashboard!$D$9:$D$10,,0)</f>
        <v>1</v>
      </c>
      <c r="O244" t="b" cm="1">
        <f t="array" ref="O244">_xlfn.XLOOKUP(Sales_Data[[#This Row],[Sales Rep]],_xlfn.ANCHORARRAY(Dashboard!$B$13),Dashboard!$D$13:$D$17,,0)</f>
        <v>1</v>
      </c>
      <c r="P244" t="b" cm="1">
        <f t="array" ref="P244">_xlfn.XLOOKUP(Sales_Data[[#This Row],[Stage]],_xlfn.ANCHORARRAY(Dashboard!$B$20),Dashboard!$D$20:$D$25)</f>
        <v>1</v>
      </c>
      <c r="Q244" t="b" cm="1">
        <f t="array" ref="Q244">_xlfn.XLOOKUP(Sales_Data[[#This Row],[Lead Source]],_xlfn.ANCHORARRAY(Dashboard!$B$28),Dashboard!$D$28:$D$32)</f>
        <v>1</v>
      </c>
      <c r="R244">
        <f>Sales_Data[[#This Row],[Date inc]]*Sales_Data[[#This Row],[Team Inc]]*Sales_Data[[#This Row],[Rep Inc]]*Sales_Data[[#This Row],[Stage Inc]]*Sales_Data[[#This Row],[Source Inc]]</f>
        <v>1</v>
      </c>
    </row>
    <row r="245" spans="1:18" x14ac:dyDescent="0.3">
      <c r="A245" t="s">
        <v>252</v>
      </c>
      <c r="B245" s="2">
        <v>44940</v>
      </c>
      <c r="C245" t="s">
        <v>763</v>
      </c>
      <c r="D245" t="s">
        <v>765</v>
      </c>
      <c r="E245" t="s">
        <v>770</v>
      </c>
      <c r="F245" s="5">
        <v>48700</v>
      </c>
      <c r="G245" t="s">
        <v>781</v>
      </c>
      <c r="H245" s="2">
        <v>45003</v>
      </c>
      <c r="I245" t="s">
        <v>776</v>
      </c>
      <c r="J245" t="str">
        <f>IF(Sales_Data[[#This Row],[Close Date]] &lt;&gt; 0,"Closed", "Open")</f>
        <v>Closed</v>
      </c>
      <c r="K245">
        <f>IF(Sales_Data[[#This Row],[Open/Closed]] = "Closed",Sales_Data[[#This Row],[Close Date]]-Sales_Data[[#This Row],[Created Date]],"")</f>
        <v>63</v>
      </c>
      <c r="L245" s="2">
        <f>EOMONTH(Sales_Data[[#This Row],[Created Date]],0)</f>
        <v>44957</v>
      </c>
      <c r="M245" t="b">
        <f>AND(Sales_Data[[#This Row],[EoM Created]]&gt;=Index!$E$5,Sales_Data[[#This Row],[EoM Created]]&lt;=Index!$E$4)</f>
        <v>0</v>
      </c>
      <c r="N245" t="b" cm="1">
        <f t="array" ref="N245">_xlfn.XLOOKUP(Sales_Data[[#This Row],[Sales Team]],_xlfn.ANCHORARRAY(Dashboard!$B$9),Dashboard!$D$9:$D$10,,0)</f>
        <v>1</v>
      </c>
      <c r="O245" t="b" cm="1">
        <f t="array" ref="O245">_xlfn.XLOOKUP(Sales_Data[[#This Row],[Sales Rep]],_xlfn.ANCHORARRAY(Dashboard!$B$13),Dashboard!$D$13:$D$17,,0)</f>
        <v>1</v>
      </c>
      <c r="P245" t="b" cm="1">
        <f t="array" ref="P245">_xlfn.XLOOKUP(Sales_Data[[#This Row],[Stage]],_xlfn.ANCHORARRAY(Dashboard!$B$20),Dashboard!$D$20:$D$25)</f>
        <v>1</v>
      </c>
      <c r="Q245" t="b" cm="1">
        <f t="array" ref="Q245">_xlfn.XLOOKUP(Sales_Data[[#This Row],[Lead Source]],_xlfn.ANCHORARRAY(Dashboard!$B$28),Dashboard!$D$28:$D$32)</f>
        <v>1</v>
      </c>
      <c r="R245">
        <f>Sales_Data[[#This Row],[Date inc]]*Sales_Data[[#This Row],[Team Inc]]*Sales_Data[[#This Row],[Rep Inc]]*Sales_Data[[#This Row],[Stage Inc]]*Sales_Data[[#This Row],[Source Inc]]</f>
        <v>0</v>
      </c>
    </row>
    <row r="246" spans="1:18" x14ac:dyDescent="0.3">
      <c r="A246" t="s">
        <v>253</v>
      </c>
      <c r="B246" s="2">
        <v>45434</v>
      </c>
      <c r="C246" t="s">
        <v>759</v>
      </c>
      <c r="D246" t="s">
        <v>764</v>
      </c>
      <c r="E246" t="s">
        <v>766</v>
      </c>
      <c r="F246" s="5">
        <v>28000</v>
      </c>
      <c r="G246" t="s">
        <v>781</v>
      </c>
      <c r="H246" s="2">
        <v>45503</v>
      </c>
      <c r="I246" t="s">
        <v>777</v>
      </c>
      <c r="J246" t="str">
        <f>IF(Sales_Data[[#This Row],[Close Date]] &lt;&gt; 0,"Closed", "Open")</f>
        <v>Closed</v>
      </c>
      <c r="K246">
        <f>IF(Sales_Data[[#This Row],[Open/Closed]] = "Closed",Sales_Data[[#This Row],[Close Date]]-Sales_Data[[#This Row],[Created Date]],"")</f>
        <v>69</v>
      </c>
      <c r="L246" s="2">
        <f>EOMONTH(Sales_Data[[#This Row],[Created Date]],0)</f>
        <v>45443</v>
      </c>
      <c r="M246" t="b">
        <f>AND(Sales_Data[[#This Row],[EoM Created]]&gt;=Index!$E$5,Sales_Data[[#This Row],[EoM Created]]&lt;=Index!$E$4)</f>
        <v>1</v>
      </c>
      <c r="N246" t="b" cm="1">
        <f t="array" ref="N246">_xlfn.XLOOKUP(Sales_Data[[#This Row],[Sales Team]],_xlfn.ANCHORARRAY(Dashboard!$B$9),Dashboard!$D$9:$D$10,,0)</f>
        <v>1</v>
      </c>
      <c r="O246" t="b" cm="1">
        <f t="array" ref="O246">_xlfn.XLOOKUP(Sales_Data[[#This Row],[Sales Rep]],_xlfn.ANCHORARRAY(Dashboard!$B$13),Dashboard!$D$13:$D$17,,0)</f>
        <v>1</v>
      </c>
      <c r="P246" t="b" cm="1">
        <f t="array" ref="P246">_xlfn.XLOOKUP(Sales_Data[[#This Row],[Stage]],_xlfn.ANCHORARRAY(Dashboard!$B$20),Dashboard!$D$20:$D$25)</f>
        <v>1</v>
      </c>
      <c r="Q246" t="b" cm="1">
        <f t="array" ref="Q246">_xlfn.XLOOKUP(Sales_Data[[#This Row],[Lead Source]],_xlfn.ANCHORARRAY(Dashboard!$B$28),Dashboard!$D$28:$D$32)</f>
        <v>1</v>
      </c>
      <c r="R246">
        <f>Sales_Data[[#This Row],[Date inc]]*Sales_Data[[#This Row],[Team Inc]]*Sales_Data[[#This Row],[Rep Inc]]*Sales_Data[[#This Row],[Stage Inc]]*Sales_Data[[#This Row],[Source Inc]]</f>
        <v>1</v>
      </c>
    </row>
    <row r="247" spans="1:18" x14ac:dyDescent="0.3">
      <c r="A247" t="s">
        <v>254</v>
      </c>
      <c r="B247" s="2">
        <v>45090</v>
      </c>
      <c r="C247" t="s">
        <v>759</v>
      </c>
      <c r="D247" t="s">
        <v>764</v>
      </c>
      <c r="E247" t="s">
        <v>767</v>
      </c>
      <c r="F247" s="5">
        <v>36700</v>
      </c>
      <c r="G247" t="s">
        <v>780</v>
      </c>
      <c r="H247" s="2">
        <v>45164</v>
      </c>
      <c r="J247" t="str">
        <f>IF(Sales_Data[[#This Row],[Close Date]] &lt;&gt; 0,"Closed", "Open")</f>
        <v>Closed</v>
      </c>
      <c r="K247">
        <f>IF(Sales_Data[[#This Row],[Open/Closed]] = "Closed",Sales_Data[[#This Row],[Close Date]]-Sales_Data[[#This Row],[Created Date]],"")</f>
        <v>74</v>
      </c>
      <c r="L247" s="2">
        <f>EOMONTH(Sales_Data[[#This Row],[Created Date]],0)</f>
        <v>45107</v>
      </c>
      <c r="M247" t="b">
        <f>AND(Sales_Data[[#This Row],[EoM Created]]&gt;=Index!$E$5,Sales_Data[[#This Row],[EoM Created]]&lt;=Index!$E$4)</f>
        <v>0</v>
      </c>
      <c r="N247" t="b" cm="1">
        <f t="array" ref="N247">_xlfn.XLOOKUP(Sales_Data[[#This Row],[Sales Team]],_xlfn.ANCHORARRAY(Dashboard!$B$9),Dashboard!$D$9:$D$10,,0)</f>
        <v>1</v>
      </c>
      <c r="O247" t="b" cm="1">
        <f t="array" ref="O247">_xlfn.XLOOKUP(Sales_Data[[#This Row],[Sales Rep]],_xlfn.ANCHORARRAY(Dashboard!$B$13),Dashboard!$D$13:$D$17,,0)</f>
        <v>1</v>
      </c>
      <c r="P247" t="b" cm="1">
        <f t="array" ref="P247">_xlfn.XLOOKUP(Sales_Data[[#This Row],[Stage]],_xlfn.ANCHORARRAY(Dashboard!$B$20),Dashboard!$D$20:$D$25)</f>
        <v>1</v>
      </c>
      <c r="Q247" t="b" cm="1">
        <f t="array" ref="Q247">_xlfn.XLOOKUP(Sales_Data[[#This Row],[Lead Source]],_xlfn.ANCHORARRAY(Dashboard!$B$28),Dashboard!$D$28:$D$32)</f>
        <v>1</v>
      </c>
      <c r="R247">
        <f>Sales_Data[[#This Row],[Date inc]]*Sales_Data[[#This Row],[Team Inc]]*Sales_Data[[#This Row],[Rep Inc]]*Sales_Data[[#This Row],[Stage Inc]]*Sales_Data[[#This Row],[Source Inc]]</f>
        <v>0</v>
      </c>
    </row>
    <row r="248" spans="1:18" x14ac:dyDescent="0.3">
      <c r="A248" t="s">
        <v>255</v>
      </c>
      <c r="B248" s="2">
        <v>45567</v>
      </c>
      <c r="C248" t="s">
        <v>760</v>
      </c>
      <c r="D248" t="s">
        <v>764</v>
      </c>
      <c r="E248" t="s">
        <v>767</v>
      </c>
      <c r="F248" s="5">
        <v>35300</v>
      </c>
      <c r="G248" t="s">
        <v>780</v>
      </c>
      <c r="H248" s="2">
        <v>45629</v>
      </c>
      <c r="J248" t="str">
        <f>IF(Sales_Data[[#This Row],[Close Date]] &lt;&gt; 0,"Closed", "Open")</f>
        <v>Closed</v>
      </c>
      <c r="K248">
        <f>IF(Sales_Data[[#This Row],[Open/Closed]] = "Closed",Sales_Data[[#This Row],[Close Date]]-Sales_Data[[#This Row],[Created Date]],"")</f>
        <v>62</v>
      </c>
      <c r="L248" s="2">
        <f>EOMONTH(Sales_Data[[#This Row],[Created Date]],0)</f>
        <v>45596</v>
      </c>
      <c r="M248" t="b">
        <f>AND(Sales_Data[[#This Row],[EoM Created]]&gt;=Index!$E$5,Sales_Data[[#This Row],[EoM Created]]&lt;=Index!$E$4)</f>
        <v>1</v>
      </c>
      <c r="N248" t="b" cm="1">
        <f t="array" ref="N248">_xlfn.XLOOKUP(Sales_Data[[#This Row],[Sales Team]],_xlfn.ANCHORARRAY(Dashboard!$B$9),Dashboard!$D$9:$D$10,,0)</f>
        <v>1</v>
      </c>
      <c r="O248" t="b" cm="1">
        <f t="array" ref="O248">_xlfn.XLOOKUP(Sales_Data[[#This Row],[Sales Rep]],_xlfn.ANCHORARRAY(Dashboard!$B$13),Dashboard!$D$13:$D$17,,0)</f>
        <v>1</v>
      </c>
      <c r="P248" t="b" cm="1">
        <f t="array" ref="P248">_xlfn.XLOOKUP(Sales_Data[[#This Row],[Stage]],_xlfn.ANCHORARRAY(Dashboard!$B$20),Dashboard!$D$20:$D$25)</f>
        <v>1</v>
      </c>
      <c r="Q248" t="b" cm="1">
        <f t="array" ref="Q248">_xlfn.XLOOKUP(Sales_Data[[#This Row],[Lead Source]],_xlfn.ANCHORARRAY(Dashboard!$B$28),Dashboard!$D$28:$D$32)</f>
        <v>1</v>
      </c>
      <c r="R248">
        <f>Sales_Data[[#This Row],[Date inc]]*Sales_Data[[#This Row],[Team Inc]]*Sales_Data[[#This Row],[Rep Inc]]*Sales_Data[[#This Row],[Stage Inc]]*Sales_Data[[#This Row],[Source Inc]]</f>
        <v>1</v>
      </c>
    </row>
    <row r="249" spans="1:18" x14ac:dyDescent="0.3">
      <c r="A249" t="s">
        <v>256</v>
      </c>
      <c r="B249" s="2">
        <v>45774</v>
      </c>
      <c r="C249" t="s">
        <v>762</v>
      </c>
      <c r="D249" t="s">
        <v>764</v>
      </c>
      <c r="E249" t="s">
        <v>767</v>
      </c>
      <c r="F249" s="5">
        <v>33500</v>
      </c>
      <c r="G249" t="s">
        <v>772</v>
      </c>
      <c r="H249" s="2"/>
      <c r="J249" t="str">
        <f>IF(Sales_Data[[#This Row],[Close Date]] &lt;&gt; 0,"Closed", "Open")</f>
        <v>Open</v>
      </c>
      <c r="K249" t="str">
        <f>IF(Sales_Data[[#This Row],[Open/Closed]] = "Closed",Sales_Data[[#This Row],[Close Date]]-Sales_Data[[#This Row],[Created Date]],"")</f>
        <v/>
      </c>
      <c r="L249" s="2">
        <f>EOMONTH(Sales_Data[[#This Row],[Created Date]],0)</f>
        <v>45777</v>
      </c>
      <c r="M249" t="b">
        <f>AND(Sales_Data[[#This Row],[EoM Created]]&gt;=Index!$E$5,Sales_Data[[#This Row],[EoM Created]]&lt;=Index!$E$4)</f>
        <v>1</v>
      </c>
      <c r="N249" t="b" cm="1">
        <f t="array" ref="N249">_xlfn.XLOOKUP(Sales_Data[[#This Row],[Sales Team]],_xlfn.ANCHORARRAY(Dashboard!$B$9),Dashboard!$D$9:$D$10,,0)</f>
        <v>1</v>
      </c>
      <c r="O249" t="b" cm="1">
        <f t="array" ref="O249">_xlfn.XLOOKUP(Sales_Data[[#This Row],[Sales Rep]],_xlfn.ANCHORARRAY(Dashboard!$B$13),Dashboard!$D$13:$D$17,,0)</f>
        <v>1</v>
      </c>
      <c r="P249" t="b" cm="1">
        <f t="array" ref="P249">_xlfn.XLOOKUP(Sales_Data[[#This Row],[Stage]],_xlfn.ANCHORARRAY(Dashboard!$B$20),Dashboard!$D$20:$D$25)</f>
        <v>1</v>
      </c>
      <c r="Q249" t="b" cm="1">
        <f t="array" ref="Q249">_xlfn.XLOOKUP(Sales_Data[[#This Row],[Lead Source]],_xlfn.ANCHORARRAY(Dashboard!$B$28),Dashboard!$D$28:$D$32)</f>
        <v>1</v>
      </c>
      <c r="R249">
        <f>Sales_Data[[#This Row],[Date inc]]*Sales_Data[[#This Row],[Team Inc]]*Sales_Data[[#This Row],[Rep Inc]]*Sales_Data[[#This Row],[Stage Inc]]*Sales_Data[[#This Row],[Source Inc]]</f>
        <v>1</v>
      </c>
    </row>
    <row r="250" spans="1:18" x14ac:dyDescent="0.3">
      <c r="A250" t="s">
        <v>257</v>
      </c>
      <c r="B250" s="2">
        <v>45093</v>
      </c>
      <c r="C250" t="s">
        <v>759</v>
      </c>
      <c r="D250" t="s">
        <v>764</v>
      </c>
      <c r="E250" t="s">
        <v>767</v>
      </c>
      <c r="F250" s="5">
        <v>57700</v>
      </c>
      <c r="G250" t="s">
        <v>781</v>
      </c>
      <c r="H250" s="2">
        <v>45166</v>
      </c>
      <c r="I250" t="s">
        <v>777</v>
      </c>
      <c r="J250" t="str">
        <f>IF(Sales_Data[[#This Row],[Close Date]] &lt;&gt; 0,"Closed", "Open")</f>
        <v>Closed</v>
      </c>
      <c r="K250">
        <f>IF(Sales_Data[[#This Row],[Open/Closed]] = "Closed",Sales_Data[[#This Row],[Close Date]]-Sales_Data[[#This Row],[Created Date]],"")</f>
        <v>73</v>
      </c>
      <c r="L250" s="2">
        <f>EOMONTH(Sales_Data[[#This Row],[Created Date]],0)</f>
        <v>45107</v>
      </c>
      <c r="M250" t="b">
        <f>AND(Sales_Data[[#This Row],[EoM Created]]&gt;=Index!$E$5,Sales_Data[[#This Row],[EoM Created]]&lt;=Index!$E$4)</f>
        <v>0</v>
      </c>
      <c r="N250" t="b" cm="1">
        <f t="array" ref="N250">_xlfn.XLOOKUP(Sales_Data[[#This Row],[Sales Team]],_xlfn.ANCHORARRAY(Dashboard!$B$9),Dashboard!$D$9:$D$10,,0)</f>
        <v>1</v>
      </c>
      <c r="O250" t="b" cm="1">
        <f t="array" ref="O250">_xlfn.XLOOKUP(Sales_Data[[#This Row],[Sales Rep]],_xlfn.ANCHORARRAY(Dashboard!$B$13),Dashboard!$D$13:$D$17,,0)</f>
        <v>1</v>
      </c>
      <c r="P250" t="b" cm="1">
        <f t="array" ref="P250">_xlfn.XLOOKUP(Sales_Data[[#This Row],[Stage]],_xlfn.ANCHORARRAY(Dashboard!$B$20),Dashboard!$D$20:$D$25)</f>
        <v>1</v>
      </c>
      <c r="Q250" t="b" cm="1">
        <f t="array" ref="Q250">_xlfn.XLOOKUP(Sales_Data[[#This Row],[Lead Source]],_xlfn.ANCHORARRAY(Dashboard!$B$28),Dashboard!$D$28:$D$32)</f>
        <v>1</v>
      </c>
      <c r="R250">
        <f>Sales_Data[[#This Row],[Date inc]]*Sales_Data[[#This Row],[Team Inc]]*Sales_Data[[#This Row],[Rep Inc]]*Sales_Data[[#This Row],[Stage Inc]]*Sales_Data[[#This Row],[Source Inc]]</f>
        <v>0</v>
      </c>
    </row>
    <row r="251" spans="1:18" x14ac:dyDescent="0.3">
      <c r="A251" t="s">
        <v>258</v>
      </c>
      <c r="B251" s="2">
        <v>45823</v>
      </c>
      <c r="C251" t="s">
        <v>761</v>
      </c>
      <c r="D251" t="s">
        <v>765</v>
      </c>
      <c r="E251" t="s">
        <v>769</v>
      </c>
      <c r="F251" s="5">
        <v>44000</v>
      </c>
      <c r="G251" t="s">
        <v>773</v>
      </c>
      <c r="H251" s="2"/>
      <c r="J251" t="str">
        <f>IF(Sales_Data[[#This Row],[Close Date]] &lt;&gt; 0,"Closed", "Open")</f>
        <v>Open</v>
      </c>
      <c r="K251" t="str">
        <f>IF(Sales_Data[[#This Row],[Open/Closed]] = "Closed",Sales_Data[[#This Row],[Close Date]]-Sales_Data[[#This Row],[Created Date]],"")</f>
        <v/>
      </c>
      <c r="L251" s="2">
        <f>EOMONTH(Sales_Data[[#This Row],[Created Date]],0)</f>
        <v>45838</v>
      </c>
      <c r="M251" t="b">
        <f>AND(Sales_Data[[#This Row],[EoM Created]]&gt;=Index!$E$5,Sales_Data[[#This Row],[EoM Created]]&lt;=Index!$E$4)</f>
        <v>1</v>
      </c>
      <c r="N251" t="b" cm="1">
        <f t="array" ref="N251">_xlfn.XLOOKUP(Sales_Data[[#This Row],[Sales Team]],_xlfn.ANCHORARRAY(Dashboard!$B$9),Dashboard!$D$9:$D$10,,0)</f>
        <v>1</v>
      </c>
      <c r="O251" t="b" cm="1">
        <f t="array" ref="O251">_xlfn.XLOOKUP(Sales_Data[[#This Row],[Sales Rep]],_xlfn.ANCHORARRAY(Dashboard!$B$13),Dashboard!$D$13:$D$17,,0)</f>
        <v>1</v>
      </c>
      <c r="P251" t="b" cm="1">
        <f t="array" ref="P251">_xlfn.XLOOKUP(Sales_Data[[#This Row],[Stage]],_xlfn.ANCHORARRAY(Dashboard!$B$20),Dashboard!$D$20:$D$25)</f>
        <v>1</v>
      </c>
      <c r="Q251" t="b" cm="1">
        <f t="array" ref="Q251">_xlfn.XLOOKUP(Sales_Data[[#This Row],[Lead Source]],_xlfn.ANCHORARRAY(Dashboard!$B$28),Dashboard!$D$28:$D$32)</f>
        <v>1</v>
      </c>
      <c r="R251">
        <f>Sales_Data[[#This Row],[Date inc]]*Sales_Data[[#This Row],[Team Inc]]*Sales_Data[[#This Row],[Rep Inc]]*Sales_Data[[#This Row],[Stage Inc]]*Sales_Data[[#This Row],[Source Inc]]</f>
        <v>1</v>
      </c>
    </row>
    <row r="252" spans="1:18" x14ac:dyDescent="0.3">
      <c r="A252" t="s">
        <v>259</v>
      </c>
      <c r="B252" s="2">
        <v>45063</v>
      </c>
      <c r="C252" t="s">
        <v>762</v>
      </c>
      <c r="D252" t="s">
        <v>764</v>
      </c>
      <c r="E252" t="s">
        <v>767</v>
      </c>
      <c r="F252" s="5">
        <v>27400</v>
      </c>
      <c r="G252" t="s">
        <v>781</v>
      </c>
      <c r="H252" s="2">
        <v>45124</v>
      </c>
      <c r="I252" t="s">
        <v>777</v>
      </c>
      <c r="J252" t="str">
        <f>IF(Sales_Data[[#This Row],[Close Date]] &lt;&gt; 0,"Closed", "Open")</f>
        <v>Closed</v>
      </c>
      <c r="K252">
        <f>IF(Sales_Data[[#This Row],[Open/Closed]] = "Closed",Sales_Data[[#This Row],[Close Date]]-Sales_Data[[#This Row],[Created Date]],"")</f>
        <v>61</v>
      </c>
      <c r="L252" s="2">
        <f>EOMONTH(Sales_Data[[#This Row],[Created Date]],0)</f>
        <v>45077</v>
      </c>
      <c r="M252" t="b">
        <f>AND(Sales_Data[[#This Row],[EoM Created]]&gt;=Index!$E$5,Sales_Data[[#This Row],[EoM Created]]&lt;=Index!$E$4)</f>
        <v>0</v>
      </c>
      <c r="N252" t="b" cm="1">
        <f t="array" ref="N252">_xlfn.XLOOKUP(Sales_Data[[#This Row],[Sales Team]],_xlfn.ANCHORARRAY(Dashboard!$B$9),Dashboard!$D$9:$D$10,,0)</f>
        <v>1</v>
      </c>
      <c r="O252" t="b" cm="1">
        <f t="array" ref="O252">_xlfn.XLOOKUP(Sales_Data[[#This Row],[Sales Rep]],_xlfn.ANCHORARRAY(Dashboard!$B$13),Dashboard!$D$13:$D$17,,0)</f>
        <v>1</v>
      </c>
      <c r="P252" t="b" cm="1">
        <f t="array" ref="P252">_xlfn.XLOOKUP(Sales_Data[[#This Row],[Stage]],_xlfn.ANCHORARRAY(Dashboard!$B$20),Dashboard!$D$20:$D$25)</f>
        <v>1</v>
      </c>
      <c r="Q252" t="b" cm="1">
        <f t="array" ref="Q252">_xlfn.XLOOKUP(Sales_Data[[#This Row],[Lead Source]],_xlfn.ANCHORARRAY(Dashboard!$B$28),Dashboard!$D$28:$D$32)</f>
        <v>1</v>
      </c>
      <c r="R252">
        <f>Sales_Data[[#This Row],[Date inc]]*Sales_Data[[#This Row],[Team Inc]]*Sales_Data[[#This Row],[Rep Inc]]*Sales_Data[[#This Row],[Stage Inc]]*Sales_Data[[#This Row],[Source Inc]]</f>
        <v>0</v>
      </c>
    </row>
    <row r="253" spans="1:18" x14ac:dyDescent="0.3">
      <c r="A253" t="s">
        <v>260</v>
      </c>
      <c r="B253" s="2">
        <v>44997</v>
      </c>
      <c r="C253" t="s">
        <v>759</v>
      </c>
      <c r="D253" t="s">
        <v>764</v>
      </c>
      <c r="E253" t="s">
        <v>766</v>
      </c>
      <c r="F253" s="5">
        <v>49200</v>
      </c>
      <c r="G253" t="s">
        <v>780</v>
      </c>
      <c r="H253" s="2">
        <v>45065</v>
      </c>
      <c r="J253" t="str">
        <f>IF(Sales_Data[[#This Row],[Close Date]] &lt;&gt; 0,"Closed", "Open")</f>
        <v>Closed</v>
      </c>
      <c r="K253">
        <f>IF(Sales_Data[[#This Row],[Open/Closed]] = "Closed",Sales_Data[[#This Row],[Close Date]]-Sales_Data[[#This Row],[Created Date]],"")</f>
        <v>68</v>
      </c>
      <c r="L253" s="2">
        <f>EOMONTH(Sales_Data[[#This Row],[Created Date]],0)</f>
        <v>45016</v>
      </c>
      <c r="M253" t="b">
        <f>AND(Sales_Data[[#This Row],[EoM Created]]&gt;=Index!$E$5,Sales_Data[[#This Row],[EoM Created]]&lt;=Index!$E$4)</f>
        <v>0</v>
      </c>
      <c r="N253" t="b" cm="1">
        <f t="array" ref="N253">_xlfn.XLOOKUP(Sales_Data[[#This Row],[Sales Team]],_xlfn.ANCHORARRAY(Dashboard!$B$9),Dashboard!$D$9:$D$10,,0)</f>
        <v>1</v>
      </c>
      <c r="O253" t="b" cm="1">
        <f t="array" ref="O253">_xlfn.XLOOKUP(Sales_Data[[#This Row],[Sales Rep]],_xlfn.ANCHORARRAY(Dashboard!$B$13),Dashboard!$D$13:$D$17,,0)</f>
        <v>1</v>
      </c>
      <c r="P253" t="b" cm="1">
        <f t="array" ref="P253">_xlfn.XLOOKUP(Sales_Data[[#This Row],[Stage]],_xlfn.ANCHORARRAY(Dashboard!$B$20),Dashboard!$D$20:$D$25)</f>
        <v>1</v>
      </c>
      <c r="Q253" t="b" cm="1">
        <f t="array" ref="Q253">_xlfn.XLOOKUP(Sales_Data[[#This Row],[Lead Source]],_xlfn.ANCHORARRAY(Dashboard!$B$28),Dashboard!$D$28:$D$32)</f>
        <v>1</v>
      </c>
      <c r="R253">
        <f>Sales_Data[[#This Row],[Date inc]]*Sales_Data[[#This Row],[Team Inc]]*Sales_Data[[#This Row],[Rep Inc]]*Sales_Data[[#This Row],[Stage Inc]]*Sales_Data[[#This Row],[Source Inc]]</f>
        <v>0</v>
      </c>
    </row>
    <row r="254" spans="1:18" x14ac:dyDescent="0.3">
      <c r="A254" t="s">
        <v>261</v>
      </c>
      <c r="B254" s="2">
        <v>45816</v>
      </c>
      <c r="C254" t="s">
        <v>759</v>
      </c>
      <c r="D254" t="s">
        <v>764</v>
      </c>
      <c r="E254" t="s">
        <v>766</v>
      </c>
      <c r="F254" s="5">
        <v>61200</v>
      </c>
      <c r="G254" t="s">
        <v>774</v>
      </c>
      <c r="H254" s="2"/>
      <c r="J254" t="str">
        <f>IF(Sales_Data[[#This Row],[Close Date]] &lt;&gt; 0,"Closed", "Open")</f>
        <v>Open</v>
      </c>
      <c r="K254" t="str">
        <f>IF(Sales_Data[[#This Row],[Open/Closed]] = "Closed",Sales_Data[[#This Row],[Close Date]]-Sales_Data[[#This Row],[Created Date]],"")</f>
        <v/>
      </c>
      <c r="L254" s="2">
        <f>EOMONTH(Sales_Data[[#This Row],[Created Date]],0)</f>
        <v>45838</v>
      </c>
      <c r="M254" t="b">
        <f>AND(Sales_Data[[#This Row],[EoM Created]]&gt;=Index!$E$5,Sales_Data[[#This Row],[EoM Created]]&lt;=Index!$E$4)</f>
        <v>1</v>
      </c>
      <c r="N254" t="b" cm="1">
        <f t="array" ref="N254">_xlfn.XLOOKUP(Sales_Data[[#This Row],[Sales Team]],_xlfn.ANCHORARRAY(Dashboard!$B$9),Dashboard!$D$9:$D$10,,0)</f>
        <v>1</v>
      </c>
      <c r="O254" t="b" cm="1">
        <f t="array" ref="O254">_xlfn.XLOOKUP(Sales_Data[[#This Row],[Sales Rep]],_xlfn.ANCHORARRAY(Dashboard!$B$13),Dashboard!$D$13:$D$17,,0)</f>
        <v>1</v>
      </c>
      <c r="P254" t="b" cm="1">
        <f t="array" ref="P254">_xlfn.XLOOKUP(Sales_Data[[#This Row],[Stage]],_xlfn.ANCHORARRAY(Dashboard!$B$20),Dashboard!$D$20:$D$25)</f>
        <v>1</v>
      </c>
      <c r="Q254" t="b" cm="1">
        <f t="array" ref="Q254">_xlfn.XLOOKUP(Sales_Data[[#This Row],[Lead Source]],_xlfn.ANCHORARRAY(Dashboard!$B$28),Dashboard!$D$28:$D$32)</f>
        <v>1</v>
      </c>
      <c r="R254">
        <f>Sales_Data[[#This Row],[Date inc]]*Sales_Data[[#This Row],[Team Inc]]*Sales_Data[[#This Row],[Rep Inc]]*Sales_Data[[#This Row],[Stage Inc]]*Sales_Data[[#This Row],[Source Inc]]</f>
        <v>1</v>
      </c>
    </row>
    <row r="255" spans="1:18" x14ac:dyDescent="0.3">
      <c r="A255" t="s">
        <v>262</v>
      </c>
      <c r="B255" s="2">
        <v>44975</v>
      </c>
      <c r="C255" t="s">
        <v>760</v>
      </c>
      <c r="D255" t="s">
        <v>764</v>
      </c>
      <c r="E255" t="s">
        <v>766</v>
      </c>
      <c r="F255" s="5">
        <v>50300</v>
      </c>
      <c r="G255" t="s">
        <v>781</v>
      </c>
      <c r="H255" s="2">
        <v>45058</v>
      </c>
      <c r="I255" t="s">
        <v>777</v>
      </c>
      <c r="J255" t="str">
        <f>IF(Sales_Data[[#This Row],[Close Date]] &lt;&gt; 0,"Closed", "Open")</f>
        <v>Closed</v>
      </c>
      <c r="K255">
        <f>IF(Sales_Data[[#This Row],[Open/Closed]] = "Closed",Sales_Data[[#This Row],[Close Date]]-Sales_Data[[#This Row],[Created Date]],"")</f>
        <v>83</v>
      </c>
      <c r="L255" s="2">
        <f>EOMONTH(Sales_Data[[#This Row],[Created Date]],0)</f>
        <v>44985</v>
      </c>
      <c r="M255" t="b">
        <f>AND(Sales_Data[[#This Row],[EoM Created]]&gt;=Index!$E$5,Sales_Data[[#This Row],[EoM Created]]&lt;=Index!$E$4)</f>
        <v>0</v>
      </c>
      <c r="N255" t="b" cm="1">
        <f t="array" ref="N255">_xlfn.XLOOKUP(Sales_Data[[#This Row],[Sales Team]],_xlfn.ANCHORARRAY(Dashboard!$B$9),Dashboard!$D$9:$D$10,,0)</f>
        <v>1</v>
      </c>
      <c r="O255" t="b" cm="1">
        <f t="array" ref="O255">_xlfn.XLOOKUP(Sales_Data[[#This Row],[Sales Rep]],_xlfn.ANCHORARRAY(Dashboard!$B$13),Dashboard!$D$13:$D$17,,0)</f>
        <v>1</v>
      </c>
      <c r="P255" t="b" cm="1">
        <f t="array" ref="P255">_xlfn.XLOOKUP(Sales_Data[[#This Row],[Stage]],_xlfn.ANCHORARRAY(Dashboard!$B$20),Dashboard!$D$20:$D$25)</f>
        <v>1</v>
      </c>
      <c r="Q255" t="b" cm="1">
        <f t="array" ref="Q255">_xlfn.XLOOKUP(Sales_Data[[#This Row],[Lead Source]],_xlfn.ANCHORARRAY(Dashboard!$B$28),Dashboard!$D$28:$D$32)</f>
        <v>1</v>
      </c>
      <c r="R255">
        <f>Sales_Data[[#This Row],[Date inc]]*Sales_Data[[#This Row],[Team Inc]]*Sales_Data[[#This Row],[Rep Inc]]*Sales_Data[[#This Row],[Stage Inc]]*Sales_Data[[#This Row],[Source Inc]]</f>
        <v>0</v>
      </c>
    </row>
    <row r="256" spans="1:18" x14ac:dyDescent="0.3">
      <c r="A256" t="s">
        <v>263</v>
      </c>
      <c r="B256" s="2">
        <v>45662</v>
      </c>
      <c r="C256" t="s">
        <v>759</v>
      </c>
      <c r="D256" t="s">
        <v>764</v>
      </c>
      <c r="E256" t="s">
        <v>766</v>
      </c>
      <c r="F256" s="5">
        <v>24800</v>
      </c>
      <c r="G256" t="s">
        <v>781</v>
      </c>
      <c r="H256" s="2">
        <v>45740</v>
      </c>
      <c r="I256" t="s">
        <v>776</v>
      </c>
      <c r="J256" t="str">
        <f>IF(Sales_Data[[#This Row],[Close Date]] &lt;&gt; 0,"Closed", "Open")</f>
        <v>Closed</v>
      </c>
      <c r="K256">
        <f>IF(Sales_Data[[#This Row],[Open/Closed]] = "Closed",Sales_Data[[#This Row],[Close Date]]-Sales_Data[[#This Row],[Created Date]],"")</f>
        <v>78</v>
      </c>
      <c r="L256" s="2">
        <f>EOMONTH(Sales_Data[[#This Row],[Created Date]],0)</f>
        <v>45688</v>
      </c>
      <c r="M256" t="b">
        <f>AND(Sales_Data[[#This Row],[EoM Created]]&gt;=Index!$E$5,Sales_Data[[#This Row],[EoM Created]]&lt;=Index!$E$4)</f>
        <v>1</v>
      </c>
      <c r="N256" t="b" cm="1">
        <f t="array" ref="N256">_xlfn.XLOOKUP(Sales_Data[[#This Row],[Sales Team]],_xlfn.ANCHORARRAY(Dashboard!$B$9),Dashboard!$D$9:$D$10,,0)</f>
        <v>1</v>
      </c>
      <c r="O256" t="b" cm="1">
        <f t="array" ref="O256">_xlfn.XLOOKUP(Sales_Data[[#This Row],[Sales Rep]],_xlfn.ANCHORARRAY(Dashboard!$B$13),Dashboard!$D$13:$D$17,,0)</f>
        <v>1</v>
      </c>
      <c r="P256" t="b" cm="1">
        <f t="array" ref="P256">_xlfn.XLOOKUP(Sales_Data[[#This Row],[Stage]],_xlfn.ANCHORARRAY(Dashboard!$B$20),Dashboard!$D$20:$D$25)</f>
        <v>1</v>
      </c>
      <c r="Q256" t="b" cm="1">
        <f t="array" ref="Q256">_xlfn.XLOOKUP(Sales_Data[[#This Row],[Lead Source]],_xlfn.ANCHORARRAY(Dashboard!$B$28),Dashboard!$D$28:$D$32)</f>
        <v>1</v>
      </c>
      <c r="R256">
        <f>Sales_Data[[#This Row],[Date inc]]*Sales_Data[[#This Row],[Team Inc]]*Sales_Data[[#This Row],[Rep Inc]]*Sales_Data[[#This Row],[Stage Inc]]*Sales_Data[[#This Row],[Source Inc]]</f>
        <v>1</v>
      </c>
    </row>
    <row r="257" spans="1:18" x14ac:dyDescent="0.3">
      <c r="A257" t="s">
        <v>264</v>
      </c>
      <c r="B257" s="2">
        <v>45680</v>
      </c>
      <c r="C257" t="s">
        <v>760</v>
      </c>
      <c r="D257" t="s">
        <v>764</v>
      </c>
      <c r="E257" t="s">
        <v>767</v>
      </c>
      <c r="F257" s="5">
        <v>35200</v>
      </c>
      <c r="G257" t="s">
        <v>781</v>
      </c>
      <c r="H257" s="2">
        <v>45761</v>
      </c>
      <c r="I257" t="s">
        <v>776</v>
      </c>
      <c r="J257" t="str">
        <f>IF(Sales_Data[[#This Row],[Close Date]] &lt;&gt; 0,"Closed", "Open")</f>
        <v>Closed</v>
      </c>
      <c r="K257">
        <f>IF(Sales_Data[[#This Row],[Open/Closed]] = "Closed",Sales_Data[[#This Row],[Close Date]]-Sales_Data[[#This Row],[Created Date]],"")</f>
        <v>81</v>
      </c>
      <c r="L257" s="2">
        <f>EOMONTH(Sales_Data[[#This Row],[Created Date]],0)</f>
        <v>45688</v>
      </c>
      <c r="M257" t="b">
        <f>AND(Sales_Data[[#This Row],[EoM Created]]&gt;=Index!$E$5,Sales_Data[[#This Row],[EoM Created]]&lt;=Index!$E$4)</f>
        <v>1</v>
      </c>
      <c r="N257" t="b" cm="1">
        <f t="array" ref="N257">_xlfn.XLOOKUP(Sales_Data[[#This Row],[Sales Team]],_xlfn.ANCHORARRAY(Dashboard!$B$9),Dashboard!$D$9:$D$10,,0)</f>
        <v>1</v>
      </c>
      <c r="O257" t="b" cm="1">
        <f t="array" ref="O257">_xlfn.XLOOKUP(Sales_Data[[#This Row],[Sales Rep]],_xlfn.ANCHORARRAY(Dashboard!$B$13),Dashboard!$D$13:$D$17,,0)</f>
        <v>1</v>
      </c>
      <c r="P257" t="b" cm="1">
        <f t="array" ref="P257">_xlfn.XLOOKUP(Sales_Data[[#This Row],[Stage]],_xlfn.ANCHORARRAY(Dashboard!$B$20),Dashboard!$D$20:$D$25)</f>
        <v>1</v>
      </c>
      <c r="Q257" t="b" cm="1">
        <f t="array" ref="Q257">_xlfn.XLOOKUP(Sales_Data[[#This Row],[Lead Source]],_xlfn.ANCHORARRAY(Dashboard!$B$28),Dashboard!$D$28:$D$32)</f>
        <v>1</v>
      </c>
      <c r="R257">
        <f>Sales_Data[[#This Row],[Date inc]]*Sales_Data[[#This Row],[Team Inc]]*Sales_Data[[#This Row],[Rep Inc]]*Sales_Data[[#This Row],[Stage Inc]]*Sales_Data[[#This Row],[Source Inc]]</f>
        <v>1</v>
      </c>
    </row>
    <row r="258" spans="1:18" x14ac:dyDescent="0.3">
      <c r="A258" t="s">
        <v>265</v>
      </c>
      <c r="B258" s="2">
        <v>45015</v>
      </c>
      <c r="C258" t="s">
        <v>762</v>
      </c>
      <c r="D258" t="s">
        <v>764</v>
      </c>
      <c r="E258" t="s">
        <v>767</v>
      </c>
      <c r="F258" s="5">
        <v>52700</v>
      </c>
      <c r="G258" t="s">
        <v>781</v>
      </c>
      <c r="H258" s="2">
        <v>45103</v>
      </c>
      <c r="I258" t="s">
        <v>775</v>
      </c>
      <c r="J258" t="str">
        <f>IF(Sales_Data[[#This Row],[Close Date]] &lt;&gt; 0,"Closed", "Open")</f>
        <v>Closed</v>
      </c>
      <c r="K258">
        <f>IF(Sales_Data[[#This Row],[Open/Closed]] = "Closed",Sales_Data[[#This Row],[Close Date]]-Sales_Data[[#This Row],[Created Date]],"")</f>
        <v>88</v>
      </c>
      <c r="L258" s="2">
        <f>EOMONTH(Sales_Data[[#This Row],[Created Date]],0)</f>
        <v>45016</v>
      </c>
      <c r="M258" t="b">
        <f>AND(Sales_Data[[#This Row],[EoM Created]]&gt;=Index!$E$5,Sales_Data[[#This Row],[EoM Created]]&lt;=Index!$E$4)</f>
        <v>0</v>
      </c>
      <c r="N258" t="b" cm="1">
        <f t="array" ref="N258">_xlfn.XLOOKUP(Sales_Data[[#This Row],[Sales Team]],_xlfn.ANCHORARRAY(Dashboard!$B$9),Dashboard!$D$9:$D$10,,0)</f>
        <v>1</v>
      </c>
      <c r="O258" t="b" cm="1">
        <f t="array" ref="O258">_xlfn.XLOOKUP(Sales_Data[[#This Row],[Sales Rep]],_xlfn.ANCHORARRAY(Dashboard!$B$13),Dashboard!$D$13:$D$17,,0)</f>
        <v>1</v>
      </c>
      <c r="P258" t="b" cm="1">
        <f t="array" ref="P258">_xlfn.XLOOKUP(Sales_Data[[#This Row],[Stage]],_xlfn.ANCHORARRAY(Dashboard!$B$20),Dashboard!$D$20:$D$25)</f>
        <v>1</v>
      </c>
      <c r="Q258" t="b" cm="1">
        <f t="array" ref="Q258">_xlfn.XLOOKUP(Sales_Data[[#This Row],[Lead Source]],_xlfn.ANCHORARRAY(Dashboard!$B$28),Dashboard!$D$28:$D$32)</f>
        <v>1</v>
      </c>
      <c r="R258">
        <f>Sales_Data[[#This Row],[Date inc]]*Sales_Data[[#This Row],[Team Inc]]*Sales_Data[[#This Row],[Rep Inc]]*Sales_Data[[#This Row],[Stage Inc]]*Sales_Data[[#This Row],[Source Inc]]</f>
        <v>0</v>
      </c>
    </row>
    <row r="259" spans="1:18" x14ac:dyDescent="0.3">
      <c r="A259" t="s">
        <v>266</v>
      </c>
      <c r="B259" s="2">
        <v>44954</v>
      </c>
      <c r="C259" t="s">
        <v>759</v>
      </c>
      <c r="D259" t="s">
        <v>764</v>
      </c>
      <c r="E259" t="s">
        <v>767</v>
      </c>
      <c r="F259" s="5">
        <v>32900</v>
      </c>
      <c r="G259" t="s">
        <v>780</v>
      </c>
      <c r="H259" s="2">
        <v>45028</v>
      </c>
      <c r="J259" t="str">
        <f>IF(Sales_Data[[#This Row],[Close Date]] &lt;&gt; 0,"Closed", "Open")</f>
        <v>Closed</v>
      </c>
      <c r="K259">
        <f>IF(Sales_Data[[#This Row],[Open/Closed]] = "Closed",Sales_Data[[#This Row],[Close Date]]-Sales_Data[[#This Row],[Created Date]],"")</f>
        <v>74</v>
      </c>
      <c r="L259" s="2">
        <f>EOMONTH(Sales_Data[[#This Row],[Created Date]],0)</f>
        <v>44957</v>
      </c>
      <c r="M259" t="b">
        <f>AND(Sales_Data[[#This Row],[EoM Created]]&gt;=Index!$E$5,Sales_Data[[#This Row],[EoM Created]]&lt;=Index!$E$4)</f>
        <v>0</v>
      </c>
      <c r="N259" t="b" cm="1">
        <f t="array" ref="N259">_xlfn.XLOOKUP(Sales_Data[[#This Row],[Sales Team]],_xlfn.ANCHORARRAY(Dashboard!$B$9),Dashboard!$D$9:$D$10,,0)</f>
        <v>1</v>
      </c>
      <c r="O259" t="b" cm="1">
        <f t="array" ref="O259">_xlfn.XLOOKUP(Sales_Data[[#This Row],[Sales Rep]],_xlfn.ANCHORARRAY(Dashboard!$B$13),Dashboard!$D$13:$D$17,,0)</f>
        <v>1</v>
      </c>
      <c r="P259" t="b" cm="1">
        <f t="array" ref="P259">_xlfn.XLOOKUP(Sales_Data[[#This Row],[Stage]],_xlfn.ANCHORARRAY(Dashboard!$B$20),Dashboard!$D$20:$D$25)</f>
        <v>1</v>
      </c>
      <c r="Q259" t="b" cm="1">
        <f t="array" ref="Q259">_xlfn.XLOOKUP(Sales_Data[[#This Row],[Lead Source]],_xlfn.ANCHORARRAY(Dashboard!$B$28),Dashboard!$D$28:$D$32)</f>
        <v>1</v>
      </c>
      <c r="R259">
        <f>Sales_Data[[#This Row],[Date inc]]*Sales_Data[[#This Row],[Team Inc]]*Sales_Data[[#This Row],[Rep Inc]]*Sales_Data[[#This Row],[Stage Inc]]*Sales_Data[[#This Row],[Source Inc]]</f>
        <v>0</v>
      </c>
    </row>
    <row r="260" spans="1:18" x14ac:dyDescent="0.3">
      <c r="A260" t="s">
        <v>267</v>
      </c>
      <c r="B260" s="2">
        <v>45749</v>
      </c>
      <c r="C260" t="s">
        <v>762</v>
      </c>
      <c r="D260" t="s">
        <v>764</v>
      </c>
      <c r="E260" t="s">
        <v>767</v>
      </c>
      <c r="F260" s="5">
        <v>44400</v>
      </c>
      <c r="G260" t="s">
        <v>772</v>
      </c>
      <c r="H260" s="2"/>
      <c r="J260" t="str">
        <f>IF(Sales_Data[[#This Row],[Close Date]] &lt;&gt; 0,"Closed", "Open")</f>
        <v>Open</v>
      </c>
      <c r="K260" t="str">
        <f>IF(Sales_Data[[#This Row],[Open/Closed]] = "Closed",Sales_Data[[#This Row],[Close Date]]-Sales_Data[[#This Row],[Created Date]],"")</f>
        <v/>
      </c>
      <c r="L260" s="2">
        <f>EOMONTH(Sales_Data[[#This Row],[Created Date]],0)</f>
        <v>45777</v>
      </c>
      <c r="M260" t="b">
        <f>AND(Sales_Data[[#This Row],[EoM Created]]&gt;=Index!$E$5,Sales_Data[[#This Row],[EoM Created]]&lt;=Index!$E$4)</f>
        <v>1</v>
      </c>
      <c r="N260" t="b" cm="1">
        <f t="array" ref="N260">_xlfn.XLOOKUP(Sales_Data[[#This Row],[Sales Team]],_xlfn.ANCHORARRAY(Dashboard!$B$9),Dashboard!$D$9:$D$10,,0)</f>
        <v>1</v>
      </c>
      <c r="O260" t="b" cm="1">
        <f t="array" ref="O260">_xlfn.XLOOKUP(Sales_Data[[#This Row],[Sales Rep]],_xlfn.ANCHORARRAY(Dashboard!$B$13),Dashboard!$D$13:$D$17,,0)</f>
        <v>1</v>
      </c>
      <c r="P260" t="b" cm="1">
        <f t="array" ref="P260">_xlfn.XLOOKUP(Sales_Data[[#This Row],[Stage]],_xlfn.ANCHORARRAY(Dashboard!$B$20),Dashboard!$D$20:$D$25)</f>
        <v>1</v>
      </c>
      <c r="Q260" t="b" cm="1">
        <f t="array" ref="Q260">_xlfn.XLOOKUP(Sales_Data[[#This Row],[Lead Source]],_xlfn.ANCHORARRAY(Dashboard!$B$28),Dashboard!$D$28:$D$32)</f>
        <v>1</v>
      </c>
      <c r="R260">
        <f>Sales_Data[[#This Row],[Date inc]]*Sales_Data[[#This Row],[Team Inc]]*Sales_Data[[#This Row],[Rep Inc]]*Sales_Data[[#This Row],[Stage Inc]]*Sales_Data[[#This Row],[Source Inc]]</f>
        <v>1</v>
      </c>
    </row>
    <row r="261" spans="1:18" x14ac:dyDescent="0.3">
      <c r="A261" t="s">
        <v>268</v>
      </c>
      <c r="B261" s="2">
        <v>45037</v>
      </c>
      <c r="C261" t="s">
        <v>759</v>
      </c>
      <c r="D261" t="s">
        <v>764</v>
      </c>
      <c r="E261" t="s">
        <v>766</v>
      </c>
      <c r="F261" s="5">
        <v>47700</v>
      </c>
      <c r="G261" t="s">
        <v>781</v>
      </c>
      <c r="H261" s="2">
        <v>45123</v>
      </c>
      <c r="I261" t="s">
        <v>778</v>
      </c>
      <c r="J261" t="str">
        <f>IF(Sales_Data[[#This Row],[Close Date]] &lt;&gt; 0,"Closed", "Open")</f>
        <v>Closed</v>
      </c>
      <c r="K261">
        <f>IF(Sales_Data[[#This Row],[Open/Closed]] = "Closed",Sales_Data[[#This Row],[Close Date]]-Sales_Data[[#This Row],[Created Date]],"")</f>
        <v>86</v>
      </c>
      <c r="L261" s="2">
        <f>EOMONTH(Sales_Data[[#This Row],[Created Date]],0)</f>
        <v>45046</v>
      </c>
      <c r="M261" t="b">
        <f>AND(Sales_Data[[#This Row],[EoM Created]]&gt;=Index!$E$5,Sales_Data[[#This Row],[EoM Created]]&lt;=Index!$E$4)</f>
        <v>0</v>
      </c>
      <c r="N261" t="b" cm="1">
        <f t="array" ref="N261">_xlfn.XLOOKUP(Sales_Data[[#This Row],[Sales Team]],_xlfn.ANCHORARRAY(Dashboard!$B$9),Dashboard!$D$9:$D$10,,0)</f>
        <v>1</v>
      </c>
      <c r="O261" t="b" cm="1">
        <f t="array" ref="O261">_xlfn.XLOOKUP(Sales_Data[[#This Row],[Sales Rep]],_xlfn.ANCHORARRAY(Dashboard!$B$13),Dashboard!$D$13:$D$17,,0)</f>
        <v>1</v>
      </c>
      <c r="P261" t="b" cm="1">
        <f t="array" ref="P261">_xlfn.XLOOKUP(Sales_Data[[#This Row],[Stage]],_xlfn.ANCHORARRAY(Dashboard!$B$20),Dashboard!$D$20:$D$25)</f>
        <v>1</v>
      </c>
      <c r="Q261" t="b" cm="1">
        <f t="array" ref="Q261">_xlfn.XLOOKUP(Sales_Data[[#This Row],[Lead Source]],_xlfn.ANCHORARRAY(Dashboard!$B$28),Dashboard!$D$28:$D$32)</f>
        <v>1</v>
      </c>
      <c r="R261">
        <f>Sales_Data[[#This Row],[Date inc]]*Sales_Data[[#This Row],[Team Inc]]*Sales_Data[[#This Row],[Rep Inc]]*Sales_Data[[#This Row],[Stage Inc]]*Sales_Data[[#This Row],[Source Inc]]</f>
        <v>0</v>
      </c>
    </row>
    <row r="262" spans="1:18" x14ac:dyDescent="0.3">
      <c r="A262" t="s">
        <v>269</v>
      </c>
      <c r="B262" s="2">
        <v>45056</v>
      </c>
      <c r="C262" t="s">
        <v>760</v>
      </c>
      <c r="D262" t="s">
        <v>764</v>
      </c>
      <c r="E262" t="s">
        <v>766</v>
      </c>
      <c r="F262" s="5">
        <v>30700</v>
      </c>
      <c r="G262" t="s">
        <v>781</v>
      </c>
      <c r="H262" s="2">
        <v>45133</v>
      </c>
      <c r="I262" t="s">
        <v>778</v>
      </c>
      <c r="J262" t="str">
        <f>IF(Sales_Data[[#This Row],[Close Date]] &lt;&gt; 0,"Closed", "Open")</f>
        <v>Closed</v>
      </c>
      <c r="K262">
        <f>IF(Sales_Data[[#This Row],[Open/Closed]] = "Closed",Sales_Data[[#This Row],[Close Date]]-Sales_Data[[#This Row],[Created Date]],"")</f>
        <v>77</v>
      </c>
      <c r="L262" s="2">
        <f>EOMONTH(Sales_Data[[#This Row],[Created Date]],0)</f>
        <v>45077</v>
      </c>
      <c r="M262" t="b">
        <f>AND(Sales_Data[[#This Row],[EoM Created]]&gt;=Index!$E$5,Sales_Data[[#This Row],[EoM Created]]&lt;=Index!$E$4)</f>
        <v>0</v>
      </c>
      <c r="N262" t="b" cm="1">
        <f t="array" ref="N262">_xlfn.XLOOKUP(Sales_Data[[#This Row],[Sales Team]],_xlfn.ANCHORARRAY(Dashboard!$B$9),Dashboard!$D$9:$D$10,,0)</f>
        <v>1</v>
      </c>
      <c r="O262" t="b" cm="1">
        <f t="array" ref="O262">_xlfn.XLOOKUP(Sales_Data[[#This Row],[Sales Rep]],_xlfn.ANCHORARRAY(Dashboard!$B$13),Dashboard!$D$13:$D$17,,0)</f>
        <v>1</v>
      </c>
      <c r="P262" t="b" cm="1">
        <f t="array" ref="P262">_xlfn.XLOOKUP(Sales_Data[[#This Row],[Stage]],_xlfn.ANCHORARRAY(Dashboard!$B$20),Dashboard!$D$20:$D$25)</f>
        <v>1</v>
      </c>
      <c r="Q262" t="b" cm="1">
        <f t="array" ref="Q262">_xlfn.XLOOKUP(Sales_Data[[#This Row],[Lead Source]],_xlfn.ANCHORARRAY(Dashboard!$B$28),Dashboard!$D$28:$D$32)</f>
        <v>1</v>
      </c>
      <c r="R262">
        <f>Sales_Data[[#This Row],[Date inc]]*Sales_Data[[#This Row],[Team Inc]]*Sales_Data[[#This Row],[Rep Inc]]*Sales_Data[[#This Row],[Stage Inc]]*Sales_Data[[#This Row],[Source Inc]]</f>
        <v>0</v>
      </c>
    </row>
    <row r="263" spans="1:18" x14ac:dyDescent="0.3">
      <c r="A263" t="s">
        <v>270</v>
      </c>
      <c r="B263" s="2">
        <v>45242</v>
      </c>
      <c r="C263" t="s">
        <v>760</v>
      </c>
      <c r="D263" t="s">
        <v>764</v>
      </c>
      <c r="E263" t="s">
        <v>767</v>
      </c>
      <c r="F263" s="5">
        <v>39400</v>
      </c>
      <c r="G263" t="s">
        <v>780</v>
      </c>
      <c r="H263" s="2">
        <v>45320</v>
      </c>
      <c r="J263" t="str">
        <f>IF(Sales_Data[[#This Row],[Close Date]] &lt;&gt; 0,"Closed", "Open")</f>
        <v>Closed</v>
      </c>
      <c r="K263">
        <f>IF(Sales_Data[[#This Row],[Open/Closed]] = "Closed",Sales_Data[[#This Row],[Close Date]]-Sales_Data[[#This Row],[Created Date]],"")</f>
        <v>78</v>
      </c>
      <c r="L263" s="2">
        <f>EOMONTH(Sales_Data[[#This Row],[Created Date]],0)</f>
        <v>45260</v>
      </c>
      <c r="M263" t="b">
        <f>AND(Sales_Data[[#This Row],[EoM Created]]&gt;=Index!$E$5,Sales_Data[[#This Row],[EoM Created]]&lt;=Index!$E$4)</f>
        <v>1</v>
      </c>
      <c r="N263" t="b" cm="1">
        <f t="array" ref="N263">_xlfn.XLOOKUP(Sales_Data[[#This Row],[Sales Team]],_xlfn.ANCHORARRAY(Dashboard!$B$9),Dashboard!$D$9:$D$10,,0)</f>
        <v>1</v>
      </c>
      <c r="O263" t="b" cm="1">
        <f t="array" ref="O263">_xlfn.XLOOKUP(Sales_Data[[#This Row],[Sales Rep]],_xlfn.ANCHORARRAY(Dashboard!$B$13),Dashboard!$D$13:$D$17,,0)</f>
        <v>1</v>
      </c>
      <c r="P263" t="b" cm="1">
        <f t="array" ref="P263">_xlfn.XLOOKUP(Sales_Data[[#This Row],[Stage]],_xlfn.ANCHORARRAY(Dashboard!$B$20),Dashboard!$D$20:$D$25)</f>
        <v>1</v>
      </c>
      <c r="Q263" t="b" cm="1">
        <f t="array" ref="Q263">_xlfn.XLOOKUP(Sales_Data[[#This Row],[Lead Source]],_xlfn.ANCHORARRAY(Dashboard!$B$28),Dashboard!$D$28:$D$32)</f>
        <v>1</v>
      </c>
      <c r="R263">
        <f>Sales_Data[[#This Row],[Date inc]]*Sales_Data[[#This Row],[Team Inc]]*Sales_Data[[#This Row],[Rep Inc]]*Sales_Data[[#This Row],[Stage Inc]]*Sales_Data[[#This Row],[Source Inc]]</f>
        <v>1</v>
      </c>
    </row>
    <row r="264" spans="1:18" x14ac:dyDescent="0.3">
      <c r="A264" t="s">
        <v>271</v>
      </c>
      <c r="B264" s="2">
        <v>45416</v>
      </c>
      <c r="C264" t="s">
        <v>761</v>
      </c>
      <c r="D264" t="s">
        <v>765</v>
      </c>
      <c r="E264" t="s">
        <v>769</v>
      </c>
      <c r="F264" s="5">
        <v>7600</v>
      </c>
      <c r="G264" t="s">
        <v>780</v>
      </c>
      <c r="H264" s="2">
        <v>45500</v>
      </c>
      <c r="J264" t="str">
        <f>IF(Sales_Data[[#This Row],[Close Date]] &lt;&gt; 0,"Closed", "Open")</f>
        <v>Closed</v>
      </c>
      <c r="K264">
        <f>IF(Sales_Data[[#This Row],[Open/Closed]] = "Closed",Sales_Data[[#This Row],[Close Date]]-Sales_Data[[#This Row],[Created Date]],"")</f>
        <v>84</v>
      </c>
      <c r="L264" s="2">
        <f>EOMONTH(Sales_Data[[#This Row],[Created Date]],0)</f>
        <v>45443</v>
      </c>
      <c r="M264" t="b">
        <f>AND(Sales_Data[[#This Row],[EoM Created]]&gt;=Index!$E$5,Sales_Data[[#This Row],[EoM Created]]&lt;=Index!$E$4)</f>
        <v>1</v>
      </c>
      <c r="N264" t="b" cm="1">
        <f t="array" ref="N264">_xlfn.XLOOKUP(Sales_Data[[#This Row],[Sales Team]],_xlfn.ANCHORARRAY(Dashboard!$B$9),Dashboard!$D$9:$D$10,,0)</f>
        <v>1</v>
      </c>
      <c r="O264" t="b" cm="1">
        <f t="array" ref="O264">_xlfn.XLOOKUP(Sales_Data[[#This Row],[Sales Rep]],_xlfn.ANCHORARRAY(Dashboard!$B$13),Dashboard!$D$13:$D$17,,0)</f>
        <v>1</v>
      </c>
      <c r="P264" t="b" cm="1">
        <f t="array" ref="P264">_xlfn.XLOOKUP(Sales_Data[[#This Row],[Stage]],_xlfn.ANCHORARRAY(Dashboard!$B$20),Dashboard!$D$20:$D$25)</f>
        <v>1</v>
      </c>
      <c r="Q264" t="b" cm="1">
        <f t="array" ref="Q264">_xlfn.XLOOKUP(Sales_Data[[#This Row],[Lead Source]],_xlfn.ANCHORARRAY(Dashboard!$B$28),Dashboard!$D$28:$D$32)</f>
        <v>1</v>
      </c>
      <c r="R264">
        <f>Sales_Data[[#This Row],[Date inc]]*Sales_Data[[#This Row],[Team Inc]]*Sales_Data[[#This Row],[Rep Inc]]*Sales_Data[[#This Row],[Stage Inc]]*Sales_Data[[#This Row],[Source Inc]]</f>
        <v>1</v>
      </c>
    </row>
    <row r="265" spans="1:18" x14ac:dyDescent="0.3">
      <c r="A265" t="s">
        <v>272</v>
      </c>
      <c r="B265" s="2">
        <v>45573</v>
      </c>
      <c r="C265" t="s">
        <v>761</v>
      </c>
      <c r="D265" t="s">
        <v>765</v>
      </c>
      <c r="E265" t="s">
        <v>770</v>
      </c>
      <c r="F265" s="5">
        <v>29800</v>
      </c>
      <c r="G265" t="s">
        <v>780</v>
      </c>
      <c r="H265" s="2">
        <v>45645</v>
      </c>
      <c r="J265" t="str">
        <f>IF(Sales_Data[[#This Row],[Close Date]] &lt;&gt; 0,"Closed", "Open")</f>
        <v>Closed</v>
      </c>
      <c r="K265">
        <f>IF(Sales_Data[[#This Row],[Open/Closed]] = "Closed",Sales_Data[[#This Row],[Close Date]]-Sales_Data[[#This Row],[Created Date]],"")</f>
        <v>72</v>
      </c>
      <c r="L265" s="2">
        <f>EOMONTH(Sales_Data[[#This Row],[Created Date]],0)</f>
        <v>45596</v>
      </c>
      <c r="M265" t="b">
        <f>AND(Sales_Data[[#This Row],[EoM Created]]&gt;=Index!$E$5,Sales_Data[[#This Row],[EoM Created]]&lt;=Index!$E$4)</f>
        <v>1</v>
      </c>
      <c r="N265" t="b" cm="1">
        <f t="array" ref="N265">_xlfn.XLOOKUP(Sales_Data[[#This Row],[Sales Team]],_xlfn.ANCHORARRAY(Dashboard!$B$9),Dashboard!$D$9:$D$10,,0)</f>
        <v>1</v>
      </c>
      <c r="O265" t="b" cm="1">
        <f t="array" ref="O265">_xlfn.XLOOKUP(Sales_Data[[#This Row],[Sales Rep]],_xlfn.ANCHORARRAY(Dashboard!$B$13),Dashboard!$D$13:$D$17,,0)</f>
        <v>1</v>
      </c>
      <c r="P265" t="b" cm="1">
        <f t="array" ref="P265">_xlfn.XLOOKUP(Sales_Data[[#This Row],[Stage]],_xlfn.ANCHORARRAY(Dashboard!$B$20),Dashboard!$D$20:$D$25)</f>
        <v>1</v>
      </c>
      <c r="Q265" t="b" cm="1">
        <f t="array" ref="Q265">_xlfn.XLOOKUP(Sales_Data[[#This Row],[Lead Source]],_xlfn.ANCHORARRAY(Dashboard!$B$28),Dashboard!$D$28:$D$32)</f>
        <v>1</v>
      </c>
      <c r="R265">
        <f>Sales_Data[[#This Row],[Date inc]]*Sales_Data[[#This Row],[Team Inc]]*Sales_Data[[#This Row],[Rep Inc]]*Sales_Data[[#This Row],[Stage Inc]]*Sales_Data[[#This Row],[Source Inc]]</f>
        <v>1</v>
      </c>
    </row>
    <row r="266" spans="1:18" x14ac:dyDescent="0.3">
      <c r="A266" t="s">
        <v>273</v>
      </c>
      <c r="B266" s="2">
        <v>45404</v>
      </c>
      <c r="C266" t="s">
        <v>761</v>
      </c>
      <c r="D266" t="s">
        <v>765</v>
      </c>
      <c r="E266" t="s">
        <v>770</v>
      </c>
      <c r="F266" s="5">
        <v>37500</v>
      </c>
      <c r="G266" t="s">
        <v>781</v>
      </c>
      <c r="H266" s="2">
        <v>45480</v>
      </c>
      <c r="I266" t="s">
        <v>779</v>
      </c>
      <c r="J266" t="str">
        <f>IF(Sales_Data[[#This Row],[Close Date]] &lt;&gt; 0,"Closed", "Open")</f>
        <v>Closed</v>
      </c>
      <c r="K266">
        <f>IF(Sales_Data[[#This Row],[Open/Closed]] = "Closed",Sales_Data[[#This Row],[Close Date]]-Sales_Data[[#This Row],[Created Date]],"")</f>
        <v>76</v>
      </c>
      <c r="L266" s="2">
        <f>EOMONTH(Sales_Data[[#This Row],[Created Date]],0)</f>
        <v>45412</v>
      </c>
      <c r="M266" t="b">
        <f>AND(Sales_Data[[#This Row],[EoM Created]]&gt;=Index!$E$5,Sales_Data[[#This Row],[EoM Created]]&lt;=Index!$E$4)</f>
        <v>1</v>
      </c>
      <c r="N266" t="b" cm="1">
        <f t="array" ref="N266">_xlfn.XLOOKUP(Sales_Data[[#This Row],[Sales Team]],_xlfn.ANCHORARRAY(Dashboard!$B$9),Dashboard!$D$9:$D$10,,0)</f>
        <v>1</v>
      </c>
      <c r="O266" t="b" cm="1">
        <f t="array" ref="O266">_xlfn.XLOOKUP(Sales_Data[[#This Row],[Sales Rep]],_xlfn.ANCHORARRAY(Dashboard!$B$13),Dashboard!$D$13:$D$17,,0)</f>
        <v>1</v>
      </c>
      <c r="P266" t="b" cm="1">
        <f t="array" ref="P266">_xlfn.XLOOKUP(Sales_Data[[#This Row],[Stage]],_xlfn.ANCHORARRAY(Dashboard!$B$20),Dashboard!$D$20:$D$25)</f>
        <v>1</v>
      </c>
      <c r="Q266" t="b" cm="1">
        <f t="array" ref="Q266">_xlfn.XLOOKUP(Sales_Data[[#This Row],[Lead Source]],_xlfn.ANCHORARRAY(Dashboard!$B$28),Dashboard!$D$28:$D$32)</f>
        <v>1</v>
      </c>
      <c r="R266">
        <f>Sales_Data[[#This Row],[Date inc]]*Sales_Data[[#This Row],[Team Inc]]*Sales_Data[[#This Row],[Rep Inc]]*Sales_Data[[#This Row],[Stage Inc]]*Sales_Data[[#This Row],[Source Inc]]</f>
        <v>1</v>
      </c>
    </row>
    <row r="267" spans="1:18" x14ac:dyDescent="0.3">
      <c r="A267" t="s">
        <v>274</v>
      </c>
      <c r="B267" s="2">
        <v>45365</v>
      </c>
      <c r="C267" t="s">
        <v>759</v>
      </c>
      <c r="D267" t="s">
        <v>764</v>
      </c>
      <c r="E267" t="s">
        <v>767</v>
      </c>
      <c r="F267" s="5">
        <v>27500</v>
      </c>
      <c r="G267" t="s">
        <v>781</v>
      </c>
      <c r="H267" s="2">
        <v>45426</v>
      </c>
      <c r="I267" t="s">
        <v>779</v>
      </c>
      <c r="J267" t="str">
        <f>IF(Sales_Data[[#This Row],[Close Date]] &lt;&gt; 0,"Closed", "Open")</f>
        <v>Closed</v>
      </c>
      <c r="K267">
        <f>IF(Sales_Data[[#This Row],[Open/Closed]] = "Closed",Sales_Data[[#This Row],[Close Date]]-Sales_Data[[#This Row],[Created Date]],"")</f>
        <v>61</v>
      </c>
      <c r="L267" s="2">
        <f>EOMONTH(Sales_Data[[#This Row],[Created Date]],0)</f>
        <v>45382</v>
      </c>
      <c r="M267" t="b">
        <f>AND(Sales_Data[[#This Row],[EoM Created]]&gt;=Index!$E$5,Sales_Data[[#This Row],[EoM Created]]&lt;=Index!$E$4)</f>
        <v>1</v>
      </c>
      <c r="N267" t="b" cm="1">
        <f t="array" ref="N267">_xlfn.XLOOKUP(Sales_Data[[#This Row],[Sales Team]],_xlfn.ANCHORARRAY(Dashboard!$B$9),Dashboard!$D$9:$D$10,,0)</f>
        <v>1</v>
      </c>
      <c r="O267" t="b" cm="1">
        <f t="array" ref="O267">_xlfn.XLOOKUP(Sales_Data[[#This Row],[Sales Rep]],_xlfn.ANCHORARRAY(Dashboard!$B$13),Dashboard!$D$13:$D$17,,0)</f>
        <v>1</v>
      </c>
      <c r="P267" t="b" cm="1">
        <f t="array" ref="P267">_xlfn.XLOOKUP(Sales_Data[[#This Row],[Stage]],_xlfn.ANCHORARRAY(Dashboard!$B$20),Dashboard!$D$20:$D$25)</f>
        <v>1</v>
      </c>
      <c r="Q267" t="b" cm="1">
        <f t="array" ref="Q267">_xlfn.XLOOKUP(Sales_Data[[#This Row],[Lead Source]],_xlfn.ANCHORARRAY(Dashboard!$B$28),Dashboard!$D$28:$D$32)</f>
        <v>1</v>
      </c>
      <c r="R267">
        <f>Sales_Data[[#This Row],[Date inc]]*Sales_Data[[#This Row],[Team Inc]]*Sales_Data[[#This Row],[Rep Inc]]*Sales_Data[[#This Row],[Stage Inc]]*Sales_Data[[#This Row],[Source Inc]]</f>
        <v>1</v>
      </c>
    </row>
    <row r="268" spans="1:18" x14ac:dyDescent="0.3">
      <c r="A268" t="s">
        <v>275</v>
      </c>
      <c r="B268" s="2">
        <v>45248</v>
      </c>
      <c r="C268" t="s">
        <v>763</v>
      </c>
      <c r="D268" t="s">
        <v>765</v>
      </c>
      <c r="E268" t="s">
        <v>770</v>
      </c>
      <c r="F268" s="5">
        <v>56300</v>
      </c>
      <c r="G268" t="s">
        <v>781</v>
      </c>
      <c r="H268" s="2">
        <v>45318</v>
      </c>
      <c r="I268" t="s">
        <v>775</v>
      </c>
      <c r="J268" t="str">
        <f>IF(Sales_Data[[#This Row],[Close Date]] &lt;&gt; 0,"Closed", "Open")</f>
        <v>Closed</v>
      </c>
      <c r="K268">
        <f>IF(Sales_Data[[#This Row],[Open/Closed]] = "Closed",Sales_Data[[#This Row],[Close Date]]-Sales_Data[[#This Row],[Created Date]],"")</f>
        <v>70</v>
      </c>
      <c r="L268" s="2">
        <f>EOMONTH(Sales_Data[[#This Row],[Created Date]],0)</f>
        <v>45260</v>
      </c>
      <c r="M268" t="b">
        <f>AND(Sales_Data[[#This Row],[EoM Created]]&gt;=Index!$E$5,Sales_Data[[#This Row],[EoM Created]]&lt;=Index!$E$4)</f>
        <v>1</v>
      </c>
      <c r="N268" t="b" cm="1">
        <f t="array" ref="N268">_xlfn.XLOOKUP(Sales_Data[[#This Row],[Sales Team]],_xlfn.ANCHORARRAY(Dashboard!$B$9),Dashboard!$D$9:$D$10,,0)</f>
        <v>1</v>
      </c>
      <c r="O268" t="b" cm="1">
        <f t="array" ref="O268">_xlfn.XLOOKUP(Sales_Data[[#This Row],[Sales Rep]],_xlfn.ANCHORARRAY(Dashboard!$B$13),Dashboard!$D$13:$D$17,,0)</f>
        <v>1</v>
      </c>
      <c r="P268" t="b" cm="1">
        <f t="array" ref="P268">_xlfn.XLOOKUP(Sales_Data[[#This Row],[Stage]],_xlfn.ANCHORARRAY(Dashboard!$B$20),Dashboard!$D$20:$D$25)</f>
        <v>1</v>
      </c>
      <c r="Q268" t="b" cm="1">
        <f t="array" ref="Q268">_xlfn.XLOOKUP(Sales_Data[[#This Row],[Lead Source]],_xlfn.ANCHORARRAY(Dashboard!$B$28),Dashboard!$D$28:$D$32)</f>
        <v>1</v>
      </c>
      <c r="R268">
        <f>Sales_Data[[#This Row],[Date inc]]*Sales_Data[[#This Row],[Team Inc]]*Sales_Data[[#This Row],[Rep Inc]]*Sales_Data[[#This Row],[Stage Inc]]*Sales_Data[[#This Row],[Source Inc]]</f>
        <v>1</v>
      </c>
    </row>
    <row r="269" spans="1:18" x14ac:dyDescent="0.3">
      <c r="A269" t="s">
        <v>276</v>
      </c>
      <c r="B269" s="2">
        <v>45313</v>
      </c>
      <c r="C269" t="s">
        <v>762</v>
      </c>
      <c r="D269" t="s">
        <v>764</v>
      </c>
      <c r="E269" t="s">
        <v>767</v>
      </c>
      <c r="F269" s="5">
        <v>25700</v>
      </c>
      <c r="G269" t="s">
        <v>781</v>
      </c>
      <c r="H269" s="2">
        <v>45385</v>
      </c>
      <c r="I269" t="s">
        <v>778</v>
      </c>
      <c r="J269" t="str">
        <f>IF(Sales_Data[[#This Row],[Close Date]] &lt;&gt; 0,"Closed", "Open")</f>
        <v>Closed</v>
      </c>
      <c r="K269">
        <f>IF(Sales_Data[[#This Row],[Open/Closed]] = "Closed",Sales_Data[[#This Row],[Close Date]]-Sales_Data[[#This Row],[Created Date]],"")</f>
        <v>72</v>
      </c>
      <c r="L269" s="2">
        <f>EOMONTH(Sales_Data[[#This Row],[Created Date]],0)</f>
        <v>45322</v>
      </c>
      <c r="M269" t="b">
        <f>AND(Sales_Data[[#This Row],[EoM Created]]&gt;=Index!$E$5,Sales_Data[[#This Row],[EoM Created]]&lt;=Index!$E$4)</f>
        <v>1</v>
      </c>
      <c r="N269" t="b" cm="1">
        <f t="array" ref="N269">_xlfn.XLOOKUP(Sales_Data[[#This Row],[Sales Team]],_xlfn.ANCHORARRAY(Dashboard!$B$9),Dashboard!$D$9:$D$10,,0)</f>
        <v>1</v>
      </c>
      <c r="O269" t="b" cm="1">
        <f t="array" ref="O269">_xlfn.XLOOKUP(Sales_Data[[#This Row],[Sales Rep]],_xlfn.ANCHORARRAY(Dashboard!$B$13),Dashboard!$D$13:$D$17,,0)</f>
        <v>1</v>
      </c>
      <c r="P269" t="b" cm="1">
        <f t="array" ref="P269">_xlfn.XLOOKUP(Sales_Data[[#This Row],[Stage]],_xlfn.ANCHORARRAY(Dashboard!$B$20),Dashboard!$D$20:$D$25)</f>
        <v>1</v>
      </c>
      <c r="Q269" t="b" cm="1">
        <f t="array" ref="Q269">_xlfn.XLOOKUP(Sales_Data[[#This Row],[Lead Source]],_xlfn.ANCHORARRAY(Dashboard!$B$28),Dashboard!$D$28:$D$32)</f>
        <v>1</v>
      </c>
      <c r="R269">
        <f>Sales_Data[[#This Row],[Date inc]]*Sales_Data[[#This Row],[Team Inc]]*Sales_Data[[#This Row],[Rep Inc]]*Sales_Data[[#This Row],[Stage Inc]]*Sales_Data[[#This Row],[Source Inc]]</f>
        <v>1</v>
      </c>
    </row>
    <row r="270" spans="1:18" x14ac:dyDescent="0.3">
      <c r="A270" t="s">
        <v>277</v>
      </c>
      <c r="B270" s="2">
        <v>45789</v>
      </c>
      <c r="C270" t="s">
        <v>759</v>
      </c>
      <c r="D270" t="s">
        <v>764</v>
      </c>
      <c r="E270" t="s">
        <v>766</v>
      </c>
      <c r="F270" s="5">
        <v>35600</v>
      </c>
      <c r="G270" t="s">
        <v>772</v>
      </c>
      <c r="H270" s="2"/>
      <c r="J270" t="str">
        <f>IF(Sales_Data[[#This Row],[Close Date]] &lt;&gt; 0,"Closed", "Open")</f>
        <v>Open</v>
      </c>
      <c r="K270" t="str">
        <f>IF(Sales_Data[[#This Row],[Open/Closed]] = "Closed",Sales_Data[[#This Row],[Close Date]]-Sales_Data[[#This Row],[Created Date]],"")</f>
        <v/>
      </c>
      <c r="L270" s="2">
        <f>EOMONTH(Sales_Data[[#This Row],[Created Date]],0)</f>
        <v>45808</v>
      </c>
      <c r="M270" t="b">
        <f>AND(Sales_Data[[#This Row],[EoM Created]]&gt;=Index!$E$5,Sales_Data[[#This Row],[EoM Created]]&lt;=Index!$E$4)</f>
        <v>1</v>
      </c>
      <c r="N270" t="b" cm="1">
        <f t="array" ref="N270">_xlfn.XLOOKUP(Sales_Data[[#This Row],[Sales Team]],_xlfn.ANCHORARRAY(Dashboard!$B$9),Dashboard!$D$9:$D$10,,0)</f>
        <v>1</v>
      </c>
      <c r="O270" t="b" cm="1">
        <f t="array" ref="O270">_xlfn.XLOOKUP(Sales_Data[[#This Row],[Sales Rep]],_xlfn.ANCHORARRAY(Dashboard!$B$13),Dashboard!$D$13:$D$17,,0)</f>
        <v>1</v>
      </c>
      <c r="P270" t="b" cm="1">
        <f t="array" ref="P270">_xlfn.XLOOKUP(Sales_Data[[#This Row],[Stage]],_xlfn.ANCHORARRAY(Dashboard!$B$20),Dashboard!$D$20:$D$25)</f>
        <v>1</v>
      </c>
      <c r="Q270" t="b" cm="1">
        <f t="array" ref="Q270">_xlfn.XLOOKUP(Sales_Data[[#This Row],[Lead Source]],_xlfn.ANCHORARRAY(Dashboard!$B$28),Dashboard!$D$28:$D$32)</f>
        <v>1</v>
      </c>
      <c r="R270">
        <f>Sales_Data[[#This Row],[Date inc]]*Sales_Data[[#This Row],[Team Inc]]*Sales_Data[[#This Row],[Rep Inc]]*Sales_Data[[#This Row],[Stage Inc]]*Sales_Data[[#This Row],[Source Inc]]</f>
        <v>1</v>
      </c>
    </row>
    <row r="271" spans="1:18" x14ac:dyDescent="0.3">
      <c r="A271" t="s">
        <v>278</v>
      </c>
      <c r="B271" s="2">
        <v>45349</v>
      </c>
      <c r="C271" t="s">
        <v>762</v>
      </c>
      <c r="D271" t="s">
        <v>764</v>
      </c>
      <c r="E271" t="s">
        <v>767</v>
      </c>
      <c r="F271" s="5">
        <v>41300</v>
      </c>
      <c r="G271" t="s">
        <v>780</v>
      </c>
      <c r="H271" s="2">
        <v>45412</v>
      </c>
      <c r="J271" t="str">
        <f>IF(Sales_Data[[#This Row],[Close Date]] &lt;&gt; 0,"Closed", "Open")</f>
        <v>Closed</v>
      </c>
      <c r="K271">
        <f>IF(Sales_Data[[#This Row],[Open/Closed]] = "Closed",Sales_Data[[#This Row],[Close Date]]-Sales_Data[[#This Row],[Created Date]],"")</f>
        <v>63</v>
      </c>
      <c r="L271" s="2">
        <f>EOMONTH(Sales_Data[[#This Row],[Created Date]],0)</f>
        <v>45351</v>
      </c>
      <c r="M271" t="b">
        <f>AND(Sales_Data[[#This Row],[EoM Created]]&gt;=Index!$E$5,Sales_Data[[#This Row],[EoM Created]]&lt;=Index!$E$4)</f>
        <v>1</v>
      </c>
      <c r="N271" t="b" cm="1">
        <f t="array" ref="N271">_xlfn.XLOOKUP(Sales_Data[[#This Row],[Sales Team]],_xlfn.ANCHORARRAY(Dashboard!$B$9),Dashboard!$D$9:$D$10,,0)</f>
        <v>1</v>
      </c>
      <c r="O271" t="b" cm="1">
        <f t="array" ref="O271">_xlfn.XLOOKUP(Sales_Data[[#This Row],[Sales Rep]],_xlfn.ANCHORARRAY(Dashboard!$B$13),Dashboard!$D$13:$D$17,,0)</f>
        <v>1</v>
      </c>
      <c r="P271" t="b" cm="1">
        <f t="array" ref="P271">_xlfn.XLOOKUP(Sales_Data[[#This Row],[Stage]],_xlfn.ANCHORARRAY(Dashboard!$B$20),Dashboard!$D$20:$D$25)</f>
        <v>1</v>
      </c>
      <c r="Q271" t="b" cm="1">
        <f t="array" ref="Q271">_xlfn.XLOOKUP(Sales_Data[[#This Row],[Lead Source]],_xlfn.ANCHORARRAY(Dashboard!$B$28),Dashboard!$D$28:$D$32)</f>
        <v>1</v>
      </c>
      <c r="R271">
        <f>Sales_Data[[#This Row],[Date inc]]*Sales_Data[[#This Row],[Team Inc]]*Sales_Data[[#This Row],[Rep Inc]]*Sales_Data[[#This Row],[Stage Inc]]*Sales_Data[[#This Row],[Source Inc]]</f>
        <v>1</v>
      </c>
    </row>
    <row r="272" spans="1:18" x14ac:dyDescent="0.3">
      <c r="A272" t="s">
        <v>279</v>
      </c>
      <c r="B272" s="2">
        <v>45829</v>
      </c>
      <c r="C272" t="s">
        <v>759</v>
      </c>
      <c r="D272" t="s">
        <v>764</v>
      </c>
      <c r="E272" t="s">
        <v>766</v>
      </c>
      <c r="F272" s="5">
        <v>54400</v>
      </c>
      <c r="G272" t="s">
        <v>773</v>
      </c>
      <c r="H272" s="2"/>
      <c r="J272" t="str">
        <f>IF(Sales_Data[[#This Row],[Close Date]] &lt;&gt; 0,"Closed", "Open")</f>
        <v>Open</v>
      </c>
      <c r="K272" t="str">
        <f>IF(Sales_Data[[#This Row],[Open/Closed]] = "Closed",Sales_Data[[#This Row],[Close Date]]-Sales_Data[[#This Row],[Created Date]],"")</f>
        <v/>
      </c>
      <c r="L272" s="2">
        <f>EOMONTH(Sales_Data[[#This Row],[Created Date]],0)</f>
        <v>45838</v>
      </c>
      <c r="M272" t="b">
        <f>AND(Sales_Data[[#This Row],[EoM Created]]&gt;=Index!$E$5,Sales_Data[[#This Row],[EoM Created]]&lt;=Index!$E$4)</f>
        <v>1</v>
      </c>
      <c r="N272" t="b" cm="1">
        <f t="array" ref="N272">_xlfn.XLOOKUP(Sales_Data[[#This Row],[Sales Team]],_xlfn.ANCHORARRAY(Dashboard!$B$9),Dashboard!$D$9:$D$10,,0)</f>
        <v>1</v>
      </c>
      <c r="O272" t="b" cm="1">
        <f t="array" ref="O272">_xlfn.XLOOKUP(Sales_Data[[#This Row],[Sales Rep]],_xlfn.ANCHORARRAY(Dashboard!$B$13),Dashboard!$D$13:$D$17,,0)</f>
        <v>1</v>
      </c>
      <c r="P272" t="b" cm="1">
        <f t="array" ref="P272">_xlfn.XLOOKUP(Sales_Data[[#This Row],[Stage]],_xlfn.ANCHORARRAY(Dashboard!$B$20),Dashboard!$D$20:$D$25)</f>
        <v>1</v>
      </c>
      <c r="Q272" t="b" cm="1">
        <f t="array" ref="Q272">_xlfn.XLOOKUP(Sales_Data[[#This Row],[Lead Source]],_xlfn.ANCHORARRAY(Dashboard!$B$28),Dashboard!$D$28:$D$32)</f>
        <v>1</v>
      </c>
      <c r="R272">
        <f>Sales_Data[[#This Row],[Date inc]]*Sales_Data[[#This Row],[Team Inc]]*Sales_Data[[#This Row],[Rep Inc]]*Sales_Data[[#This Row],[Stage Inc]]*Sales_Data[[#This Row],[Source Inc]]</f>
        <v>1</v>
      </c>
    </row>
    <row r="273" spans="1:18" x14ac:dyDescent="0.3">
      <c r="A273" t="s">
        <v>280</v>
      </c>
      <c r="B273" s="2">
        <v>45772</v>
      </c>
      <c r="C273" t="s">
        <v>761</v>
      </c>
      <c r="D273" t="s">
        <v>765</v>
      </c>
      <c r="E273" t="s">
        <v>769</v>
      </c>
      <c r="F273" s="5">
        <v>25600</v>
      </c>
      <c r="G273" t="s">
        <v>774</v>
      </c>
      <c r="H273" s="2"/>
      <c r="J273" t="str">
        <f>IF(Sales_Data[[#This Row],[Close Date]] &lt;&gt; 0,"Closed", "Open")</f>
        <v>Open</v>
      </c>
      <c r="K273" t="str">
        <f>IF(Sales_Data[[#This Row],[Open/Closed]] = "Closed",Sales_Data[[#This Row],[Close Date]]-Sales_Data[[#This Row],[Created Date]],"")</f>
        <v/>
      </c>
      <c r="L273" s="2">
        <f>EOMONTH(Sales_Data[[#This Row],[Created Date]],0)</f>
        <v>45777</v>
      </c>
      <c r="M273" t="b">
        <f>AND(Sales_Data[[#This Row],[EoM Created]]&gt;=Index!$E$5,Sales_Data[[#This Row],[EoM Created]]&lt;=Index!$E$4)</f>
        <v>1</v>
      </c>
      <c r="N273" t="b" cm="1">
        <f t="array" ref="N273">_xlfn.XLOOKUP(Sales_Data[[#This Row],[Sales Team]],_xlfn.ANCHORARRAY(Dashboard!$B$9),Dashboard!$D$9:$D$10,,0)</f>
        <v>1</v>
      </c>
      <c r="O273" t="b" cm="1">
        <f t="array" ref="O273">_xlfn.XLOOKUP(Sales_Data[[#This Row],[Sales Rep]],_xlfn.ANCHORARRAY(Dashboard!$B$13),Dashboard!$D$13:$D$17,,0)</f>
        <v>1</v>
      </c>
      <c r="P273" t="b" cm="1">
        <f t="array" ref="P273">_xlfn.XLOOKUP(Sales_Data[[#This Row],[Stage]],_xlfn.ANCHORARRAY(Dashboard!$B$20),Dashboard!$D$20:$D$25)</f>
        <v>1</v>
      </c>
      <c r="Q273" t="b" cm="1">
        <f t="array" ref="Q273">_xlfn.XLOOKUP(Sales_Data[[#This Row],[Lead Source]],_xlfn.ANCHORARRAY(Dashboard!$B$28),Dashboard!$D$28:$D$32)</f>
        <v>1</v>
      </c>
      <c r="R273">
        <f>Sales_Data[[#This Row],[Date inc]]*Sales_Data[[#This Row],[Team Inc]]*Sales_Data[[#This Row],[Rep Inc]]*Sales_Data[[#This Row],[Stage Inc]]*Sales_Data[[#This Row],[Source Inc]]</f>
        <v>1</v>
      </c>
    </row>
    <row r="274" spans="1:18" x14ac:dyDescent="0.3">
      <c r="A274" t="s">
        <v>281</v>
      </c>
      <c r="B274" s="2">
        <v>45192</v>
      </c>
      <c r="C274" t="s">
        <v>761</v>
      </c>
      <c r="D274" t="s">
        <v>765</v>
      </c>
      <c r="E274" t="s">
        <v>770</v>
      </c>
      <c r="F274" s="5">
        <v>51600</v>
      </c>
      <c r="G274" t="s">
        <v>781</v>
      </c>
      <c r="H274" s="2">
        <v>45279</v>
      </c>
      <c r="I274" t="s">
        <v>775</v>
      </c>
      <c r="J274" t="str">
        <f>IF(Sales_Data[[#This Row],[Close Date]] &lt;&gt; 0,"Closed", "Open")</f>
        <v>Closed</v>
      </c>
      <c r="K274">
        <f>IF(Sales_Data[[#This Row],[Open/Closed]] = "Closed",Sales_Data[[#This Row],[Close Date]]-Sales_Data[[#This Row],[Created Date]],"")</f>
        <v>87</v>
      </c>
      <c r="L274" s="2">
        <f>EOMONTH(Sales_Data[[#This Row],[Created Date]],0)</f>
        <v>45199</v>
      </c>
      <c r="M274" t="b">
        <f>AND(Sales_Data[[#This Row],[EoM Created]]&gt;=Index!$E$5,Sales_Data[[#This Row],[EoM Created]]&lt;=Index!$E$4)</f>
        <v>1</v>
      </c>
      <c r="N274" t="b" cm="1">
        <f t="array" ref="N274">_xlfn.XLOOKUP(Sales_Data[[#This Row],[Sales Team]],_xlfn.ANCHORARRAY(Dashboard!$B$9),Dashboard!$D$9:$D$10,,0)</f>
        <v>1</v>
      </c>
      <c r="O274" t="b" cm="1">
        <f t="array" ref="O274">_xlfn.XLOOKUP(Sales_Data[[#This Row],[Sales Rep]],_xlfn.ANCHORARRAY(Dashboard!$B$13),Dashboard!$D$13:$D$17,,0)</f>
        <v>1</v>
      </c>
      <c r="P274" t="b" cm="1">
        <f t="array" ref="P274">_xlfn.XLOOKUP(Sales_Data[[#This Row],[Stage]],_xlfn.ANCHORARRAY(Dashboard!$B$20),Dashboard!$D$20:$D$25)</f>
        <v>1</v>
      </c>
      <c r="Q274" t="b" cm="1">
        <f t="array" ref="Q274">_xlfn.XLOOKUP(Sales_Data[[#This Row],[Lead Source]],_xlfn.ANCHORARRAY(Dashboard!$B$28),Dashboard!$D$28:$D$32)</f>
        <v>1</v>
      </c>
      <c r="R274">
        <f>Sales_Data[[#This Row],[Date inc]]*Sales_Data[[#This Row],[Team Inc]]*Sales_Data[[#This Row],[Rep Inc]]*Sales_Data[[#This Row],[Stage Inc]]*Sales_Data[[#This Row],[Source Inc]]</f>
        <v>1</v>
      </c>
    </row>
    <row r="275" spans="1:18" x14ac:dyDescent="0.3">
      <c r="A275" t="s">
        <v>282</v>
      </c>
      <c r="B275" s="2">
        <v>45587</v>
      </c>
      <c r="C275" t="s">
        <v>759</v>
      </c>
      <c r="D275" t="s">
        <v>764</v>
      </c>
      <c r="E275" t="s">
        <v>766</v>
      </c>
      <c r="F275" s="5">
        <v>40100</v>
      </c>
      <c r="G275" t="s">
        <v>781</v>
      </c>
      <c r="H275" s="2">
        <v>45657</v>
      </c>
      <c r="I275" t="s">
        <v>776</v>
      </c>
      <c r="J275" t="str">
        <f>IF(Sales_Data[[#This Row],[Close Date]] &lt;&gt; 0,"Closed", "Open")</f>
        <v>Closed</v>
      </c>
      <c r="K275">
        <f>IF(Sales_Data[[#This Row],[Open/Closed]] = "Closed",Sales_Data[[#This Row],[Close Date]]-Sales_Data[[#This Row],[Created Date]],"")</f>
        <v>70</v>
      </c>
      <c r="L275" s="2">
        <f>EOMONTH(Sales_Data[[#This Row],[Created Date]],0)</f>
        <v>45596</v>
      </c>
      <c r="M275" t="b">
        <f>AND(Sales_Data[[#This Row],[EoM Created]]&gt;=Index!$E$5,Sales_Data[[#This Row],[EoM Created]]&lt;=Index!$E$4)</f>
        <v>1</v>
      </c>
      <c r="N275" t="b" cm="1">
        <f t="array" ref="N275">_xlfn.XLOOKUP(Sales_Data[[#This Row],[Sales Team]],_xlfn.ANCHORARRAY(Dashboard!$B$9),Dashboard!$D$9:$D$10,,0)</f>
        <v>1</v>
      </c>
      <c r="O275" t="b" cm="1">
        <f t="array" ref="O275">_xlfn.XLOOKUP(Sales_Data[[#This Row],[Sales Rep]],_xlfn.ANCHORARRAY(Dashboard!$B$13),Dashboard!$D$13:$D$17,,0)</f>
        <v>1</v>
      </c>
      <c r="P275" t="b" cm="1">
        <f t="array" ref="P275">_xlfn.XLOOKUP(Sales_Data[[#This Row],[Stage]],_xlfn.ANCHORARRAY(Dashboard!$B$20),Dashboard!$D$20:$D$25)</f>
        <v>1</v>
      </c>
      <c r="Q275" t="b" cm="1">
        <f t="array" ref="Q275">_xlfn.XLOOKUP(Sales_Data[[#This Row],[Lead Source]],_xlfn.ANCHORARRAY(Dashboard!$B$28),Dashboard!$D$28:$D$32)</f>
        <v>1</v>
      </c>
      <c r="R275">
        <f>Sales_Data[[#This Row],[Date inc]]*Sales_Data[[#This Row],[Team Inc]]*Sales_Data[[#This Row],[Rep Inc]]*Sales_Data[[#This Row],[Stage Inc]]*Sales_Data[[#This Row],[Source Inc]]</f>
        <v>1</v>
      </c>
    </row>
    <row r="276" spans="1:18" x14ac:dyDescent="0.3">
      <c r="A276" t="s">
        <v>283</v>
      </c>
      <c r="B276" s="2">
        <v>45221</v>
      </c>
      <c r="C276" t="s">
        <v>760</v>
      </c>
      <c r="D276" t="s">
        <v>764</v>
      </c>
      <c r="E276" t="s">
        <v>766</v>
      </c>
      <c r="F276" s="5">
        <v>30200</v>
      </c>
      <c r="G276" t="s">
        <v>781</v>
      </c>
      <c r="H276" s="2">
        <v>45306</v>
      </c>
      <c r="I276" t="s">
        <v>778</v>
      </c>
      <c r="J276" t="str">
        <f>IF(Sales_Data[[#This Row],[Close Date]] &lt;&gt; 0,"Closed", "Open")</f>
        <v>Closed</v>
      </c>
      <c r="K276">
        <f>IF(Sales_Data[[#This Row],[Open/Closed]] = "Closed",Sales_Data[[#This Row],[Close Date]]-Sales_Data[[#This Row],[Created Date]],"")</f>
        <v>85</v>
      </c>
      <c r="L276" s="2">
        <f>EOMONTH(Sales_Data[[#This Row],[Created Date]],0)</f>
        <v>45230</v>
      </c>
      <c r="M276" t="b">
        <f>AND(Sales_Data[[#This Row],[EoM Created]]&gt;=Index!$E$5,Sales_Data[[#This Row],[EoM Created]]&lt;=Index!$E$4)</f>
        <v>1</v>
      </c>
      <c r="N276" t="b" cm="1">
        <f t="array" ref="N276">_xlfn.XLOOKUP(Sales_Data[[#This Row],[Sales Team]],_xlfn.ANCHORARRAY(Dashboard!$B$9),Dashboard!$D$9:$D$10,,0)</f>
        <v>1</v>
      </c>
      <c r="O276" t="b" cm="1">
        <f t="array" ref="O276">_xlfn.XLOOKUP(Sales_Data[[#This Row],[Sales Rep]],_xlfn.ANCHORARRAY(Dashboard!$B$13),Dashboard!$D$13:$D$17,,0)</f>
        <v>1</v>
      </c>
      <c r="P276" t="b" cm="1">
        <f t="array" ref="P276">_xlfn.XLOOKUP(Sales_Data[[#This Row],[Stage]],_xlfn.ANCHORARRAY(Dashboard!$B$20),Dashboard!$D$20:$D$25)</f>
        <v>1</v>
      </c>
      <c r="Q276" t="b" cm="1">
        <f t="array" ref="Q276">_xlfn.XLOOKUP(Sales_Data[[#This Row],[Lead Source]],_xlfn.ANCHORARRAY(Dashboard!$B$28),Dashboard!$D$28:$D$32)</f>
        <v>1</v>
      </c>
      <c r="R276">
        <f>Sales_Data[[#This Row],[Date inc]]*Sales_Data[[#This Row],[Team Inc]]*Sales_Data[[#This Row],[Rep Inc]]*Sales_Data[[#This Row],[Stage Inc]]*Sales_Data[[#This Row],[Source Inc]]</f>
        <v>1</v>
      </c>
    </row>
    <row r="277" spans="1:18" x14ac:dyDescent="0.3">
      <c r="A277" t="s">
        <v>284</v>
      </c>
      <c r="B277" s="2">
        <v>45395</v>
      </c>
      <c r="C277" t="s">
        <v>761</v>
      </c>
      <c r="D277" t="s">
        <v>765</v>
      </c>
      <c r="E277" t="s">
        <v>769</v>
      </c>
      <c r="F277" s="5">
        <v>44600</v>
      </c>
      <c r="G277" t="s">
        <v>781</v>
      </c>
      <c r="H277" s="2">
        <v>45460</v>
      </c>
      <c r="I277" t="s">
        <v>778</v>
      </c>
      <c r="J277" t="str">
        <f>IF(Sales_Data[[#This Row],[Close Date]] &lt;&gt; 0,"Closed", "Open")</f>
        <v>Closed</v>
      </c>
      <c r="K277">
        <f>IF(Sales_Data[[#This Row],[Open/Closed]] = "Closed",Sales_Data[[#This Row],[Close Date]]-Sales_Data[[#This Row],[Created Date]],"")</f>
        <v>65</v>
      </c>
      <c r="L277" s="2">
        <f>EOMONTH(Sales_Data[[#This Row],[Created Date]],0)</f>
        <v>45412</v>
      </c>
      <c r="M277" t="b">
        <f>AND(Sales_Data[[#This Row],[EoM Created]]&gt;=Index!$E$5,Sales_Data[[#This Row],[EoM Created]]&lt;=Index!$E$4)</f>
        <v>1</v>
      </c>
      <c r="N277" t="b" cm="1">
        <f t="array" ref="N277">_xlfn.XLOOKUP(Sales_Data[[#This Row],[Sales Team]],_xlfn.ANCHORARRAY(Dashboard!$B$9),Dashboard!$D$9:$D$10,,0)</f>
        <v>1</v>
      </c>
      <c r="O277" t="b" cm="1">
        <f t="array" ref="O277">_xlfn.XLOOKUP(Sales_Data[[#This Row],[Sales Rep]],_xlfn.ANCHORARRAY(Dashboard!$B$13),Dashboard!$D$13:$D$17,,0)</f>
        <v>1</v>
      </c>
      <c r="P277" t="b" cm="1">
        <f t="array" ref="P277">_xlfn.XLOOKUP(Sales_Data[[#This Row],[Stage]],_xlfn.ANCHORARRAY(Dashboard!$B$20),Dashboard!$D$20:$D$25)</f>
        <v>1</v>
      </c>
      <c r="Q277" t="b" cm="1">
        <f t="array" ref="Q277">_xlfn.XLOOKUP(Sales_Data[[#This Row],[Lead Source]],_xlfn.ANCHORARRAY(Dashboard!$B$28),Dashboard!$D$28:$D$32)</f>
        <v>1</v>
      </c>
      <c r="R277">
        <f>Sales_Data[[#This Row],[Date inc]]*Sales_Data[[#This Row],[Team Inc]]*Sales_Data[[#This Row],[Rep Inc]]*Sales_Data[[#This Row],[Stage Inc]]*Sales_Data[[#This Row],[Source Inc]]</f>
        <v>1</v>
      </c>
    </row>
    <row r="278" spans="1:18" x14ac:dyDescent="0.3">
      <c r="A278" t="s">
        <v>285</v>
      </c>
      <c r="B278" s="2">
        <v>45209</v>
      </c>
      <c r="C278" t="s">
        <v>762</v>
      </c>
      <c r="D278" t="s">
        <v>764</v>
      </c>
      <c r="E278" t="s">
        <v>766</v>
      </c>
      <c r="F278" s="5">
        <v>42000</v>
      </c>
      <c r="G278" t="s">
        <v>780</v>
      </c>
      <c r="H278" s="2">
        <v>45287</v>
      </c>
      <c r="J278" t="str">
        <f>IF(Sales_Data[[#This Row],[Close Date]] &lt;&gt; 0,"Closed", "Open")</f>
        <v>Closed</v>
      </c>
      <c r="K278">
        <f>IF(Sales_Data[[#This Row],[Open/Closed]] = "Closed",Sales_Data[[#This Row],[Close Date]]-Sales_Data[[#This Row],[Created Date]],"")</f>
        <v>78</v>
      </c>
      <c r="L278" s="2">
        <f>EOMONTH(Sales_Data[[#This Row],[Created Date]],0)</f>
        <v>45230</v>
      </c>
      <c r="M278" t="b">
        <f>AND(Sales_Data[[#This Row],[EoM Created]]&gt;=Index!$E$5,Sales_Data[[#This Row],[EoM Created]]&lt;=Index!$E$4)</f>
        <v>1</v>
      </c>
      <c r="N278" t="b" cm="1">
        <f t="array" ref="N278">_xlfn.XLOOKUP(Sales_Data[[#This Row],[Sales Team]],_xlfn.ANCHORARRAY(Dashboard!$B$9),Dashboard!$D$9:$D$10,,0)</f>
        <v>1</v>
      </c>
      <c r="O278" t="b" cm="1">
        <f t="array" ref="O278">_xlfn.XLOOKUP(Sales_Data[[#This Row],[Sales Rep]],_xlfn.ANCHORARRAY(Dashboard!$B$13),Dashboard!$D$13:$D$17,,0)</f>
        <v>1</v>
      </c>
      <c r="P278" t="b" cm="1">
        <f t="array" ref="P278">_xlfn.XLOOKUP(Sales_Data[[#This Row],[Stage]],_xlfn.ANCHORARRAY(Dashboard!$B$20),Dashboard!$D$20:$D$25)</f>
        <v>1</v>
      </c>
      <c r="Q278" t="b" cm="1">
        <f t="array" ref="Q278">_xlfn.XLOOKUP(Sales_Data[[#This Row],[Lead Source]],_xlfn.ANCHORARRAY(Dashboard!$B$28),Dashboard!$D$28:$D$32)</f>
        <v>1</v>
      </c>
      <c r="R278">
        <f>Sales_Data[[#This Row],[Date inc]]*Sales_Data[[#This Row],[Team Inc]]*Sales_Data[[#This Row],[Rep Inc]]*Sales_Data[[#This Row],[Stage Inc]]*Sales_Data[[#This Row],[Source Inc]]</f>
        <v>1</v>
      </c>
    </row>
    <row r="279" spans="1:18" x14ac:dyDescent="0.3">
      <c r="A279" t="s">
        <v>286</v>
      </c>
      <c r="B279" s="2">
        <v>45403</v>
      </c>
      <c r="C279" t="s">
        <v>762</v>
      </c>
      <c r="D279" t="s">
        <v>764</v>
      </c>
      <c r="E279" t="s">
        <v>766</v>
      </c>
      <c r="F279" s="5">
        <v>34000</v>
      </c>
      <c r="G279" t="s">
        <v>780</v>
      </c>
      <c r="H279" s="2">
        <v>45474</v>
      </c>
      <c r="J279" t="str">
        <f>IF(Sales_Data[[#This Row],[Close Date]] &lt;&gt; 0,"Closed", "Open")</f>
        <v>Closed</v>
      </c>
      <c r="K279">
        <f>IF(Sales_Data[[#This Row],[Open/Closed]] = "Closed",Sales_Data[[#This Row],[Close Date]]-Sales_Data[[#This Row],[Created Date]],"")</f>
        <v>71</v>
      </c>
      <c r="L279" s="2">
        <f>EOMONTH(Sales_Data[[#This Row],[Created Date]],0)</f>
        <v>45412</v>
      </c>
      <c r="M279" t="b">
        <f>AND(Sales_Data[[#This Row],[EoM Created]]&gt;=Index!$E$5,Sales_Data[[#This Row],[EoM Created]]&lt;=Index!$E$4)</f>
        <v>1</v>
      </c>
      <c r="N279" t="b" cm="1">
        <f t="array" ref="N279">_xlfn.XLOOKUP(Sales_Data[[#This Row],[Sales Team]],_xlfn.ANCHORARRAY(Dashboard!$B$9),Dashboard!$D$9:$D$10,,0)</f>
        <v>1</v>
      </c>
      <c r="O279" t="b" cm="1">
        <f t="array" ref="O279">_xlfn.XLOOKUP(Sales_Data[[#This Row],[Sales Rep]],_xlfn.ANCHORARRAY(Dashboard!$B$13),Dashboard!$D$13:$D$17,,0)</f>
        <v>1</v>
      </c>
      <c r="P279" t="b" cm="1">
        <f t="array" ref="P279">_xlfn.XLOOKUP(Sales_Data[[#This Row],[Stage]],_xlfn.ANCHORARRAY(Dashboard!$B$20),Dashboard!$D$20:$D$25)</f>
        <v>1</v>
      </c>
      <c r="Q279" t="b" cm="1">
        <f t="array" ref="Q279">_xlfn.XLOOKUP(Sales_Data[[#This Row],[Lead Source]],_xlfn.ANCHORARRAY(Dashboard!$B$28),Dashboard!$D$28:$D$32)</f>
        <v>1</v>
      </c>
      <c r="R279">
        <f>Sales_Data[[#This Row],[Date inc]]*Sales_Data[[#This Row],[Team Inc]]*Sales_Data[[#This Row],[Rep Inc]]*Sales_Data[[#This Row],[Stage Inc]]*Sales_Data[[#This Row],[Source Inc]]</f>
        <v>1</v>
      </c>
    </row>
    <row r="280" spans="1:18" x14ac:dyDescent="0.3">
      <c r="A280" t="s">
        <v>287</v>
      </c>
      <c r="B280" s="2">
        <v>45195</v>
      </c>
      <c r="C280" t="s">
        <v>763</v>
      </c>
      <c r="D280" t="s">
        <v>765</v>
      </c>
      <c r="E280" t="s">
        <v>770</v>
      </c>
      <c r="F280" s="5">
        <v>40700</v>
      </c>
      <c r="G280" t="s">
        <v>781</v>
      </c>
      <c r="H280" s="2">
        <v>45278</v>
      </c>
      <c r="I280" t="s">
        <v>776</v>
      </c>
      <c r="J280" t="str">
        <f>IF(Sales_Data[[#This Row],[Close Date]] &lt;&gt; 0,"Closed", "Open")</f>
        <v>Closed</v>
      </c>
      <c r="K280">
        <f>IF(Sales_Data[[#This Row],[Open/Closed]] = "Closed",Sales_Data[[#This Row],[Close Date]]-Sales_Data[[#This Row],[Created Date]],"")</f>
        <v>83</v>
      </c>
      <c r="L280" s="2">
        <f>EOMONTH(Sales_Data[[#This Row],[Created Date]],0)</f>
        <v>45199</v>
      </c>
      <c r="M280" t="b">
        <f>AND(Sales_Data[[#This Row],[EoM Created]]&gt;=Index!$E$5,Sales_Data[[#This Row],[EoM Created]]&lt;=Index!$E$4)</f>
        <v>1</v>
      </c>
      <c r="N280" t="b" cm="1">
        <f t="array" ref="N280">_xlfn.XLOOKUP(Sales_Data[[#This Row],[Sales Team]],_xlfn.ANCHORARRAY(Dashboard!$B$9),Dashboard!$D$9:$D$10,,0)</f>
        <v>1</v>
      </c>
      <c r="O280" t="b" cm="1">
        <f t="array" ref="O280">_xlfn.XLOOKUP(Sales_Data[[#This Row],[Sales Rep]],_xlfn.ANCHORARRAY(Dashboard!$B$13),Dashboard!$D$13:$D$17,,0)</f>
        <v>1</v>
      </c>
      <c r="P280" t="b" cm="1">
        <f t="array" ref="P280">_xlfn.XLOOKUP(Sales_Data[[#This Row],[Stage]],_xlfn.ANCHORARRAY(Dashboard!$B$20),Dashboard!$D$20:$D$25)</f>
        <v>1</v>
      </c>
      <c r="Q280" t="b" cm="1">
        <f t="array" ref="Q280">_xlfn.XLOOKUP(Sales_Data[[#This Row],[Lead Source]],_xlfn.ANCHORARRAY(Dashboard!$B$28),Dashboard!$D$28:$D$32)</f>
        <v>1</v>
      </c>
      <c r="R280">
        <f>Sales_Data[[#This Row],[Date inc]]*Sales_Data[[#This Row],[Team Inc]]*Sales_Data[[#This Row],[Rep Inc]]*Sales_Data[[#This Row],[Stage Inc]]*Sales_Data[[#This Row],[Source Inc]]</f>
        <v>1</v>
      </c>
    </row>
    <row r="281" spans="1:18" x14ac:dyDescent="0.3">
      <c r="A281" t="s">
        <v>288</v>
      </c>
      <c r="B281" s="2">
        <v>45568</v>
      </c>
      <c r="C281" t="s">
        <v>760</v>
      </c>
      <c r="D281" t="s">
        <v>764</v>
      </c>
      <c r="E281" t="s">
        <v>766</v>
      </c>
      <c r="F281" s="5">
        <v>36100</v>
      </c>
      <c r="G281" t="s">
        <v>781</v>
      </c>
      <c r="H281" s="2">
        <v>45642</v>
      </c>
      <c r="I281" t="s">
        <v>777</v>
      </c>
      <c r="J281" t="str">
        <f>IF(Sales_Data[[#This Row],[Close Date]] &lt;&gt; 0,"Closed", "Open")</f>
        <v>Closed</v>
      </c>
      <c r="K281">
        <f>IF(Sales_Data[[#This Row],[Open/Closed]] = "Closed",Sales_Data[[#This Row],[Close Date]]-Sales_Data[[#This Row],[Created Date]],"")</f>
        <v>74</v>
      </c>
      <c r="L281" s="2">
        <f>EOMONTH(Sales_Data[[#This Row],[Created Date]],0)</f>
        <v>45596</v>
      </c>
      <c r="M281" t="b">
        <f>AND(Sales_Data[[#This Row],[EoM Created]]&gt;=Index!$E$5,Sales_Data[[#This Row],[EoM Created]]&lt;=Index!$E$4)</f>
        <v>1</v>
      </c>
      <c r="N281" t="b" cm="1">
        <f t="array" ref="N281">_xlfn.XLOOKUP(Sales_Data[[#This Row],[Sales Team]],_xlfn.ANCHORARRAY(Dashboard!$B$9),Dashboard!$D$9:$D$10,,0)</f>
        <v>1</v>
      </c>
      <c r="O281" t="b" cm="1">
        <f t="array" ref="O281">_xlfn.XLOOKUP(Sales_Data[[#This Row],[Sales Rep]],_xlfn.ANCHORARRAY(Dashboard!$B$13),Dashboard!$D$13:$D$17,,0)</f>
        <v>1</v>
      </c>
      <c r="P281" t="b" cm="1">
        <f t="array" ref="P281">_xlfn.XLOOKUP(Sales_Data[[#This Row],[Stage]],_xlfn.ANCHORARRAY(Dashboard!$B$20),Dashboard!$D$20:$D$25)</f>
        <v>1</v>
      </c>
      <c r="Q281" t="b" cm="1">
        <f t="array" ref="Q281">_xlfn.XLOOKUP(Sales_Data[[#This Row],[Lead Source]],_xlfn.ANCHORARRAY(Dashboard!$B$28),Dashboard!$D$28:$D$32)</f>
        <v>1</v>
      </c>
      <c r="R281">
        <f>Sales_Data[[#This Row],[Date inc]]*Sales_Data[[#This Row],[Team Inc]]*Sales_Data[[#This Row],[Rep Inc]]*Sales_Data[[#This Row],[Stage Inc]]*Sales_Data[[#This Row],[Source Inc]]</f>
        <v>1</v>
      </c>
    </row>
    <row r="282" spans="1:18" x14ac:dyDescent="0.3">
      <c r="A282" t="s">
        <v>289</v>
      </c>
      <c r="B282" s="2">
        <v>45519</v>
      </c>
      <c r="C282" t="s">
        <v>763</v>
      </c>
      <c r="D282" t="s">
        <v>765</v>
      </c>
      <c r="E282" t="s">
        <v>770</v>
      </c>
      <c r="F282" s="5">
        <v>41100</v>
      </c>
      <c r="G282" t="s">
        <v>781</v>
      </c>
      <c r="H282" s="2">
        <v>45604</v>
      </c>
      <c r="I282" t="s">
        <v>776</v>
      </c>
      <c r="J282" t="str">
        <f>IF(Sales_Data[[#This Row],[Close Date]] &lt;&gt; 0,"Closed", "Open")</f>
        <v>Closed</v>
      </c>
      <c r="K282">
        <f>IF(Sales_Data[[#This Row],[Open/Closed]] = "Closed",Sales_Data[[#This Row],[Close Date]]-Sales_Data[[#This Row],[Created Date]],"")</f>
        <v>85</v>
      </c>
      <c r="L282" s="2">
        <f>EOMONTH(Sales_Data[[#This Row],[Created Date]],0)</f>
        <v>45535</v>
      </c>
      <c r="M282" t="b">
        <f>AND(Sales_Data[[#This Row],[EoM Created]]&gt;=Index!$E$5,Sales_Data[[#This Row],[EoM Created]]&lt;=Index!$E$4)</f>
        <v>1</v>
      </c>
      <c r="N282" t="b" cm="1">
        <f t="array" ref="N282">_xlfn.XLOOKUP(Sales_Data[[#This Row],[Sales Team]],_xlfn.ANCHORARRAY(Dashboard!$B$9),Dashboard!$D$9:$D$10,,0)</f>
        <v>1</v>
      </c>
      <c r="O282" t="b" cm="1">
        <f t="array" ref="O282">_xlfn.XLOOKUP(Sales_Data[[#This Row],[Sales Rep]],_xlfn.ANCHORARRAY(Dashboard!$B$13),Dashboard!$D$13:$D$17,,0)</f>
        <v>1</v>
      </c>
      <c r="P282" t="b" cm="1">
        <f t="array" ref="P282">_xlfn.XLOOKUP(Sales_Data[[#This Row],[Stage]],_xlfn.ANCHORARRAY(Dashboard!$B$20),Dashboard!$D$20:$D$25)</f>
        <v>1</v>
      </c>
      <c r="Q282" t="b" cm="1">
        <f t="array" ref="Q282">_xlfn.XLOOKUP(Sales_Data[[#This Row],[Lead Source]],_xlfn.ANCHORARRAY(Dashboard!$B$28),Dashboard!$D$28:$D$32)</f>
        <v>1</v>
      </c>
      <c r="R282">
        <f>Sales_Data[[#This Row],[Date inc]]*Sales_Data[[#This Row],[Team Inc]]*Sales_Data[[#This Row],[Rep Inc]]*Sales_Data[[#This Row],[Stage Inc]]*Sales_Data[[#This Row],[Source Inc]]</f>
        <v>1</v>
      </c>
    </row>
    <row r="283" spans="1:18" x14ac:dyDescent="0.3">
      <c r="A283" t="s">
        <v>290</v>
      </c>
      <c r="B283" s="2">
        <v>44968</v>
      </c>
      <c r="C283" t="s">
        <v>760</v>
      </c>
      <c r="D283" t="s">
        <v>764</v>
      </c>
      <c r="E283" t="s">
        <v>767</v>
      </c>
      <c r="F283" s="5">
        <v>46600</v>
      </c>
      <c r="G283" t="s">
        <v>781</v>
      </c>
      <c r="H283" s="2">
        <v>45045</v>
      </c>
      <c r="I283" t="s">
        <v>775</v>
      </c>
      <c r="J283" t="str">
        <f>IF(Sales_Data[[#This Row],[Close Date]] &lt;&gt; 0,"Closed", "Open")</f>
        <v>Closed</v>
      </c>
      <c r="K283">
        <f>IF(Sales_Data[[#This Row],[Open/Closed]] = "Closed",Sales_Data[[#This Row],[Close Date]]-Sales_Data[[#This Row],[Created Date]],"")</f>
        <v>77</v>
      </c>
      <c r="L283" s="2">
        <f>EOMONTH(Sales_Data[[#This Row],[Created Date]],0)</f>
        <v>44985</v>
      </c>
      <c r="M283" t="b">
        <f>AND(Sales_Data[[#This Row],[EoM Created]]&gt;=Index!$E$5,Sales_Data[[#This Row],[EoM Created]]&lt;=Index!$E$4)</f>
        <v>0</v>
      </c>
      <c r="N283" t="b" cm="1">
        <f t="array" ref="N283">_xlfn.XLOOKUP(Sales_Data[[#This Row],[Sales Team]],_xlfn.ANCHORARRAY(Dashboard!$B$9),Dashboard!$D$9:$D$10,,0)</f>
        <v>1</v>
      </c>
      <c r="O283" t="b" cm="1">
        <f t="array" ref="O283">_xlfn.XLOOKUP(Sales_Data[[#This Row],[Sales Rep]],_xlfn.ANCHORARRAY(Dashboard!$B$13),Dashboard!$D$13:$D$17,,0)</f>
        <v>1</v>
      </c>
      <c r="P283" t="b" cm="1">
        <f t="array" ref="P283">_xlfn.XLOOKUP(Sales_Data[[#This Row],[Stage]],_xlfn.ANCHORARRAY(Dashboard!$B$20),Dashboard!$D$20:$D$25)</f>
        <v>1</v>
      </c>
      <c r="Q283" t="b" cm="1">
        <f t="array" ref="Q283">_xlfn.XLOOKUP(Sales_Data[[#This Row],[Lead Source]],_xlfn.ANCHORARRAY(Dashboard!$B$28),Dashboard!$D$28:$D$32)</f>
        <v>1</v>
      </c>
      <c r="R283">
        <f>Sales_Data[[#This Row],[Date inc]]*Sales_Data[[#This Row],[Team Inc]]*Sales_Data[[#This Row],[Rep Inc]]*Sales_Data[[#This Row],[Stage Inc]]*Sales_Data[[#This Row],[Source Inc]]</f>
        <v>0</v>
      </c>
    </row>
    <row r="284" spans="1:18" x14ac:dyDescent="0.3">
      <c r="A284" t="s">
        <v>291</v>
      </c>
      <c r="B284" s="2">
        <v>45164</v>
      </c>
      <c r="C284" t="s">
        <v>760</v>
      </c>
      <c r="D284" t="s">
        <v>764</v>
      </c>
      <c r="E284" t="s">
        <v>767</v>
      </c>
      <c r="F284" s="5">
        <v>55900</v>
      </c>
      <c r="G284" t="s">
        <v>780</v>
      </c>
      <c r="H284" s="2">
        <v>45232</v>
      </c>
      <c r="J284" t="str">
        <f>IF(Sales_Data[[#This Row],[Close Date]] &lt;&gt; 0,"Closed", "Open")</f>
        <v>Closed</v>
      </c>
      <c r="K284">
        <f>IF(Sales_Data[[#This Row],[Open/Closed]] = "Closed",Sales_Data[[#This Row],[Close Date]]-Sales_Data[[#This Row],[Created Date]],"")</f>
        <v>68</v>
      </c>
      <c r="L284" s="2">
        <f>EOMONTH(Sales_Data[[#This Row],[Created Date]],0)</f>
        <v>45169</v>
      </c>
      <c r="M284" t="b">
        <f>AND(Sales_Data[[#This Row],[EoM Created]]&gt;=Index!$E$5,Sales_Data[[#This Row],[EoM Created]]&lt;=Index!$E$4)</f>
        <v>1</v>
      </c>
      <c r="N284" t="b" cm="1">
        <f t="array" ref="N284">_xlfn.XLOOKUP(Sales_Data[[#This Row],[Sales Team]],_xlfn.ANCHORARRAY(Dashboard!$B$9),Dashboard!$D$9:$D$10,,0)</f>
        <v>1</v>
      </c>
      <c r="O284" t="b" cm="1">
        <f t="array" ref="O284">_xlfn.XLOOKUP(Sales_Data[[#This Row],[Sales Rep]],_xlfn.ANCHORARRAY(Dashboard!$B$13),Dashboard!$D$13:$D$17,,0)</f>
        <v>1</v>
      </c>
      <c r="P284" t="b" cm="1">
        <f t="array" ref="P284">_xlfn.XLOOKUP(Sales_Data[[#This Row],[Stage]],_xlfn.ANCHORARRAY(Dashboard!$B$20),Dashboard!$D$20:$D$25)</f>
        <v>1</v>
      </c>
      <c r="Q284" t="b" cm="1">
        <f t="array" ref="Q284">_xlfn.XLOOKUP(Sales_Data[[#This Row],[Lead Source]],_xlfn.ANCHORARRAY(Dashboard!$B$28),Dashboard!$D$28:$D$32)</f>
        <v>1</v>
      </c>
      <c r="R284">
        <f>Sales_Data[[#This Row],[Date inc]]*Sales_Data[[#This Row],[Team Inc]]*Sales_Data[[#This Row],[Rep Inc]]*Sales_Data[[#This Row],[Stage Inc]]*Sales_Data[[#This Row],[Source Inc]]</f>
        <v>1</v>
      </c>
    </row>
    <row r="285" spans="1:18" x14ac:dyDescent="0.3">
      <c r="A285" t="s">
        <v>292</v>
      </c>
      <c r="B285" s="2">
        <v>45068</v>
      </c>
      <c r="C285" t="s">
        <v>759</v>
      </c>
      <c r="D285" t="s">
        <v>764</v>
      </c>
      <c r="E285" t="s">
        <v>766</v>
      </c>
      <c r="F285" s="5">
        <v>27600</v>
      </c>
      <c r="G285" t="s">
        <v>780</v>
      </c>
      <c r="H285" s="2">
        <v>45149</v>
      </c>
      <c r="J285" t="str">
        <f>IF(Sales_Data[[#This Row],[Close Date]] &lt;&gt; 0,"Closed", "Open")</f>
        <v>Closed</v>
      </c>
      <c r="K285">
        <f>IF(Sales_Data[[#This Row],[Open/Closed]] = "Closed",Sales_Data[[#This Row],[Close Date]]-Sales_Data[[#This Row],[Created Date]],"")</f>
        <v>81</v>
      </c>
      <c r="L285" s="2">
        <f>EOMONTH(Sales_Data[[#This Row],[Created Date]],0)</f>
        <v>45077</v>
      </c>
      <c r="M285" t="b">
        <f>AND(Sales_Data[[#This Row],[EoM Created]]&gt;=Index!$E$5,Sales_Data[[#This Row],[EoM Created]]&lt;=Index!$E$4)</f>
        <v>0</v>
      </c>
      <c r="N285" t="b" cm="1">
        <f t="array" ref="N285">_xlfn.XLOOKUP(Sales_Data[[#This Row],[Sales Team]],_xlfn.ANCHORARRAY(Dashboard!$B$9),Dashboard!$D$9:$D$10,,0)</f>
        <v>1</v>
      </c>
      <c r="O285" t="b" cm="1">
        <f t="array" ref="O285">_xlfn.XLOOKUP(Sales_Data[[#This Row],[Sales Rep]],_xlfn.ANCHORARRAY(Dashboard!$B$13),Dashboard!$D$13:$D$17,,0)</f>
        <v>1</v>
      </c>
      <c r="P285" t="b" cm="1">
        <f t="array" ref="P285">_xlfn.XLOOKUP(Sales_Data[[#This Row],[Stage]],_xlfn.ANCHORARRAY(Dashboard!$B$20),Dashboard!$D$20:$D$25)</f>
        <v>1</v>
      </c>
      <c r="Q285" t="b" cm="1">
        <f t="array" ref="Q285">_xlfn.XLOOKUP(Sales_Data[[#This Row],[Lead Source]],_xlfn.ANCHORARRAY(Dashboard!$B$28),Dashboard!$D$28:$D$32)</f>
        <v>1</v>
      </c>
      <c r="R285">
        <f>Sales_Data[[#This Row],[Date inc]]*Sales_Data[[#This Row],[Team Inc]]*Sales_Data[[#This Row],[Rep Inc]]*Sales_Data[[#This Row],[Stage Inc]]*Sales_Data[[#This Row],[Source Inc]]</f>
        <v>0</v>
      </c>
    </row>
    <row r="286" spans="1:18" x14ac:dyDescent="0.3">
      <c r="A286" t="s">
        <v>293</v>
      </c>
      <c r="B286" s="2">
        <v>45340</v>
      </c>
      <c r="C286" t="s">
        <v>759</v>
      </c>
      <c r="D286" t="s">
        <v>764</v>
      </c>
      <c r="E286" t="s">
        <v>766</v>
      </c>
      <c r="F286" s="5">
        <v>61300</v>
      </c>
      <c r="G286" t="s">
        <v>781</v>
      </c>
      <c r="H286" s="2">
        <v>45411</v>
      </c>
      <c r="I286" t="s">
        <v>778</v>
      </c>
      <c r="J286" t="str">
        <f>IF(Sales_Data[[#This Row],[Close Date]] &lt;&gt; 0,"Closed", "Open")</f>
        <v>Closed</v>
      </c>
      <c r="K286">
        <f>IF(Sales_Data[[#This Row],[Open/Closed]] = "Closed",Sales_Data[[#This Row],[Close Date]]-Sales_Data[[#This Row],[Created Date]],"")</f>
        <v>71</v>
      </c>
      <c r="L286" s="2">
        <f>EOMONTH(Sales_Data[[#This Row],[Created Date]],0)</f>
        <v>45351</v>
      </c>
      <c r="M286" t="b">
        <f>AND(Sales_Data[[#This Row],[EoM Created]]&gt;=Index!$E$5,Sales_Data[[#This Row],[EoM Created]]&lt;=Index!$E$4)</f>
        <v>1</v>
      </c>
      <c r="N286" t="b" cm="1">
        <f t="array" ref="N286">_xlfn.XLOOKUP(Sales_Data[[#This Row],[Sales Team]],_xlfn.ANCHORARRAY(Dashboard!$B$9),Dashboard!$D$9:$D$10,,0)</f>
        <v>1</v>
      </c>
      <c r="O286" t="b" cm="1">
        <f t="array" ref="O286">_xlfn.XLOOKUP(Sales_Data[[#This Row],[Sales Rep]],_xlfn.ANCHORARRAY(Dashboard!$B$13),Dashboard!$D$13:$D$17,,0)</f>
        <v>1</v>
      </c>
      <c r="P286" t="b" cm="1">
        <f t="array" ref="P286">_xlfn.XLOOKUP(Sales_Data[[#This Row],[Stage]],_xlfn.ANCHORARRAY(Dashboard!$B$20),Dashboard!$D$20:$D$25)</f>
        <v>1</v>
      </c>
      <c r="Q286" t="b" cm="1">
        <f t="array" ref="Q286">_xlfn.XLOOKUP(Sales_Data[[#This Row],[Lead Source]],_xlfn.ANCHORARRAY(Dashboard!$B$28),Dashboard!$D$28:$D$32)</f>
        <v>1</v>
      </c>
      <c r="R286">
        <f>Sales_Data[[#This Row],[Date inc]]*Sales_Data[[#This Row],[Team Inc]]*Sales_Data[[#This Row],[Rep Inc]]*Sales_Data[[#This Row],[Stage Inc]]*Sales_Data[[#This Row],[Source Inc]]</f>
        <v>1</v>
      </c>
    </row>
    <row r="287" spans="1:18" x14ac:dyDescent="0.3">
      <c r="A287" t="s">
        <v>294</v>
      </c>
      <c r="B287" s="2">
        <v>45104</v>
      </c>
      <c r="C287" t="s">
        <v>761</v>
      </c>
      <c r="D287" t="s">
        <v>765</v>
      </c>
      <c r="E287" t="s">
        <v>769</v>
      </c>
      <c r="F287" s="5">
        <v>20500</v>
      </c>
      <c r="G287" t="s">
        <v>781</v>
      </c>
      <c r="H287" s="2">
        <v>45174</v>
      </c>
      <c r="I287" t="s">
        <v>777</v>
      </c>
      <c r="J287" t="str">
        <f>IF(Sales_Data[[#This Row],[Close Date]] &lt;&gt; 0,"Closed", "Open")</f>
        <v>Closed</v>
      </c>
      <c r="K287">
        <f>IF(Sales_Data[[#This Row],[Open/Closed]] = "Closed",Sales_Data[[#This Row],[Close Date]]-Sales_Data[[#This Row],[Created Date]],"")</f>
        <v>70</v>
      </c>
      <c r="L287" s="2">
        <f>EOMONTH(Sales_Data[[#This Row],[Created Date]],0)</f>
        <v>45107</v>
      </c>
      <c r="M287" t="b">
        <f>AND(Sales_Data[[#This Row],[EoM Created]]&gt;=Index!$E$5,Sales_Data[[#This Row],[EoM Created]]&lt;=Index!$E$4)</f>
        <v>0</v>
      </c>
      <c r="N287" t="b" cm="1">
        <f t="array" ref="N287">_xlfn.XLOOKUP(Sales_Data[[#This Row],[Sales Team]],_xlfn.ANCHORARRAY(Dashboard!$B$9),Dashboard!$D$9:$D$10,,0)</f>
        <v>1</v>
      </c>
      <c r="O287" t="b" cm="1">
        <f t="array" ref="O287">_xlfn.XLOOKUP(Sales_Data[[#This Row],[Sales Rep]],_xlfn.ANCHORARRAY(Dashboard!$B$13),Dashboard!$D$13:$D$17,,0)</f>
        <v>1</v>
      </c>
      <c r="P287" t="b" cm="1">
        <f t="array" ref="P287">_xlfn.XLOOKUP(Sales_Data[[#This Row],[Stage]],_xlfn.ANCHORARRAY(Dashboard!$B$20),Dashboard!$D$20:$D$25)</f>
        <v>1</v>
      </c>
      <c r="Q287" t="b" cm="1">
        <f t="array" ref="Q287">_xlfn.XLOOKUP(Sales_Data[[#This Row],[Lead Source]],_xlfn.ANCHORARRAY(Dashboard!$B$28),Dashboard!$D$28:$D$32)</f>
        <v>1</v>
      </c>
      <c r="R287">
        <f>Sales_Data[[#This Row],[Date inc]]*Sales_Data[[#This Row],[Team Inc]]*Sales_Data[[#This Row],[Rep Inc]]*Sales_Data[[#This Row],[Stage Inc]]*Sales_Data[[#This Row],[Source Inc]]</f>
        <v>0</v>
      </c>
    </row>
    <row r="288" spans="1:18" x14ac:dyDescent="0.3">
      <c r="A288" t="s">
        <v>295</v>
      </c>
      <c r="B288" s="2">
        <v>44994</v>
      </c>
      <c r="C288" t="s">
        <v>763</v>
      </c>
      <c r="D288" t="s">
        <v>765</v>
      </c>
      <c r="E288" t="s">
        <v>770</v>
      </c>
      <c r="F288" s="5">
        <v>38500</v>
      </c>
      <c r="G288" t="s">
        <v>780</v>
      </c>
      <c r="H288" s="2">
        <v>45054</v>
      </c>
      <c r="J288" t="str">
        <f>IF(Sales_Data[[#This Row],[Close Date]] &lt;&gt; 0,"Closed", "Open")</f>
        <v>Closed</v>
      </c>
      <c r="K288">
        <f>IF(Sales_Data[[#This Row],[Open/Closed]] = "Closed",Sales_Data[[#This Row],[Close Date]]-Sales_Data[[#This Row],[Created Date]],"")</f>
        <v>60</v>
      </c>
      <c r="L288" s="2">
        <f>EOMONTH(Sales_Data[[#This Row],[Created Date]],0)</f>
        <v>45016</v>
      </c>
      <c r="M288" t="b">
        <f>AND(Sales_Data[[#This Row],[EoM Created]]&gt;=Index!$E$5,Sales_Data[[#This Row],[EoM Created]]&lt;=Index!$E$4)</f>
        <v>0</v>
      </c>
      <c r="N288" t="b" cm="1">
        <f t="array" ref="N288">_xlfn.XLOOKUP(Sales_Data[[#This Row],[Sales Team]],_xlfn.ANCHORARRAY(Dashboard!$B$9),Dashboard!$D$9:$D$10,,0)</f>
        <v>1</v>
      </c>
      <c r="O288" t="b" cm="1">
        <f t="array" ref="O288">_xlfn.XLOOKUP(Sales_Data[[#This Row],[Sales Rep]],_xlfn.ANCHORARRAY(Dashboard!$B$13),Dashboard!$D$13:$D$17,,0)</f>
        <v>1</v>
      </c>
      <c r="P288" t="b" cm="1">
        <f t="array" ref="P288">_xlfn.XLOOKUP(Sales_Data[[#This Row],[Stage]],_xlfn.ANCHORARRAY(Dashboard!$B$20),Dashboard!$D$20:$D$25)</f>
        <v>1</v>
      </c>
      <c r="Q288" t="b" cm="1">
        <f t="array" ref="Q288">_xlfn.XLOOKUP(Sales_Data[[#This Row],[Lead Source]],_xlfn.ANCHORARRAY(Dashboard!$B$28),Dashboard!$D$28:$D$32)</f>
        <v>1</v>
      </c>
      <c r="R288">
        <f>Sales_Data[[#This Row],[Date inc]]*Sales_Data[[#This Row],[Team Inc]]*Sales_Data[[#This Row],[Rep Inc]]*Sales_Data[[#This Row],[Stage Inc]]*Sales_Data[[#This Row],[Source Inc]]</f>
        <v>0</v>
      </c>
    </row>
    <row r="289" spans="1:18" x14ac:dyDescent="0.3">
      <c r="A289" t="s">
        <v>296</v>
      </c>
      <c r="B289" s="2">
        <v>45391</v>
      </c>
      <c r="C289" t="s">
        <v>762</v>
      </c>
      <c r="D289" t="s">
        <v>764</v>
      </c>
      <c r="E289" t="s">
        <v>767</v>
      </c>
      <c r="F289" s="5">
        <v>45900</v>
      </c>
      <c r="G289" t="s">
        <v>781</v>
      </c>
      <c r="H289" s="2">
        <v>45473</v>
      </c>
      <c r="I289" t="s">
        <v>778</v>
      </c>
      <c r="J289" t="str">
        <f>IF(Sales_Data[[#This Row],[Close Date]] &lt;&gt; 0,"Closed", "Open")</f>
        <v>Closed</v>
      </c>
      <c r="K289">
        <f>IF(Sales_Data[[#This Row],[Open/Closed]] = "Closed",Sales_Data[[#This Row],[Close Date]]-Sales_Data[[#This Row],[Created Date]],"")</f>
        <v>82</v>
      </c>
      <c r="L289" s="2">
        <f>EOMONTH(Sales_Data[[#This Row],[Created Date]],0)</f>
        <v>45412</v>
      </c>
      <c r="M289" t="b">
        <f>AND(Sales_Data[[#This Row],[EoM Created]]&gt;=Index!$E$5,Sales_Data[[#This Row],[EoM Created]]&lt;=Index!$E$4)</f>
        <v>1</v>
      </c>
      <c r="N289" t="b" cm="1">
        <f t="array" ref="N289">_xlfn.XLOOKUP(Sales_Data[[#This Row],[Sales Team]],_xlfn.ANCHORARRAY(Dashboard!$B$9),Dashboard!$D$9:$D$10,,0)</f>
        <v>1</v>
      </c>
      <c r="O289" t="b" cm="1">
        <f t="array" ref="O289">_xlfn.XLOOKUP(Sales_Data[[#This Row],[Sales Rep]],_xlfn.ANCHORARRAY(Dashboard!$B$13),Dashboard!$D$13:$D$17,,0)</f>
        <v>1</v>
      </c>
      <c r="P289" t="b" cm="1">
        <f t="array" ref="P289">_xlfn.XLOOKUP(Sales_Data[[#This Row],[Stage]],_xlfn.ANCHORARRAY(Dashboard!$B$20),Dashboard!$D$20:$D$25)</f>
        <v>1</v>
      </c>
      <c r="Q289" t="b" cm="1">
        <f t="array" ref="Q289">_xlfn.XLOOKUP(Sales_Data[[#This Row],[Lead Source]],_xlfn.ANCHORARRAY(Dashboard!$B$28),Dashboard!$D$28:$D$32)</f>
        <v>1</v>
      </c>
      <c r="R289">
        <f>Sales_Data[[#This Row],[Date inc]]*Sales_Data[[#This Row],[Team Inc]]*Sales_Data[[#This Row],[Rep Inc]]*Sales_Data[[#This Row],[Stage Inc]]*Sales_Data[[#This Row],[Source Inc]]</f>
        <v>1</v>
      </c>
    </row>
    <row r="290" spans="1:18" x14ac:dyDescent="0.3">
      <c r="A290" t="s">
        <v>297</v>
      </c>
      <c r="B290" s="2">
        <v>45100</v>
      </c>
      <c r="C290" t="s">
        <v>760</v>
      </c>
      <c r="D290" t="s">
        <v>764</v>
      </c>
      <c r="E290" t="s">
        <v>766</v>
      </c>
      <c r="F290" s="5">
        <v>42800</v>
      </c>
      <c r="G290" t="s">
        <v>780</v>
      </c>
      <c r="H290" s="2">
        <v>45185</v>
      </c>
      <c r="J290" t="str">
        <f>IF(Sales_Data[[#This Row],[Close Date]] &lt;&gt; 0,"Closed", "Open")</f>
        <v>Closed</v>
      </c>
      <c r="K290">
        <f>IF(Sales_Data[[#This Row],[Open/Closed]] = "Closed",Sales_Data[[#This Row],[Close Date]]-Sales_Data[[#This Row],[Created Date]],"")</f>
        <v>85</v>
      </c>
      <c r="L290" s="2">
        <f>EOMONTH(Sales_Data[[#This Row],[Created Date]],0)</f>
        <v>45107</v>
      </c>
      <c r="M290" t="b">
        <f>AND(Sales_Data[[#This Row],[EoM Created]]&gt;=Index!$E$5,Sales_Data[[#This Row],[EoM Created]]&lt;=Index!$E$4)</f>
        <v>0</v>
      </c>
      <c r="N290" t="b" cm="1">
        <f t="array" ref="N290">_xlfn.XLOOKUP(Sales_Data[[#This Row],[Sales Team]],_xlfn.ANCHORARRAY(Dashboard!$B$9),Dashboard!$D$9:$D$10,,0)</f>
        <v>1</v>
      </c>
      <c r="O290" t="b" cm="1">
        <f t="array" ref="O290">_xlfn.XLOOKUP(Sales_Data[[#This Row],[Sales Rep]],_xlfn.ANCHORARRAY(Dashboard!$B$13),Dashboard!$D$13:$D$17,,0)</f>
        <v>1</v>
      </c>
      <c r="P290" t="b" cm="1">
        <f t="array" ref="P290">_xlfn.XLOOKUP(Sales_Data[[#This Row],[Stage]],_xlfn.ANCHORARRAY(Dashboard!$B$20),Dashboard!$D$20:$D$25)</f>
        <v>1</v>
      </c>
      <c r="Q290" t="b" cm="1">
        <f t="array" ref="Q290">_xlfn.XLOOKUP(Sales_Data[[#This Row],[Lead Source]],_xlfn.ANCHORARRAY(Dashboard!$B$28),Dashboard!$D$28:$D$32)</f>
        <v>1</v>
      </c>
      <c r="R290">
        <f>Sales_Data[[#This Row],[Date inc]]*Sales_Data[[#This Row],[Team Inc]]*Sales_Data[[#This Row],[Rep Inc]]*Sales_Data[[#This Row],[Stage Inc]]*Sales_Data[[#This Row],[Source Inc]]</f>
        <v>0</v>
      </c>
    </row>
    <row r="291" spans="1:18" x14ac:dyDescent="0.3">
      <c r="A291" t="s">
        <v>298</v>
      </c>
      <c r="B291" s="2">
        <v>45481</v>
      </c>
      <c r="C291" t="s">
        <v>761</v>
      </c>
      <c r="D291" t="s">
        <v>765</v>
      </c>
      <c r="E291" t="s">
        <v>770</v>
      </c>
      <c r="F291" s="5">
        <v>33800</v>
      </c>
      <c r="G291" t="s">
        <v>781</v>
      </c>
      <c r="H291" s="2">
        <v>45551</v>
      </c>
      <c r="I291" t="s">
        <v>776</v>
      </c>
      <c r="J291" t="str">
        <f>IF(Sales_Data[[#This Row],[Close Date]] &lt;&gt; 0,"Closed", "Open")</f>
        <v>Closed</v>
      </c>
      <c r="K291">
        <f>IF(Sales_Data[[#This Row],[Open/Closed]] = "Closed",Sales_Data[[#This Row],[Close Date]]-Sales_Data[[#This Row],[Created Date]],"")</f>
        <v>70</v>
      </c>
      <c r="L291" s="2">
        <f>EOMONTH(Sales_Data[[#This Row],[Created Date]],0)</f>
        <v>45504</v>
      </c>
      <c r="M291" t="b">
        <f>AND(Sales_Data[[#This Row],[EoM Created]]&gt;=Index!$E$5,Sales_Data[[#This Row],[EoM Created]]&lt;=Index!$E$4)</f>
        <v>1</v>
      </c>
      <c r="N291" t="b" cm="1">
        <f t="array" ref="N291">_xlfn.XLOOKUP(Sales_Data[[#This Row],[Sales Team]],_xlfn.ANCHORARRAY(Dashboard!$B$9),Dashboard!$D$9:$D$10,,0)</f>
        <v>1</v>
      </c>
      <c r="O291" t="b" cm="1">
        <f t="array" ref="O291">_xlfn.XLOOKUP(Sales_Data[[#This Row],[Sales Rep]],_xlfn.ANCHORARRAY(Dashboard!$B$13),Dashboard!$D$13:$D$17,,0)</f>
        <v>1</v>
      </c>
      <c r="P291" t="b" cm="1">
        <f t="array" ref="P291">_xlfn.XLOOKUP(Sales_Data[[#This Row],[Stage]],_xlfn.ANCHORARRAY(Dashboard!$B$20),Dashboard!$D$20:$D$25)</f>
        <v>1</v>
      </c>
      <c r="Q291" t="b" cm="1">
        <f t="array" ref="Q291">_xlfn.XLOOKUP(Sales_Data[[#This Row],[Lead Source]],_xlfn.ANCHORARRAY(Dashboard!$B$28),Dashboard!$D$28:$D$32)</f>
        <v>1</v>
      </c>
      <c r="R291">
        <f>Sales_Data[[#This Row],[Date inc]]*Sales_Data[[#This Row],[Team Inc]]*Sales_Data[[#This Row],[Rep Inc]]*Sales_Data[[#This Row],[Stage Inc]]*Sales_Data[[#This Row],[Source Inc]]</f>
        <v>1</v>
      </c>
    </row>
    <row r="292" spans="1:18" x14ac:dyDescent="0.3">
      <c r="A292" t="s">
        <v>299</v>
      </c>
      <c r="B292" s="2">
        <v>45650</v>
      </c>
      <c r="C292" t="s">
        <v>760</v>
      </c>
      <c r="D292" t="s">
        <v>764</v>
      </c>
      <c r="E292" t="s">
        <v>767</v>
      </c>
      <c r="F292" s="5">
        <v>37900</v>
      </c>
      <c r="G292" t="s">
        <v>780</v>
      </c>
      <c r="H292" s="2">
        <v>45737</v>
      </c>
      <c r="J292" t="str">
        <f>IF(Sales_Data[[#This Row],[Close Date]] &lt;&gt; 0,"Closed", "Open")</f>
        <v>Closed</v>
      </c>
      <c r="K292">
        <f>IF(Sales_Data[[#This Row],[Open/Closed]] = "Closed",Sales_Data[[#This Row],[Close Date]]-Sales_Data[[#This Row],[Created Date]],"")</f>
        <v>87</v>
      </c>
      <c r="L292" s="2">
        <f>EOMONTH(Sales_Data[[#This Row],[Created Date]],0)</f>
        <v>45657</v>
      </c>
      <c r="M292" t="b">
        <f>AND(Sales_Data[[#This Row],[EoM Created]]&gt;=Index!$E$5,Sales_Data[[#This Row],[EoM Created]]&lt;=Index!$E$4)</f>
        <v>1</v>
      </c>
      <c r="N292" t="b" cm="1">
        <f t="array" ref="N292">_xlfn.XLOOKUP(Sales_Data[[#This Row],[Sales Team]],_xlfn.ANCHORARRAY(Dashboard!$B$9),Dashboard!$D$9:$D$10,,0)</f>
        <v>1</v>
      </c>
      <c r="O292" t="b" cm="1">
        <f t="array" ref="O292">_xlfn.XLOOKUP(Sales_Data[[#This Row],[Sales Rep]],_xlfn.ANCHORARRAY(Dashboard!$B$13),Dashboard!$D$13:$D$17,,0)</f>
        <v>1</v>
      </c>
      <c r="P292" t="b" cm="1">
        <f t="array" ref="P292">_xlfn.XLOOKUP(Sales_Data[[#This Row],[Stage]],_xlfn.ANCHORARRAY(Dashboard!$B$20),Dashboard!$D$20:$D$25)</f>
        <v>1</v>
      </c>
      <c r="Q292" t="b" cm="1">
        <f t="array" ref="Q292">_xlfn.XLOOKUP(Sales_Data[[#This Row],[Lead Source]],_xlfn.ANCHORARRAY(Dashboard!$B$28),Dashboard!$D$28:$D$32)</f>
        <v>1</v>
      </c>
      <c r="R292">
        <f>Sales_Data[[#This Row],[Date inc]]*Sales_Data[[#This Row],[Team Inc]]*Sales_Data[[#This Row],[Rep Inc]]*Sales_Data[[#This Row],[Stage Inc]]*Sales_Data[[#This Row],[Source Inc]]</f>
        <v>1</v>
      </c>
    </row>
    <row r="293" spans="1:18" x14ac:dyDescent="0.3">
      <c r="A293" t="s">
        <v>300</v>
      </c>
      <c r="B293" s="2">
        <v>45035</v>
      </c>
      <c r="C293" t="s">
        <v>763</v>
      </c>
      <c r="D293" t="s">
        <v>765</v>
      </c>
      <c r="E293" t="s">
        <v>768</v>
      </c>
      <c r="F293" s="5">
        <v>35100</v>
      </c>
      <c r="G293" t="s">
        <v>781</v>
      </c>
      <c r="H293" s="2">
        <v>45114</v>
      </c>
      <c r="I293" t="s">
        <v>776</v>
      </c>
      <c r="J293" t="str">
        <f>IF(Sales_Data[[#This Row],[Close Date]] &lt;&gt; 0,"Closed", "Open")</f>
        <v>Closed</v>
      </c>
      <c r="K293">
        <f>IF(Sales_Data[[#This Row],[Open/Closed]] = "Closed",Sales_Data[[#This Row],[Close Date]]-Sales_Data[[#This Row],[Created Date]],"")</f>
        <v>79</v>
      </c>
      <c r="L293" s="2">
        <f>EOMONTH(Sales_Data[[#This Row],[Created Date]],0)</f>
        <v>45046</v>
      </c>
      <c r="M293" t="b">
        <f>AND(Sales_Data[[#This Row],[EoM Created]]&gt;=Index!$E$5,Sales_Data[[#This Row],[EoM Created]]&lt;=Index!$E$4)</f>
        <v>0</v>
      </c>
      <c r="N293" t="b" cm="1">
        <f t="array" ref="N293">_xlfn.XLOOKUP(Sales_Data[[#This Row],[Sales Team]],_xlfn.ANCHORARRAY(Dashboard!$B$9),Dashboard!$D$9:$D$10,,0)</f>
        <v>1</v>
      </c>
      <c r="O293" t="b" cm="1">
        <f t="array" ref="O293">_xlfn.XLOOKUP(Sales_Data[[#This Row],[Sales Rep]],_xlfn.ANCHORARRAY(Dashboard!$B$13),Dashboard!$D$13:$D$17,,0)</f>
        <v>1</v>
      </c>
      <c r="P293" t="b" cm="1">
        <f t="array" ref="P293">_xlfn.XLOOKUP(Sales_Data[[#This Row],[Stage]],_xlfn.ANCHORARRAY(Dashboard!$B$20),Dashboard!$D$20:$D$25)</f>
        <v>1</v>
      </c>
      <c r="Q293" t="b" cm="1">
        <f t="array" ref="Q293">_xlfn.XLOOKUP(Sales_Data[[#This Row],[Lead Source]],_xlfn.ANCHORARRAY(Dashboard!$B$28),Dashboard!$D$28:$D$32)</f>
        <v>1</v>
      </c>
      <c r="R293">
        <f>Sales_Data[[#This Row],[Date inc]]*Sales_Data[[#This Row],[Team Inc]]*Sales_Data[[#This Row],[Rep Inc]]*Sales_Data[[#This Row],[Stage Inc]]*Sales_Data[[#This Row],[Source Inc]]</f>
        <v>0</v>
      </c>
    </row>
    <row r="294" spans="1:18" x14ac:dyDescent="0.3">
      <c r="A294" t="s">
        <v>301</v>
      </c>
      <c r="B294" s="2">
        <v>45250</v>
      </c>
      <c r="C294" t="s">
        <v>763</v>
      </c>
      <c r="D294" t="s">
        <v>765</v>
      </c>
      <c r="E294" t="s">
        <v>770</v>
      </c>
      <c r="F294" s="5">
        <v>34100</v>
      </c>
      <c r="G294" t="s">
        <v>780</v>
      </c>
      <c r="H294" s="2">
        <v>45328</v>
      </c>
      <c r="J294" t="str">
        <f>IF(Sales_Data[[#This Row],[Close Date]] &lt;&gt; 0,"Closed", "Open")</f>
        <v>Closed</v>
      </c>
      <c r="K294">
        <f>IF(Sales_Data[[#This Row],[Open/Closed]] = "Closed",Sales_Data[[#This Row],[Close Date]]-Sales_Data[[#This Row],[Created Date]],"")</f>
        <v>78</v>
      </c>
      <c r="L294" s="2">
        <f>EOMONTH(Sales_Data[[#This Row],[Created Date]],0)</f>
        <v>45260</v>
      </c>
      <c r="M294" t="b">
        <f>AND(Sales_Data[[#This Row],[EoM Created]]&gt;=Index!$E$5,Sales_Data[[#This Row],[EoM Created]]&lt;=Index!$E$4)</f>
        <v>1</v>
      </c>
      <c r="N294" t="b" cm="1">
        <f t="array" ref="N294">_xlfn.XLOOKUP(Sales_Data[[#This Row],[Sales Team]],_xlfn.ANCHORARRAY(Dashboard!$B$9),Dashboard!$D$9:$D$10,,0)</f>
        <v>1</v>
      </c>
      <c r="O294" t="b" cm="1">
        <f t="array" ref="O294">_xlfn.XLOOKUP(Sales_Data[[#This Row],[Sales Rep]],_xlfn.ANCHORARRAY(Dashboard!$B$13),Dashboard!$D$13:$D$17,,0)</f>
        <v>1</v>
      </c>
      <c r="P294" t="b" cm="1">
        <f t="array" ref="P294">_xlfn.XLOOKUP(Sales_Data[[#This Row],[Stage]],_xlfn.ANCHORARRAY(Dashboard!$B$20),Dashboard!$D$20:$D$25)</f>
        <v>1</v>
      </c>
      <c r="Q294" t="b" cm="1">
        <f t="array" ref="Q294">_xlfn.XLOOKUP(Sales_Data[[#This Row],[Lead Source]],_xlfn.ANCHORARRAY(Dashboard!$B$28),Dashboard!$D$28:$D$32)</f>
        <v>1</v>
      </c>
      <c r="R294">
        <f>Sales_Data[[#This Row],[Date inc]]*Sales_Data[[#This Row],[Team Inc]]*Sales_Data[[#This Row],[Rep Inc]]*Sales_Data[[#This Row],[Stage Inc]]*Sales_Data[[#This Row],[Source Inc]]</f>
        <v>1</v>
      </c>
    </row>
    <row r="295" spans="1:18" x14ac:dyDescent="0.3">
      <c r="A295" t="s">
        <v>302</v>
      </c>
      <c r="B295" s="2">
        <v>45065</v>
      </c>
      <c r="C295" t="s">
        <v>761</v>
      </c>
      <c r="D295" t="s">
        <v>765</v>
      </c>
      <c r="E295" t="s">
        <v>769</v>
      </c>
      <c r="F295" s="5">
        <v>48500</v>
      </c>
      <c r="G295" t="s">
        <v>781</v>
      </c>
      <c r="H295" s="2">
        <v>45144</v>
      </c>
      <c r="I295" t="s">
        <v>776</v>
      </c>
      <c r="J295" t="str">
        <f>IF(Sales_Data[[#This Row],[Close Date]] &lt;&gt; 0,"Closed", "Open")</f>
        <v>Closed</v>
      </c>
      <c r="K295">
        <f>IF(Sales_Data[[#This Row],[Open/Closed]] = "Closed",Sales_Data[[#This Row],[Close Date]]-Sales_Data[[#This Row],[Created Date]],"")</f>
        <v>79</v>
      </c>
      <c r="L295" s="2">
        <f>EOMONTH(Sales_Data[[#This Row],[Created Date]],0)</f>
        <v>45077</v>
      </c>
      <c r="M295" t="b">
        <f>AND(Sales_Data[[#This Row],[EoM Created]]&gt;=Index!$E$5,Sales_Data[[#This Row],[EoM Created]]&lt;=Index!$E$4)</f>
        <v>0</v>
      </c>
      <c r="N295" t="b" cm="1">
        <f t="array" ref="N295">_xlfn.XLOOKUP(Sales_Data[[#This Row],[Sales Team]],_xlfn.ANCHORARRAY(Dashboard!$B$9),Dashboard!$D$9:$D$10,,0)</f>
        <v>1</v>
      </c>
      <c r="O295" t="b" cm="1">
        <f t="array" ref="O295">_xlfn.XLOOKUP(Sales_Data[[#This Row],[Sales Rep]],_xlfn.ANCHORARRAY(Dashboard!$B$13),Dashboard!$D$13:$D$17,,0)</f>
        <v>1</v>
      </c>
      <c r="P295" t="b" cm="1">
        <f t="array" ref="P295">_xlfn.XLOOKUP(Sales_Data[[#This Row],[Stage]],_xlfn.ANCHORARRAY(Dashboard!$B$20),Dashboard!$D$20:$D$25)</f>
        <v>1</v>
      </c>
      <c r="Q295" t="b" cm="1">
        <f t="array" ref="Q295">_xlfn.XLOOKUP(Sales_Data[[#This Row],[Lead Source]],_xlfn.ANCHORARRAY(Dashboard!$B$28),Dashboard!$D$28:$D$32)</f>
        <v>1</v>
      </c>
      <c r="R295">
        <f>Sales_Data[[#This Row],[Date inc]]*Sales_Data[[#This Row],[Team Inc]]*Sales_Data[[#This Row],[Rep Inc]]*Sales_Data[[#This Row],[Stage Inc]]*Sales_Data[[#This Row],[Source Inc]]</f>
        <v>0</v>
      </c>
    </row>
    <row r="296" spans="1:18" x14ac:dyDescent="0.3">
      <c r="A296" t="s">
        <v>303</v>
      </c>
      <c r="B296" s="2">
        <v>45622</v>
      </c>
      <c r="C296" t="s">
        <v>760</v>
      </c>
      <c r="D296" t="s">
        <v>764</v>
      </c>
      <c r="E296" t="s">
        <v>766</v>
      </c>
      <c r="F296" s="5">
        <v>43600</v>
      </c>
      <c r="G296" t="s">
        <v>780</v>
      </c>
      <c r="H296" s="2">
        <v>45696</v>
      </c>
      <c r="J296" t="str">
        <f>IF(Sales_Data[[#This Row],[Close Date]] &lt;&gt; 0,"Closed", "Open")</f>
        <v>Closed</v>
      </c>
      <c r="K296">
        <f>IF(Sales_Data[[#This Row],[Open/Closed]] = "Closed",Sales_Data[[#This Row],[Close Date]]-Sales_Data[[#This Row],[Created Date]],"")</f>
        <v>74</v>
      </c>
      <c r="L296" s="2">
        <f>EOMONTH(Sales_Data[[#This Row],[Created Date]],0)</f>
        <v>45626</v>
      </c>
      <c r="M296" t="b">
        <f>AND(Sales_Data[[#This Row],[EoM Created]]&gt;=Index!$E$5,Sales_Data[[#This Row],[EoM Created]]&lt;=Index!$E$4)</f>
        <v>1</v>
      </c>
      <c r="N296" t="b" cm="1">
        <f t="array" ref="N296">_xlfn.XLOOKUP(Sales_Data[[#This Row],[Sales Team]],_xlfn.ANCHORARRAY(Dashboard!$B$9),Dashboard!$D$9:$D$10,,0)</f>
        <v>1</v>
      </c>
      <c r="O296" t="b" cm="1">
        <f t="array" ref="O296">_xlfn.XLOOKUP(Sales_Data[[#This Row],[Sales Rep]],_xlfn.ANCHORARRAY(Dashboard!$B$13),Dashboard!$D$13:$D$17,,0)</f>
        <v>1</v>
      </c>
      <c r="P296" t="b" cm="1">
        <f t="array" ref="P296">_xlfn.XLOOKUP(Sales_Data[[#This Row],[Stage]],_xlfn.ANCHORARRAY(Dashboard!$B$20),Dashboard!$D$20:$D$25)</f>
        <v>1</v>
      </c>
      <c r="Q296" t="b" cm="1">
        <f t="array" ref="Q296">_xlfn.XLOOKUP(Sales_Data[[#This Row],[Lead Source]],_xlfn.ANCHORARRAY(Dashboard!$B$28),Dashboard!$D$28:$D$32)</f>
        <v>1</v>
      </c>
      <c r="R296">
        <f>Sales_Data[[#This Row],[Date inc]]*Sales_Data[[#This Row],[Team Inc]]*Sales_Data[[#This Row],[Rep Inc]]*Sales_Data[[#This Row],[Stage Inc]]*Sales_Data[[#This Row],[Source Inc]]</f>
        <v>1</v>
      </c>
    </row>
    <row r="297" spans="1:18" x14ac:dyDescent="0.3">
      <c r="A297" t="s">
        <v>304</v>
      </c>
      <c r="B297" s="2">
        <v>45000</v>
      </c>
      <c r="C297" t="s">
        <v>763</v>
      </c>
      <c r="D297" t="s">
        <v>765</v>
      </c>
      <c r="E297" t="s">
        <v>770</v>
      </c>
      <c r="F297" s="5">
        <v>33100</v>
      </c>
      <c r="G297" t="s">
        <v>780</v>
      </c>
      <c r="H297" s="2">
        <v>45073</v>
      </c>
      <c r="J297" t="str">
        <f>IF(Sales_Data[[#This Row],[Close Date]] &lt;&gt; 0,"Closed", "Open")</f>
        <v>Closed</v>
      </c>
      <c r="K297">
        <f>IF(Sales_Data[[#This Row],[Open/Closed]] = "Closed",Sales_Data[[#This Row],[Close Date]]-Sales_Data[[#This Row],[Created Date]],"")</f>
        <v>73</v>
      </c>
      <c r="L297" s="2">
        <f>EOMONTH(Sales_Data[[#This Row],[Created Date]],0)</f>
        <v>45016</v>
      </c>
      <c r="M297" t="b">
        <f>AND(Sales_Data[[#This Row],[EoM Created]]&gt;=Index!$E$5,Sales_Data[[#This Row],[EoM Created]]&lt;=Index!$E$4)</f>
        <v>0</v>
      </c>
      <c r="N297" t="b" cm="1">
        <f t="array" ref="N297">_xlfn.XLOOKUP(Sales_Data[[#This Row],[Sales Team]],_xlfn.ANCHORARRAY(Dashboard!$B$9),Dashboard!$D$9:$D$10,,0)</f>
        <v>1</v>
      </c>
      <c r="O297" t="b" cm="1">
        <f t="array" ref="O297">_xlfn.XLOOKUP(Sales_Data[[#This Row],[Sales Rep]],_xlfn.ANCHORARRAY(Dashboard!$B$13),Dashboard!$D$13:$D$17,,0)</f>
        <v>1</v>
      </c>
      <c r="P297" t="b" cm="1">
        <f t="array" ref="P297">_xlfn.XLOOKUP(Sales_Data[[#This Row],[Stage]],_xlfn.ANCHORARRAY(Dashboard!$B$20),Dashboard!$D$20:$D$25)</f>
        <v>1</v>
      </c>
      <c r="Q297" t="b" cm="1">
        <f t="array" ref="Q297">_xlfn.XLOOKUP(Sales_Data[[#This Row],[Lead Source]],_xlfn.ANCHORARRAY(Dashboard!$B$28),Dashboard!$D$28:$D$32)</f>
        <v>1</v>
      </c>
      <c r="R297">
        <f>Sales_Data[[#This Row],[Date inc]]*Sales_Data[[#This Row],[Team Inc]]*Sales_Data[[#This Row],[Rep Inc]]*Sales_Data[[#This Row],[Stage Inc]]*Sales_Data[[#This Row],[Source Inc]]</f>
        <v>0</v>
      </c>
    </row>
    <row r="298" spans="1:18" x14ac:dyDescent="0.3">
      <c r="A298" t="s">
        <v>305</v>
      </c>
      <c r="B298" s="2">
        <v>45036</v>
      </c>
      <c r="C298" t="s">
        <v>763</v>
      </c>
      <c r="D298" t="s">
        <v>765</v>
      </c>
      <c r="E298" t="s">
        <v>770</v>
      </c>
      <c r="F298" s="5">
        <v>49000</v>
      </c>
      <c r="G298" t="s">
        <v>781</v>
      </c>
      <c r="H298" s="2">
        <v>45103</v>
      </c>
      <c r="I298" t="s">
        <v>779</v>
      </c>
      <c r="J298" t="str">
        <f>IF(Sales_Data[[#This Row],[Close Date]] &lt;&gt; 0,"Closed", "Open")</f>
        <v>Closed</v>
      </c>
      <c r="K298">
        <f>IF(Sales_Data[[#This Row],[Open/Closed]] = "Closed",Sales_Data[[#This Row],[Close Date]]-Sales_Data[[#This Row],[Created Date]],"")</f>
        <v>67</v>
      </c>
      <c r="L298" s="2">
        <f>EOMONTH(Sales_Data[[#This Row],[Created Date]],0)</f>
        <v>45046</v>
      </c>
      <c r="M298" t="b">
        <f>AND(Sales_Data[[#This Row],[EoM Created]]&gt;=Index!$E$5,Sales_Data[[#This Row],[EoM Created]]&lt;=Index!$E$4)</f>
        <v>0</v>
      </c>
      <c r="N298" t="b" cm="1">
        <f t="array" ref="N298">_xlfn.XLOOKUP(Sales_Data[[#This Row],[Sales Team]],_xlfn.ANCHORARRAY(Dashboard!$B$9),Dashboard!$D$9:$D$10,,0)</f>
        <v>1</v>
      </c>
      <c r="O298" t="b" cm="1">
        <f t="array" ref="O298">_xlfn.XLOOKUP(Sales_Data[[#This Row],[Sales Rep]],_xlfn.ANCHORARRAY(Dashboard!$B$13),Dashboard!$D$13:$D$17,,0)</f>
        <v>1</v>
      </c>
      <c r="P298" t="b" cm="1">
        <f t="array" ref="P298">_xlfn.XLOOKUP(Sales_Data[[#This Row],[Stage]],_xlfn.ANCHORARRAY(Dashboard!$B$20),Dashboard!$D$20:$D$25)</f>
        <v>1</v>
      </c>
      <c r="Q298" t="b" cm="1">
        <f t="array" ref="Q298">_xlfn.XLOOKUP(Sales_Data[[#This Row],[Lead Source]],_xlfn.ANCHORARRAY(Dashboard!$B$28),Dashboard!$D$28:$D$32)</f>
        <v>1</v>
      </c>
      <c r="R298">
        <f>Sales_Data[[#This Row],[Date inc]]*Sales_Data[[#This Row],[Team Inc]]*Sales_Data[[#This Row],[Rep Inc]]*Sales_Data[[#This Row],[Stage Inc]]*Sales_Data[[#This Row],[Source Inc]]</f>
        <v>0</v>
      </c>
    </row>
    <row r="299" spans="1:18" x14ac:dyDescent="0.3">
      <c r="A299" t="s">
        <v>306</v>
      </c>
      <c r="B299" s="2">
        <v>45178</v>
      </c>
      <c r="C299" t="s">
        <v>762</v>
      </c>
      <c r="D299" t="s">
        <v>764</v>
      </c>
      <c r="E299" t="s">
        <v>766</v>
      </c>
      <c r="F299" s="5">
        <v>43100</v>
      </c>
      <c r="G299" t="s">
        <v>781</v>
      </c>
      <c r="H299" s="2">
        <v>45252</v>
      </c>
      <c r="I299" t="s">
        <v>778</v>
      </c>
      <c r="J299" t="str">
        <f>IF(Sales_Data[[#This Row],[Close Date]] &lt;&gt; 0,"Closed", "Open")</f>
        <v>Closed</v>
      </c>
      <c r="K299">
        <f>IF(Sales_Data[[#This Row],[Open/Closed]] = "Closed",Sales_Data[[#This Row],[Close Date]]-Sales_Data[[#This Row],[Created Date]],"")</f>
        <v>74</v>
      </c>
      <c r="L299" s="2">
        <f>EOMONTH(Sales_Data[[#This Row],[Created Date]],0)</f>
        <v>45199</v>
      </c>
      <c r="M299" t="b">
        <f>AND(Sales_Data[[#This Row],[EoM Created]]&gt;=Index!$E$5,Sales_Data[[#This Row],[EoM Created]]&lt;=Index!$E$4)</f>
        <v>1</v>
      </c>
      <c r="N299" t="b" cm="1">
        <f t="array" ref="N299">_xlfn.XLOOKUP(Sales_Data[[#This Row],[Sales Team]],_xlfn.ANCHORARRAY(Dashboard!$B$9),Dashboard!$D$9:$D$10,,0)</f>
        <v>1</v>
      </c>
      <c r="O299" t="b" cm="1">
        <f t="array" ref="O299">_xlfn.XLOOKUP(Sales_Data[[#This Row],[Sales Rep]],_xlfn.ANCHORARRAY(Dashboard!$B$13),Dashboard!$D$13:$D$17,,0)</f>
        <v>1</v>
      </c>
      <c r="P299" t="b" cm="1">
        <f t="array" ref="P299">_xlfn.XLOOKUP(Sales_Data[[#This Row],[Stage]],_xlfn.ANCHORARRAY(Dashboard!$B$20),Dashboard!$D$20:$D$25)</f>
        <v>1</v>
      </c>
      <c r="Q299" t="b" cm="1">
        <f t="array" ref="Q299">_xlfn.XLOOKUP(Sales_Data[[#This Row],[Lead Source]],_xlfn.ANCHORARRAY(Dashboard!$B$28),Dashboard!$D$28:$D$32)</f>
        <v>1</v>
      </c>
      <c r="R299">
        <f>Sales_Data[[#This Row],[Date inc]]*Sales_Data[[#This Row],[Team Inc]]*Sales_Data[[#This Row],[Rep Inc]]*Sales_Data[[#This Row],[Stage Inc]]*Sales_Data[[#This Row],[Source Inc]]</f>
        <v>1</v>
      </c>
    </row>
    <row r="300" spans="1:18" x14ac:dyDescent="0.3">
      <c r="A300" t="s">
        <v>307</v>
      </c>
      <c r="B300" s="2">
        <v>45508</v>
      </c>
      <c r="C300" t="s">
        <v>762</v>
      </c>
      <c r="D300" t="s">
        <v>764</v>
      </c>
      <c r="E300" t="s">
        <v>766</v>
      </c>
      <c r="F300" s="5">
        <v>48100</v>
      </c>
      <c r="G300" t="s">
        <v>781</v>
      </c>
      <c r="H300" s="2">
        <v>45587</v>
      </c>
      <c r="I300" t="s">
        <v>775</v>
      </c>
      <c r="J300" t="str">
        <f>IF(Sales_Data[[#This Row],[Close Date]] &lt;&gt; 0,"Closed", "Open")</f>
        <v>Closed</v>
      </c>
      <c r="K300">
        <f>IF(Sales_Data[[#This Row],[Open/Closed]] = "Closed",Sales_Data[[#This Row],[Close Date]]-Sales_Data[[#This Row],[Created Date]],"")</f>
        <v>79</v>
      </c>
      <c r="L300" s="2">
        <f>EOMONTH(Sales_Data[[#This Row],[Created Date]],0)</f>
        <v>45535</v>
      </c>
      <c r="M300" t="b">
        <f>AND(Sales_Data[[#This Row],[EoM Created]]&gt;=Index!$E$5,Sales_Data[[#This Row],[EoM Created]]&lt;=Index!$E$4)</f>
        <v>1</v>
      </c>
      <c r="N300" t="b" cm="1">
        <f t="array" ref="N300">_xlfn.XLOOKUP(Sales_Data[[#This Row],[Sales Team]],_xlfn.ANCHORARRAY(Dashboard!$B$9),Dashboard!$D$9:$D$10,,0)</f>
        <v>1</v>
      </c>
      <c r="O300" t="b" cm="1">
        <f t="array" ref="O300">_xlfn.XLOOKUP(Sales_Data[[#This Row],[Sales Rep]],_xlfn.ANCHORARRAY(Dashboard!$B$13),Dashboard!$D$13:$D$17,,0)</f>
        <v>1</v>
      </c>
      <c r="P300" t="b" cm="1">
        <f t="array" ref="P300">_xlfn.XLOOKUP(Sales_Data[[#This Row],[Stage]],_xlfn.ANCHORARRAY(Dashboard!$B$20),Dashboard!$D$20:$D$25)</f>
        <v>1</v>
      </c>
      <c r="Q300" t="b" cm="1">
        <f t="array" ref="Q300">_xlfn.XLOOKUP(Sales_Data[[#This Row],[Lead Source]],_xlfn.ANCHORARRAY(Dashboard!$B$28),Dashboard!$D$28:$D$32)</f>
        <v>1</v>
      </c>
      <c r="R300">
        <f>Sales_Data[[#This Row],[Date inc]]*Sales_Data[[#This Row],[Team Inc]]*Sales_Data[[#This Row],[Rep Inc]]*Sales_Data[[#This Row],[Stage Inc]]*Sales_Data[[#This Row],[Source Inc]]</f>
        <v>1</v>
      </c>
    </row>
    <row r="301" spans="1:18" x14ac:dyDescent="0.3">
      <c r="A301" t="s">
        <v>308</v>
      </c>
      <c r="B301" s="2">
        <v>45277</v>
      </c>
      <c r="C301" t="s">
        <v>761</v>
      </c>
      <c r="D301" t="s">
        <v>765</v>
      </c>
      <c r="E301" t="s">
        <v>770</v>
      </c>
      <c r="F301" s="5">
        <v>46300</v>
      </c>
      <c r="G301" t="s">
        <v>780</v>
      </c>
      <c r="H301" s="2">
        <v>45361</v>
      </c>
      <c r="J301" t="str">
        <f>IF(Sales_Data[[#This Row],[Close Date]] &lt;&gt; 0,"Closed", "Open")</f>
        <v>Closed</v>
      </c>
      <c r="K301">
        <f>IF(Sales_Data[[#This Row],[Open/Closed]] = "Closed",Sales_Data[[#This Row],[Close Date]]-Sales_Data[[#This Row],[Created Date]],"")</f>
        <v>84</v>
      </c>
      <c r="L301" s="2">
        <f>EOMONTH(Sales_Data[[#This Row],[Created Date]],0)</f>
        <v>45291</v>
      </c>
      <c r="M301" t="b">
        <f>AND(Sales_Data[[#This Row],[EoM Created]]&gt;=Index!$E$5,Sales_Data[[#This Row],[EoM Created]]&lt;=Index!$E$4)</f>
        <v>1</v>
      </c>
      <c r="N301" t="b" cm="1">
        <f t="array" ref="N301">_xlfn.XLOOKUP(Sales_Data[[#This Row],[Sales Team]],_xlfn.ANCHORARRAY(Dashboard!$B$9),Dashboard!$D$9:$D$10,,0)</f>
        <v>1</v>
      </c>
      <c r="O301" t="b" cm="1">
        <f t="array" ref="O301">_xlfn.XLOOKUP(Sales_Data[[#This Row],[Sales Rep]],_xlfn.ANCHORARRAY(Dashboard!$B$13),Dashboard!$D$13:$D$17,,0)</f>
        <v>1</v>
      </c>
      <c r="P301" t="b" cm="1">
        <f t="array" ref="P301">_xlfn.XLOOKUP(Sales_Data[[#This Row],[Stage]],_xlfn.ANCHORARRAY(Dashboard!$B$20),Dashboard!$D$20:$D$25)</f>
        <v>1</v>
      </c>
      <c r="Q301" t="b" cm="1">
        <f t="array" ref="Q301">_xlfn.XLOOKUP(Sales_Data[[#This Row],[Lead Source]],_xlfn.ANCHORARRAY(Dashboard!$B$28),Dashboard!$D$28:$D$32)</f>
        <v>1</v>
      </c>
      <c r="R301">
        <f>Sales_Data[[#This Row],[Date inc]]*Sales_Data[[#This Row],[Team Inc]]*Sales_Data[[#This Row],[Rep Inc]]*Sales_Data[[#This Row],[Stage Inc]]*Sales_Data[[#This Row],[Source Inc]]</f>
        <v>1</v>
      </c>
    </row>
    <row r="302" spans="1:18" x14ac:dyDescent="0.3">
      <c r="A302" t="s">
        <v>309</v>
      </c>
      <c r="B302" s="2">
        <v>45049</v>
      </c>
      <c r="C302" t="s">
        <v>761</v>
      </c>
      <c r="D302" t="s">
        <v>765</v>
      </c>
      <c r="E302" t="s">
        <v>768</v>
      </c>
      <c r="F302" s="5">
        <v>31700</v>
      </c>
      <c r="G302" t="s">
        <v>781</v>
      </c>
      <c r="H302" s="2">
        <v>45111</v>
      </c>
      <c r="I302" t="s">
        <v>777</v>
      </c>
      <c r="J302" t="str">
        <f>IF(Sales_Data[[#This Row],[Close Date]] &lt;&gt; 0,"Closed", "Open")</f>
        <v>Closed</v>
      </c>
      <c r="K302">
        <f>IF(Sales_Data[[#This Row],[Open/Closed]] = "Closed",Sales_Data[[#This Row],[Close Date]]-Sales_Data[[#This Row],[Created Date]],"")</f>
        <v>62</v>
      </c>
      <c r="L302" s="2">
        <f>EOMONTH(Sales_Data[[#This Row],[Created Date]],0)</f>
        <v>45077</v>
      </c>
      <c r="M302" t="b">
        <f>AND(Sales_Data[[#This Row],[EoM Created]]&gt;=Index!$E$5,Sales_Data[[#This Row],[EoM Created]]&lt;=Index!$E$4)</f>
        <v>0</v>
      </c>
      <c r="N302" t="b" cm="1">
        <f t="array" ref="N302">_xlfn.XLOOKUP(Sales_Data[[#This Row],[Sales Team]],_xlfn.ANCHORARRAY(Dashboard!$B$9),Dashboard!$D$9:$D$10,,0)</f>
        <v>1</v>
      </c>
      <c r="O302" t="b" cm="1">
        <f t="array" ref="O302">_xlfn.XLOOKUP(Sales_Data[[#This Row],[Sales Rep]],_xlfn.ANCHORARRAY(Dashboard!$B$13),Dashboard!$D$13:$D$17,,0)</f>
        <v>1</v>
      </c>
      <c r="P302" t="b" cm="1">
        <f t="array" ref="P302">_xlfn.XLOOKUP(Sales_Data[[#This Row],[Stage]],_xlfn.ANCHORARRAY(Dashboard!$B$20),Dashboard!$D$20:$D$25)</f>
        <v>1</v>
      </c>
      <c r="Q302" t="b" cm="1">
        <f t="array" ref="Q302">_xlfn.XLOOKUP(Sales_Data[[#This Row],[Lead Source]],_xlfn.ANCHORARRAY(Dashboard!$B$28),Dashboard!$D$28:$D$32)</f>
        <v>1</v>
      </c>
      <c r="R302">
        <f>Sales_Data[[#This Row],[Date inc]]*Sales_Data[[#This Row],[Team Inc]]*Sales_Data[[#This Row],[Rep Inc]]*Sales_Data[[#This Row],[Stage Inc]]*Sales_Data[[#This Row],[Source Inc]]</f>
        <v>0</v>
      </c>
    </row>
    <row r="303" spans="1:18" x14ac:dyDescent="0.3">
      <c r="A303" t="s">
        <v>310</v>
      </c>
      <c r="B303" s="2">
        <v>44971</v>
      </c>
      <c r="C303" t="s">
        <v>761</v>
      </c>
      <c r="D303" t="s">
        <v>765</v>
      </c>
      <c r="E303" t="s">
        <v>768</v>
      </c>
      <c r="F303" s="5">
        <v>34400</v>
      </c>
      <c r="G303" t="s">
        <v>781</v>
      </c>
      <c r="H303" s="2">
        <v>45053</v>
      </c>
      <c r="I303" t="s">
        <v>779</v>
      </c>
      <c r="J303" t="str">
        <f>IF(Sales_Data[[#This Row],[Close Date]] &lt;&gt; 0,"Closed", "Open")</f>
        <v>Closed</v>
      </c>
      <c r="K303">
        <f>IF(Sales_Data[[#This Row],[Open/Closed]] = "Closed",Sales_Data[[#This Row],[Close Date]]-Sales_Data[[#This Row],[Created Date]],"")</f>
        <v>82</v>
      </c>
      <c r="L303" s="2">
        <f>EOMONTH(Sales_Data[[#This Row],[Created Date]],0)</f>
        <v>44985</v>
      </c>
      <c r="M303" t="b">
        <f>AND(Sales_Data[[#This Row],[EoM Created]]&gt;=Index!$E$5,Sales_Data[[#This Row],[EoM Created]]&lt;=Index!$E$4)</f>
        <v>0</v>
      </c>
      <c r="N303" t="b" cm="1">
        <f t="array" ref="N303">_xlfn.XLOOKUP(Sales_Data[[#This Row],[Sales Team]],_xlfn.ANCHORARRAY(Dashboard!$B$9),Dashboard!$D$9:$D$10,,0)</f>
        <v>1</v>
      </c>
      <c r="O303" t="b" cm="1">
        <f t="array" ref="O303">_xlfn.XLOOKUP(Sales_Data[[#This Row],[Sales Rep]],_xlfn.ANCHORARRAY(Dashboard!$B$13),Dashboard!$D$13:$D$17,,0)</f>
        <v>1</v>
      </c>
      <c r="P303" t="b" cm="1">
        <f t="array" ref="P303">_xlfn.XLOOKUP(Sales_Data[[#This Row],[Stage]],_xlfn.ANCHORARRAY(Dashboard!$B$20),Dashboard!$D$20:$D$25)</f>
        <v>1</v>
      </c>
      <c r="Q303" t="b" cm="1">
        <f t="array" ref="Q303">_xlfn.XLOOKUP(Sales_Data[[#This Row],[Lead Source]],_xlfn.ANCHORARRAY(Dashboard!$B$28),Dashboard!$D$28:$D$32)</f>
        <v>1</v>
      </c>
      <c r="R303">
        <f>Sales_Data[[#This Row],[Date inc]]*Sales_Data[[#This Row],[Team Inc]]*Sales_Data[[#This Row],[Rep Inc]]*Sales_Data[[#This Row],[Stage Inc]]*Sales_Data[[#This Row],[Source Inc]]</f>
        <v>0</v>
      </c>
    </row>
    <row r="304" spans="1:18" x14ac:dyDescent="0.3">
      <c r="A304" t="s">
        <v>311</v>
      </c>
      <c r="B304" s="2">
        <v>45715</v>
      </c>
      <c r="C304" t="s">
        <v>762</v>
      </c>
      <c r="D304" t="s">
        <v>764</v>
      </c>
      <c r="E304" t="s">
        <v>767</v>
      </c>
      <c r="F304" s="5">
        <v>47500</v>
      </c>
      <c r="G304" t="s">
        <v>781</v>
      </c>
      <c r="H304" s="2">
        <v>45777</v>
      </c>
      <c r="I304" t="s">
        <v>776</v>
      </c>
      <c r="J304" t="str">
        <f>IF(Sales_Data[[#This Row],[Close Date]] &lt;&gt; 0,"Closed", "Open")</f>
        <v>Closed</v>
      </c>
      <c r="K304">
        <f>IF(Sales_Data[[#This Row],[Open/Closed]] = "Closed",Sales_Data[[#This Row],[Close Date]]-Sales_Data[[#This Row],[Created Date]],"")</f>
        <v>62</v>
      </c>
      <c r="L304" s="2">
        <f>EOMONTH(Sales_Data[[#This Row],[Created Date]],0)</f>
        <v>45716</v>
      </c>
      <c r="M304" t="b">
        <f>AND(Sales_Data[[#This Row],[EoM Created]]&gt;=Index!$E$5,Sales_Data[[#This Row],[EoM Created]]&lt;=Index!$E$4)</f>
        <v>1</v>
      </c>
      <c r="N304" t="b" cm="1">
        <f t="array" ref="N304">_xlfn.XLOOKUP(Sales_Data[[#This Row],[Sales Team]],_xlfn.ANCHORARRAY(Dashboard!$B$9),Dashboard!$D$9:$D$10,,0)</f>
        <v>1</v>
      </c>
      <c r="O304" t="b" cm="1">
        <f t="array" ref="O304">_xlfn.XLOOKUP(Sales_Data[[#This Row],[Sales Rep]],_xlfn.ANCHORARRAY(Dashboard!$B$13),Dashboard!$D$13:$D$17,,0)</f>
        <v>1</v>
      </c>
      <c r="P304" t="b" cm="1">
        <f t="array" ref="P304">_xlfn.XLOOKUP(Sales_Data[[#This Row],[Stage]],_xlfn.ANCHORARRAY(Dashboard!$B$20),Dashboard!$D$20:$D$25)</f>
        <v>1</v>
      </c>
      <c r="Q304" t="b" cm="1">
        <f t="array" ref="Q304">_xlfn.XLOOKUP(Sales_Data[[#This Row],[Lead Source]],_xlfn.ANCHORARRAY(Dashboard!$B$28),Dashboard!$D$28:$D$32)</f>
        <v>1</v>
      </c>
      <c r="R304">
        <f>Sales_Data[[#This Row],[Date inc]]*Sales_Data[[#This Row],[Team Inc]]*Sales_Data[[#This Row],[Rep Inc]]*Sales_Data[[#This Row],[Stage Inc]]*Sales_Data[[#This Row],[Source Inc]]</f>
        <v>1</v>
      </c>
    </row>
    <row r="305" spans="1:18" x14ac:dyDescent="0.3">
      <c r="A305" t="s">
        <v>312</v>
      </c>
      <c r="B305" s="2">
        <v>45497</v>
      </c>
      <c r="C305" t="s">
        <v>759</v>
      </c>
      <c r="D305" t="s">
        <v>764</v>
      </c>
      <c r="E305" t="s">
        <v>767</v>
      </c>
      <c r="F305" s="5">
        <v>46100</v>
      </c>
      <c r="G305" t="s">
        <v>780</v>
      </c>
      <c r="H305" s="2">
        <v>45559</v>
      </c>
      <c r="J305" t="str">
        <f>IF(Sales_Data[[#This Row],[Close Date]] &lt;&gt; 0,"Closed", "Open")</f>
        <v>Closed</v>
      </c>
      <c r="K305">
        <f>IF(Sales_Data[[#This Row],[Open/Closed]] = "Closed",Sales_Data[[#This Row],[Close Date]]-Sales_Data[[#This Row],[Created Date]],"")</f>
        <v>62</v>
      </c>
      <c r="L305" s="2">
        <f>EOMONTH(Sales_Data[[#This Row],[Created Date]],0)</f>
        <v>45504</v>
      </c>
      <c r="M305" t="b">
        <f>AND(Sales_Data[[#This Row],[EoM Created]]&gt;=Index!$E$5,Sales_Data[[#This Row],[EoM Created]]&lt;=Index!$E$4)</f>
        <v>1</v>
      </c>
      <c r="N305" t="b" cm="1">
        <f t="array" ref="N305">_xlfn.XLOOKUP(Sales_Data[[#This Row],[Sales Team]],_xlfn.ANCHORARRAY(Dashboard!$B$9),Dashboard!$D$9:$D$10,,0)</f>
        <v>1</v>
      </c>
      <c r="O305" t="b" cm="1">
        <f t="array" ref="O305">_xlfn.XLOOKUP(Sales_Data[[#This Row],[Sales Rep]],_xlfn.ANCHORARRAY(Dashboard!$B$13),Dashboard!$D$13:$D$17,,0)</f>
        <v>1</v>
      </c>
      <c r="P305" t="b" cm="1">
        <f t="array" ref="P305">_xlfn.XLOOKUP(Sales_Data[[#This Row],[Stage]],_xlfn.ANCHORARRAY(Dashboard!$B$20),Dashboard!$D$20:$D$25)</f>
        <v>1</v>
      </c>
      <c r="Q305" t="b" cm="1">
        <f t="array" ref="Q305">_xlfn.XLOOKUP(Sales_Data[[#This Row],[Lead Source]],_xlfn.ANCHORARRAY(Dashboard!$B$28),Dashboard!$D$28:$D$32)</f>
        <v>1</v>
      </c>
      <c r="R305">
        <f>Sales_Data[[#This Row],[Date inc]]*Sales_Data[[#This Row],[Team Inc]]*Sales_Data[[#This Row],[Rep Inc]]*Sales_Data[[#This Row],[Stage Inc]]*Sales_Data[[#This Row],[Source Inc]]</f>
        <v>1</v>
      </c>
    </row>
    <row r="306" spans="1:18" x14ac:dyDescent="0.3">
      <c r="A306" t="s">
        <v>313</v>
      </c>
      <c r="B306" s="2">
        <v>44955</v>
      </c>
      <c r="C306" t="s">
        <v>759</v>
      </c>
      <c r="D306" t="s">
        <v>764</v>
      </c>
      <c r="E306" t="s">
        <v>766</v>
      </c>
      <c r="F306" s="5">
        <v>39800</v>
      </c>
      <c r="G306" t="s">
        <v>781</v>
      </c>
      <c r="H306" s="2">
        <v>45034</v>
      </c>
      <c r="I306" t="s">
        <v>776</v>
      </c>
      <c r="J306" t="str">
        <f>IF(Sales_Data[[#This Row],[Close Date]] &lt;&gt; 0,"Closed", "Open")</f>
        <v>Closed</v>
      </c>
      <c r="K306">
        <f>IF(Sales_Data[[#This Row],[Open/Closed]] = "Closed",Sales_Data[[#This Row],[Close Date]]-Sales_Data[[#This Row],[Created Date]],"")</f>
        <v>79</v>
      </c>
      <c r="L306" s="2">
        <f>EOMONTH(Sales_Data[[#This Row],[Created Date]],0)</f>
        <v>44957</v>
      </c>
      <c r="M306" t="b">
        <f>AND(Sales_Data[[#This Row],[EoM Created]]&gt;=Index!$E$5,Sales_Data[[#This Row],[EoM Created]]&lt;=Index!$E$4)</f>
        <v>0</v>
      </c>
      <c r="N306" t="b" cm="1">
        <f t="array" ref="N306">_xlfn.XLOOKUP(Sales_Data[[#This Row],[Sales Team]],_xlfn.ANCHORARRAY(Dashboard!$B$9),Dashboard!$D$9:$D$10,,0)</f>
        <v>1</v>
      </c>
      <c r="O306" t="b" cm="1">
        <f t="array" ref="O306">_xlfn.XLOOKUP(Sales_Data[[#This Row],[Sales Rep]],_xlfn.ANCHORARRAY(Dashboard!$B$13),Dashboard!$D$13:$D$17,,0)</f>
        <v>1</v>
      </c>
      <c r="P306" t="b" cm="1">
        <f t="array" ref="P306">_xlfn.XLOOKUP(Sales_Data[[#This Row],[Stage]],_xlfn.ANCHORARRAY(Dashboard!$B$20),Dashboard!$D$20:$D$25)</f>
        <v>1</v>
      </c>
      <c r="Q306" t="b" cm="1">
        <f t="array" ref="Q306">_xlfn.XLOOKUP(Sales_Data[[#This Row],[Lead Source]],_xlfn.ANCHORARRAY(Dashboard!$B$28),Dashboard!$D$28:$D$32)</f>
        <v>1</v>
      </c>
      <c r="R306">
        <f>Sales_Data[[#This Row],[Date inc]]*Sales_Data[[#This Row],[Team Inc]]*Sales_Data[[#This Row],[Rep Inc]]*Sales_Data[[#This Row],[Stage Inc]]*Sales_Data[[#This Row],[Source Inc]]</f>
        <v>0</v>
      </c>
    </row>
    <row r="307" spans="1:18" x14ac:dyDescent="0.3">
      <c r="A307" t="s">
        <v>314</v>
      </c>
      <c r="B307" s="2">
        <v>45256</v>
      </c>
      <c r="C307" t="s">
        <v>762</v>
      </c>
      <c r="D307" t="s">
        <v>764</v>
      </c>
      <c r="E307" t="s">
        <v>767</v>
      </c>
      <c r="F307" s="5">
        <v>41200</v>
      </c>
      <c r="G307" t="s">
        <v>780</v>
      </c>
      <c r="H307" s="2">
        <v>45336</v>
      </c>
      <c r="J307" t="str">
        <f>IF(Sales_Data[[#This Row],[Close Date]] &lt;&gt; 0,"Closed", "Open")</f>
        <v>Closed</v>
      </c>
      <c r="K307">
        <f>IF(Sales_Data[[#This Row],[Open/Closed]] = "Closed",Sales_Data[[#This Row],[Close Date]]-Sales_Data[[#This Row],[Created Date]],"")</f>
        <v>80</v>
      </c>
      <c r="L307" s="2">
        <f>EOMONTH(Sales_Data[[#This Row],[Created Date]],0)</f>
        <v>45260</v>
      </c>
      <c r="M307" t="b">
        <f>AND(Sales_Data[[#This Row],[EoM Created]]&gt;=Index!$E$5,Sales_Data[[#This Row],[EoM Created]]&lt;=Index!$E$4)</f>
        <v>1</v>
      </c>
      <c r="N307" t="b" cm="1">
        <f t="array" ref="N307">_xlfn.XLOOKUP(Sales_Data[[#This Row],[Sales Team]],_xlfn.ANCHORARRAY(Dashboard!$B$9),Dashboard!$D$9:$D$10,,0)</f>
        <v>1</v>
      </c>
      <c r="O307" t="b" cm="1">
        <f t="array" ref="O307">_xlfn.XLOOKUP(Sales_Data[[#This Row],[Sales Rep]],_xlfn.ANCHORARRAY(Dashboard!$B$13),Dashboard!$D$13:$D$17,,0)</f>
        <v>1</v>
      </c>
      <c r="P307" t="b" cm="1">
        <f t="array" ref="P307">_xlfn.XLOOKUP(Sales_Data[[#This Row],[Stage]],_xlfn.ANCHORARRAY(Dashboard!$B$20),Dashboard!$D$20:$D$25)</f>
        <v>1</v>
      </c>
      <c r="Q307" t="b" cm="1">
        <f t="array" ref="Q307">_xlfn.XLOOKUP(Sales_Data[[#This Row],[Lead Source]],_xlfn.ANCHORARRAY(Dashboard!$B$28),Dashboard!$D$28:$D$32)</f>
        <v>1</v>
      </c>
      <c r="R307">
        <f>Sales_Data[[#This Row],[Date inc]]*Sales_Data[[#This Row],[Team Inc]]*Sales_Data[[#This Row],[Rep Inc]]*Sales_Data[[#This Row],[Stage Inc]]*Sales_Data[[#This Row],[Source Inc]]</f>
        <v>1</v>
      </c>
    </row>
    <row r="308" spans="1:18" x14ac:dyDescent="0.3">
      <c r="A308" t="s">
        <v>315</v>
      </c>
      <c r="B308" s="2">
        <v>45542</v>
      </c>
      <c r="C308" t="s">
        <v>760</v>
      </c>
      <c r="D308" t="s">
        <v>764</v>
      </c>
      <c r="E308" t="s">
        <v>767</v>
      </c>
      <c r="F308" s="5">
        <v>52800</v>
      </c>
      <c r="G308" t="s">
        <v>780</v>
      </c>
      <c r="H308" s="2">
        <v>45626</v>
      </c>
      <c r="J308" t="str">
        <f>IF(Sales_Data[[#This Row],[Close Date]] &lt;&gt; 0,"Closed", "Open")</f>
        <v>Closed</v>
      </c>
      <c r="K308">
        <f>IF(Sales_Data[[#This Row],[Open/Closed]] = "Closed",Sales_Data[[#This Row],[Close Date]]-Sales_Data[[#This Row],[Created Date]],"")</f>
        <v>84</v>
      </c>
      <c r="L308" s="2">
        <f>EOMONTH(Sales_Data[[#This Row],[Created Date]],0)</f>
        <v>45565</v>
      </c>
      <c r="M308" t="b">
        <f>AND(Sales_Data[[#This Row],[EoM Created]]&gt;=Index!$E$5,Sales_Data[[#This Row],[EoM Created]]&lt;=Index!$E$4)</f>
        <v>1</v>
      </c>
      <c r="N308" t="b" cm="1">
        <f t="array" ref="N308">_xlfn.XLOOKUP(Sales_Data[[#This Row],[Sales Team]],_xlfn.ANCHORARRAY(Dashboard!$B$9),Dashboard!$D$9:$D$10,,0)</f>
        <v>1</v>
      </c>
      <c r="O308" t="b" cm="1">
        <f t="array" ref="O308">_xlfn.XLOOKUP(Sales_Data[[#This Row],[Sales Rep]],_xlfn.ANCHORARRAY(Dashboard!$B$13),Dashboard!$D$13:$D$17,,0)</f>
        <v>1</v>
      </c>
      <c r="P308" t="b" cm="1">
        <f t="array" ref="P308">_xlfn.XLOOKUP(Sales_Data[[#This Row],[Stage]],_xlfn.ANCHORARRAY(Dashboard!$B$20),Dashboard!$D$20:$D$25)</f>
        <v>1</v>
      </c>
      <c r="Q308" t="b" cm="1">
        <f t="array" ref="Q308">_xlfn.XLOOKUP(Sales_Data[[#This Row],[Lead Source]],_xlfn.ANCHORARRAY(Dashboard!$B$28),Dashboard!$D$28:$D$32)</f>
        <v>1</v>
      </c>
      <c r="R308">
        <f>Sales_Data[[#This Row],[Date inc]]*Sales_Data[[#This Row],[Team Inc]]*Sales_Data[[#This Row],[Rep Inc]]*Sales_Data[[#This Row],[Stage Inc]]*Sales_Data[[#This Row],[Source Inc]]</f>
        <v>1</v>
      </c>
    </row>
    <row r="309" spans="1:18" x14ac:dyDescent="0.3">
      <c r="A309" t="s">
        <v>316</v>
      </c>
      <c r="B309" s="2">
        <v>45063</v>
      </c>
      <c r="C309" t="s">
        <v>759</v>
      </c>
      <c r="D309" t="s">
        <v>764</v>
      </c>
      <c r="E309" t="s">
        <v>767</v>
      </c>
      <c r="F309" s="5">
        <v>34100</v>
      </c>
      <c r="G309" t="s">
        <v>781</v>
      </c>
      <c r="H309" s="2">
        <v>45144</v>
      </c>
      <c r="I309" t="s">
        <v>775</v>
      </c>
      <c r="J309" t="str">
        <f>IF(Sales_Data[[#This Row],[Close Date]] &lt;&gt; 0,"Closed", "Open")</f>
        <v>Closed</v>
      </c>
      <c r="K309">
        <f>IF(Sales_Data[[#This Row],[Open/Closed]] = "Closed",Sales_Data[[#This Row],[Close Date]]-Sales_Data[[#This Row],[Created Date]],"")</f>
        <v>81</v>
      </c>
      <c r="L309" s="2">
        <f>EOMONTH(Sales_Data[[#This Row],[Created Date]],0)</f>
        <v>45077</v>
      </c>
      <c r="M309" t="b">
        <f>AND(Sales_Data[[#This Row],[EoM Created]]&gt;=Index!$E$5,Sales_Data[[#This Row],[EoM Created]]&lt;=Index!$E$4)</f>
        <v>0</v>
      </c>
      <c r="N309" t="b" cm="1">
        <f t="array" ref="N309">_xlfn.XLOOKUP(Sales_Data[[#This Row],[Sales Team]],_xlfn.ANCHORARRAY(Dashboard!$B$9),Dashboard!$D$9:$D$10,,0)</f>
        <v>1</v>
      </c>
      <c r="O309" t="b" cm="1">
        <f t="array" ref="O309">_xlfn.XLOOKUP(Sales_Data[[#This Row],[Sales Rep]],_xlfn.ANCHORARRAY(Dashboard!$B$13),Dashboard!$D$13:$D$17,,0)</f>
        <v>1</v>
      </c>
      <c r="P309" t="b" cm="1">
        <f t="array" ref="P309">_xlfn.XLOOKUP(Sales_Data[[#This Row],[Stage]],_xlfn.ANCHORARRAY(Dashboard!$B$20),Dashboard!$D$20:$D$25)</f>
        <v>1</v>
      </c>
      <c r="Q309" t="b" cm="1">
        <f t="array" ref="Q309">_xlfn.XLOOKUP(Sales_Data[[#This Row],[Lead Source]],_xlfn.ANCHORARRAY(Dashboard!$B$28),Dashboard!$D$28:$D$32)</f>
        <v>1</v>
      </c>
      <c r="R309">
        <f>Sales_Data[[#This Row],[Date inc]]*Sales_Data[[#This Row],[Team Inc]]*Sales_Data[[#This Row],[Rep Inc]]*Sales_Data[[#This Row],[Stage Inc]]*Sales_Data[[#This Row],[Source Inc]]</f>
        <v>0</v>
      </c>
    </row>
    <row r="310" spans="1:18" x14ac:dyDescent="0.3">
      <c r="A310" t="s">
        <v>317</v>
      </c>
      <c r="B310" s="2">
        <v>45774</v>
      </c>
      <c r="C310" t="s">
        <v>763</v>
      </c>
      <c r="D310" t="s">
        <v>765</v>
      </c>
      <c r="E310" t="s">
        <v>769</v>
      </c>
      <c r="F310" s="5">
        <v>45500</v>
      </c>
      <c r="G310" t="s">
        <v>781</v>
      </c>
      <c r="H310" s="2">
        <v>45845</v>
      </c>
      <c r="I310" t="s">
        <v>775</v>
      </c>
      <c r="J310" t="str">
        <f>IF(Sales_Data[[#This Row],[Close Date]] &lt;&gt; 0,"Closed", "Open")</f>
        <v>Closed</v>
      </c>
      <c r="K310">
        <f>IF(Sales_Data[[#This Row],[Open/Closed]] = "Closed",Sales_Data[[#This Row],[Close Date]]-Sales_Data[[#This Row],[Created Date]],"")</f>
        <v>71</v>
      </c>
      <c r="L310" s="2">
        <f>EOMONTH(Sales_Data[[#This Row],[Created Date]],0)</f>
        <v>45777</v>
      </c>
      <c r="M310" t="b">
        <f>AND(Sales_Data[[#This Row],[EoM Created]]&gt;=Index!$E$5,Sales_Data[[#This Row],[EoM Created]]&lt;=Index!$E$4)</f>
        <v>1</v>
      </c>
      <c r="N310" t="b" cm="1">
        <f t="array" ref="N310">_xlfn.XLOOKUP(Sales_Data[[#This Row],[Sales Team]],_xlfn.ANCHORARRAY(Dashboard!$B$9),Dashboard!$D$9:$D$10,,0)</f>
        <v>1</v>
      </c>
      <c r="O310" t="b" cm="1">
        <f t="array" ref="O310">_xlfn.XLOOKUP(Sales_Data[[#This Row],[Sales Rep]],_xlfn.ANCHORARRAY(Dashboard!$B$13),Dashboard!$D$13:$D$17,,0)</f>
        <v>1</v>
      </c>
      <c r="P310" t="b" cm="1">
        <f t="array" ref="P310">_xlfn.XLOOKUP(Sales_Data[[#This Row],[Stage]],_xlfn.ANCHORARRAY(Dashboard!$B$20),Dashboard!$D$20:$D$25)</f>
        <v>1</v>
      </c>
      <c r="Q310" t="b" cm="1">
        <f t="array" ref="Q310">_xlfn.XLOOKUP(Sales_Data[[#This Row],[Lead Source]],_xlfn.ANCHORARRAY(Dashboard!$B$28),Dashboard!$D$28:$D$32)</f>
        <v>1</v>
      </c>
      <c r="R310">
        <f>Sales_Data[[#This Row],[Date inc]]*Sales_Data[[#This Row],[Team Inc]]*Sales_Data[[#This Row],[Rep Inc]]*Sales_Data[[#This Row],[Stage Inc]]*Sales_Data[[#This Row],[Source Inc]]</f>
        <v>1</v>
      </c>
    </row>
    <row r="311" spans="1:18" x14ac:dyDescent="0.3">
      <c r="A311" t="s">
        <v>318</v>
      </c>
      <c r="B311" s="2">
        <v>45005</v>
      </c>
      <c r="C311" t="s">
        <v>762</v>
      </c>
      <c r="D311" t="s">
        <v>764</v>
      </c>
      <c r="E311" t="s">
        <v>767</v>
      </c>
      <c r="F311" s="5">
        <v>38000</v>
      </c>
      <c r="G311" t="s">
        <v>781</v>
      </c>
      <c r="H311" s="2">
        <v>45083</v>
      </c>
      <c r="I311" t="s">
        <v>775</v>
      </c>
      <c r="J311" t="str">
        <f>IF(Sales_Data[[#This Row],[Close Date]] &lt;&gt; 0,"Closed", "Open")</f>
        <v>Closed</v>
      </c>
      <c r="K311">
        <f>IF(Sales_Data[[#This Row],[Open/Closed]] = "Closed",Sales_Data[[#This Row],[Close Date]]-Sales_Data[[#This Row],[Created Date]],"")</f>
        <v>78</v>
      </c>
      <c r="L311" s="2">
        <f>EOMONTH(Sales_Data[[#This Row],[Created Date]],0)</f>
        <v>45016</v>
      </c>
      <c r="M311" t="b">
        <f>AND(Sales_Data[[#This Row],[EoM Created]]&gt;=Index!$E$5,Sales_Data[[#This Row],[EoM Created]]&lt;=Index!$E$4)</f>
        <v>0</v>
      </c>
      <c r="N311" t="b" cm="1">
        <f t="array" ref="N311">_xlfn.XLOOKUP(Sales_Data[[#This Row],[Sales Team]],_xlfn.ANCHORARRAY(Dashboard!$B$9),Dashboard!$D$9:$D$10,,0)</f>
        <v>1</v>
      </c>
      <c r="O311" t="b" cm="1">
        <f t="array" ref="O311">_xlfn.XLOOKUP(Sales_Data[[#This Row],[Sales Rep]],_xlfn.ANCHORARRAY(Dashboard!$B$13),Dashboard!$D$13:$D$17,,0)</f>
        <v>1</v>
      </c>
      <c r="P311" t="b" cm="1">
        <f t="array" ref="P311">_xlfn.XLOOKUP(Sales_Data[[#This Row],[Stage]],_xlfn.ANCHORARRAY(Dashboard!$B$20),Dashboard!$D$20:$D$25)</f>
        <v>1</v>
      </c>
      <c r="Q311" t="b" cm="1">
        <f t="array" ref="Q311">_xlfn.XLOOKUP(Sales_Data[[#This Row],[Lead Source]],_xlfn.ANCHORARRAY(Dashboard!$B$28),Dashboard!$D$28:$D$32)</f>
        <v>1</v>
      </c>
      <c r="R311">
        <f>Sales_Data[[#This Row],[Date inc]]*Sales_Data[[#This Row],[Team Inc]]*Sales_Data[[#This Row],[Rep Inc]]*Sales_Data[[#This Row],[Stage Inc]]*Sales_Data[[#This Row],[Source Inc]]</f>
        <v>0</v>
      </c>
    </row>
    <row r="312" spans="1:18" x14ac:dyDescent="0.3">
      <c r="A312" t="s">
        <v>319</v>
      </c>
      <c r="B312" s="2">
        <v>45014</v>
      </c>
      <c r="C312" t="s">
        <v>760</v>
      </c>
      <c r="D312" t="s">
        <v>764</v>
      </c>
      <c r="E312" t="s">
        <v>766</v>
      </c>
      <c r="F312" s="5">
        <v>37800</v>
      </c>
      <c r="G312" t="s">
        <v>781</v>
      </c>
      <c r="H312" s="2">
        <v>45098</v>
      </c>
      <c r="I312" t="s">
        <v>777</v>
      </c>
      <c r="J312" t="str">
        <f>IF(Sales_Data[[#This Row],[Close Date]] &lt;&gt; 0,"Closed", "Open")</f>
        <v>Closed</v>
      </c>
      <c r="K312">
        <f>IF(Sales_Data[[#This Row],[Open/Closed]] = "Closed",Sales_Data[[#This Row],[Close Date]]-Sales_Data[[#This Row],[Created Date]],"")</f>
        <v>84</v>
      </c>
      <c r="L312" s="2">
        <f>EOMONTH(Sales_Data[[#This Row],[Created Date]],0)</f>
        <v>45016</v>
      </c>
      <c r="M312" t="b">
        <f>AND(Sales_Data[[#This Row],[EoM Created]]&gt;=Index!$E$5,Sales_Data[[#This Row],[EoM Created]]&lt;=Index!$E$4)</f>
        <v>0</v>
      </c>
      <c r="N312" t="b" cm="1">
        <f t="array" ref="N312">_xlfn.XLOOKUP(Sales_Data[[#This Row],[Sales Team]],_xlfn.ANCHORARRAY(Dashboard!$B$9),Dashboard!$D$9:$D$10,,0)</f>
        <v>1</v>
      </c>
      <c r="O312" t="b" cm="1">
        <f t="array" ref="O312">_xlfn.XLOOKUP(Sales_Data[[#This Row],[Sales Rep]],_xlfn.ANCHORARRAY(Dashboard!$B$13),Dashboard!$D$13:$D$17,,0)</f>
        <v>1</v>
      </c>
      <c r="P312" t="b" cm="1">
        <f t="array" ref="P312">_xlfn.XLOOKUP(Sales_Data[[#This Row],[Stage]],_xlfn.ANCHORARRAY(Dashboard!$B$20),Dashboard!$D$20:$D$25)</f>
        <v>1</v>
      </c>
      <c r="Q312" t="b" cm="1">
        <f t="array" ref="Q312">_xlfn.XLOOKUP(Sales_Data[[#This Row],[Lead Source]],_xlfn.ANCHORARRAY(Dashboard!$B$28),Dashboard!$D$28:$D$32)</f>
        <v>1</v>
      </c>
      <c r="R312">
        <f>Sales_Data[[#This Row],[Date inc]]*Sales_Data[[#This Row],[Team Inc]]*Sales_Data[[#This Row],[Rep Inc]]*Sales_Data[[#This Row],[Stage Inc]]*Sales_Data[[#This Row],[Source Inc]]</f>
        <v>0</v>
      </c>
    </row>
    <row r="313" spans="1:18" x14ac:dyDescent="0.3">
      <c r="A313" t="s">
        <v>320</v>
      </c>
      <c r="B313" s="2">
        <v>44991</v>
      </c>
      <c r="C313" t="s">
        <v>760</v>
      </c>
      <c r="D313" t="s">
        <v>764</v>
      </c>
      <c r="E313" t="s">
        <v>767</v>
      </c>
      <c r="F313" s="5">
        <v>51000</v>
      </c>
      <c r="G313" t="s">
        <v>781</v>
      </c>
      <c r="H313" s="2">
        <v>45052</v>
      </c>
      <c r="I313" t="s">
        <v>779</v>
      </c>
      <c r="J313" t="str">
        <f>IF(Sales_Data[[#This Row],[Close Date]] &lt;&gt; 0,"Closed", "Open")</f>
        <v>Closed</v>
      </c>
      <c r="K313">
        <f>IF(Sales_Data[[#This Row],[Open/Closed]] = "Closed",Sales_Data[[#This Row],[Close Date]]-Sales_Data[[#This Row],[Created Date]],"")</f>
        <v>61</v>
      </c>
      <c r="L313" s="2">
        <f>EOMONTH(Sales_Data[[#This Row],[Created Date]],0)</f>
        <v>45016</v>
      </c>
      <c r="M313" t="b">
        <f>AND(Sales_Data[[#This Row],[EoM Created]]&gt;=Index!$E$5,Sales_Data[[#This Row],[EoM Created]]&lt;=Index!$E$4)</f>
        <v>0</v>
      </c>
      <c r="N313" t="b" cm="1">
        <f t="array" ref="N313">_xlfn.XLOOKUP(Sales_Data[[#This Row],[Sales Team]],_xlfn.ANCHORARRAY(Dashboard!$B$9),Dashboard!$D$9:$D$10,,0)</f>
        <v>1</v>
      </c>
      <c r="O313" t="b" cm="1">
        <f t="array" ref="O313">_xlfn.XLOOKUP(Sales_Data[[#This Row],[Sales Rep]],_xlfn.ANCHORARRAY(Dashboard!$B$13),Dashboard!$D$13:$D$17,,0)</f>
        <v>1</v>
      </c>
      <c r="P313" t="b" cm="1">
        <f t="array" ref="P313">_xlfn.XLOOKUP(Sales_Data[[#This Row],[Stage]],_xlfn.ANCHORARRAY(Dashboard!$B$20),Dashboard!$D$20:$D$25)</f>
        <v>1</v>
      </c>
      <c r="Q313" t="b" cm="1">
        <f t="array" ref="Q313">_xlfn.XLOOKUP(Sales_Data[[#This Row],[Lead Source]],_xlfn.ANCHORARRAY(Dashboard!$B$28),Dashboard!$D$28:$D$32)</f>
        <v>1</v>
      </c>
      <c r="R313">
        <f>Sales_Data[[#This Row],[Date inc]]*Sales_Data[[#This Row],[Team Inc]]*Sales_Data[[#This Row],[Rep Inc]]*Sales_Data[[#This Row],[Stage Inc]]*Sales_Data[[#This Row],[Source Inc]]</f>
        <v>0</v>
      </c>
    </row>
    <row r="314" spans="1:18" x14ac:dyDescent="0.3">
      <c r="A314" t="s">
        <v>321</v>
      </c>
      <c r="B314" s="2">
        <v>44978</v>
      </c>
      <c r="C314" t="s">
        <v>760</v>
      </c>
      <c r="D314" t="s">
        <v>764</v>
      </c>
      <c r="E314" t="s">
        <v>767</v>
      </c>
      <c r="F314" s="5">
        <v>48300</v>
      </c>
      <c r="G314" t="s">
        <v>780</v>
      </c>
      <c r="H314" s="2">
        <v>45053</v>
      </c>
      <c r="J314" t="str">
        <f>IF(Sales_Data[[#This Row],[Close Date]] &lt;&gt; 0,"Closed", "Open")</f>
        <v>Closed</v>
      </c>
      <c r="K314">
        <f>IF(Sales_Data[[#This Row],[Open/Closed]] = "Closed",Sales_Data[[#This Row],[Close Date]]-Sales_Data[[#This Row],[Created Date]],"")</f>
        <v>75</v>
      </c>
      <c r="L314" s="2">
        <f>EOMONTH(Sales_Data[[#This Row],[Created Date]],0)</f>
        <v>44985</v>
      </c>
      <c r="M314" t="b">
        <f>AND(Sales_Data[[#This Row],[EoM Created]]&gt;=Index!$E$5,Sales_Data[[#This Row],[EoM Created]]&lt;=Index!$E$4)</f>
        <v>0</v>
      </c>
      <c r="N314" t="b" cm="1">
        <f t="array" ref="N314">_xlfn.XLOOKUP(Sales_Data[[#This Row],[Sales Team]],_xlfn.ANCHORARRAY(Dashboard!$B$9),Dashboard!$D$9:$D$10,,0)</f>
        <v>1</v>
      </c>
      <c r="O314" t="b" cm="1">
        <f t="array" ref="O314">_xlfn.XLOOKUP(Sales_Data[[#This Row],[Sales Rep]],_xlfn.ANCHORARRAY(Dashboard!$B$13),Dashboard!$D$13:$D$17,,0)</f>
        <v>1</v>
      </c>
      <c r="P314" t="b" cm="1">
        <f t="array" ref="P314">_xlfn.XLOOKUP(Sales_Data[[#This Row],[Stage]],_xlfn.ANCHORARRAY(Dashboard!$B$20),Dashboard!$D$20:$D$25)</f>
        <v>1</v>
      </c>
      <c r="Q314" t="b" cm="1">
        <f t="array" ref="Q314">_xlfn.XLOOKUP(Sales_Data[[#This Row],[Lead Source]],_xlfn.ANCHORARRAY(Dashboard!$B$28),Dashboard!$D$28:$D$32)</f>
        <v>1</v>
      </c>
      <c r="R314">
        <f>Sales_Data[[#This Row],[Date inc]]*Sales_Data[[#This Row],[Team Inc]]*Sales_Data[[#This Row],[Rep Inc]]*Sales_Data[[#This Row],[Stage Inc]]*Sales_Data[[#This Row],[Source Inc]]</f>
        <v>0</v>
      </c>
    </row>
    <row r="315" spans="1:18" x14ac:dyDescent="0.3">
      <c r="A315" t="s">
        <v>322</v>
      </c>
      <c r="B315" s="2">
        <v>45025</v>
      </c>
      <c r="C315" t="s">
        <v>760</v>
      </c>
      <c r="D315" t="s">
        <v>764</v>
      </c>
      <c r="E315" t="s">
        <v>766</v>
      </c>
      <c r="F315" s="5">
        <v>48100</v>
      </c>
      <c r="G315" t="s">
        <v>780</v>
      </c>
      <c r="H315" s="2">
        <v>45087</v>
      </c>
      <c r="J315" t="str">
        <f>IF(Sales_Data[[#This Row],[Close Date]] &lt;&gt; 0,"Closed", "Open")</f>
        <v>Closed</v>
      </c>
      <c r="K315">
        <f>IF(Sales_Data[[#This Row],[Open/Closed]] = "Closed",Sales_Data[[#This Row],[Close Date]]-Sales_Data[[#This Row],[Created Date]],"")</f>
        <v>62</v>
      </c>
      <c r="L315" s="2">
        <f>EOMONTH(Sales_Data[[#This Row],[Created Date]],0)</f>
        <v>45046</v>
      </c>
      <c r="M315" t="b">
        <f>AND(Sales_Data[[#This Row],[EoM Created]]&gt;=Index!$E$5,Sales_Data[[#This Row],[EoM Created]]&lt;=Index!$E$4)</f>
        <v>0</v>
      </c>
      <c r="N315" t="b" cm="1">
        <f t="array" ref="N315">_xlfn.XLOOKUP(Sales_Data[[#This Row],[Sales Team]],_xlfn.ANCHORARRAY(Dashboard!$B$9),Dashboard!$D$9:$D$10,,0)</f>
        <v>1</v>
      </c>
      <c r="O315" t="b" cm="1">
        <f t="array" ref="O315">_xlfn.XLOOKUP(Sales_Data[[#This Row],[Sales Rep]],_xlfn.ANCHORARRAY(Dashboard!$B$13),Dashboard!$D$13:$D$17,,0)</f>
        <v>1</v>
      </c>
      <c r="P315" t="b" cm="1">
        <f t="array" ref="P315">_xlfn.XLOOKUP(Sales_Data[[#This Row],[Stage]],_xlfn.ANCHORARRAY(Dashboard!$B$20),Dashboard!$D$20:$D$25)</f>
        <v>1</v>
      </c>
      <c r="Q315" t="b" cm="1">
        <f t="array" ref="Q315">_xlfn.XLOOKUP(Sales_Data[[#This Row],[Lead Source]],_xlfn.ANCHORARRAY(Dashboard!$B$28),Dashboard!$D$28:$D$32)</f>
        <v>1</v>
      </c>
      <c r="R315">
        <f>Sales_Data[[#This Row],[Date inc]]*Sales_Data[[#This Row],[Team Inc]]*Sales_Data[[#This Row],[Rep Inc]]*Sales_Data[[#This Row],[Stage Inc]]*Sales_Data[[#This Row],[Source Inc]]</f>
        <v>0</v>
      </c>
    </row>
    <row r="316" spans="1:18" x14ac:dyDescent="0.3">
      <c r="A316" t="s">
        <v>323</v>
      </c>
      <c r="B316" s="2">
        <v>45292</v>
      </c>
      <c r="C316" t="s">
        <v>763</v>
      </c>
      <c r="D316" t="s">
        <v>765</v>
      </c>
      <c r="E316" t="s">
        <v>769</v>
      </c>
      <c r="F316" s="5">
        <v>53100</v>
      </c>
      <c r="G316" t="s">
        <v>781</v>
      </c>
      <c r="H316" s="2">
        <v>45361</v>
      </c>
      <c r="I316" t="s">
        <v>777</v>
      </c>
      <c r="J316" t="str">
        <f>IF(Sales_Data[[#This Row],[Close Date]] &lt;&gt; 0,"Closed", "Open")</f>
        <v>Closed</v>
      </c>
      <c r="K316">
        <f>IF(Sales_Data[[#This Row],[Open/Closed]] = "Closed",Sales_Data[[#This Row],[Close Date]]-Sales_Data[[#This Row],[Created Date]],"")</f>
        <v>69</v>
      </c>
      <c r="L316" s="2">
        <f>EOMONTH(Sales_Data[[#This Row],[Created Date]],0)</f>
        <v>45322</v>
      </c>
      <c r="M316" t="b">
        <f>AND(Sales_Data[[#This Row],[EoM Created]]&gt;=Index!$E$5,Sales_Data[[#This Row],[EoM Created]]&lt;=Index!$E$4)</f>
        <v>1</v>
      </c>
      <c r="N316" t="b" cm="1">
        <f t="array" ref="N316">_xlfn.XLOOKUP(Sales_Data[[#This Row],[Sales Team]],_xlfn.ANCHORARRAY(Dashboard!$B$9),Dashboard!$D$9:$D$10,,0)</f>
        <v>1</v>
      </c>
      <c r="O316" t="b" cm="1">
        <f t="array" ref="O316">_xlfn.XLOOKUP(Sales_Data[[#This Row],[Sales Rep]],_xlfn.ANCHORARRAY(Dashboard!$B$13),Dashboard!$D$13:$D$17,,0)</f>
        <v>1</v>
      </c>
      <c r="P316" t="b" cm="1">
        <f t="array" ref="P316">_xlfn.XLOOKUP(Sales_Data[[#This Row],[Stage]],_xlfn.ANCHORARRAY(Dashboard!$B$20),Dashboard!$D$20:$D$25)</f>
        <v>1</v>
      </c>
      <c r="Q316" t="b" cm="1">
        <f t="array" ref="Q316">_xlfn.XLOOKUP(Sales_Data[[#This Row],[Lead Source]],_xlfn.ANCHORARRAY(Dashboard!$B$28),Dashboard!$D$28:$D$32)</f>
        <v>1</v>
      </c>
      <c r="R316">
        <f>Sales_Data[[#This Row],[Date inc]]*Sales_Data[[#This Row],[Team Inc]]*Sales_Data[[#This Row],[Rep Inc]]*Sales_Data[[#This Row],[Stage Inc]]*Sales_Data[[#This Row],[Source Inc]]</f>
        <v>1</v>
      </c>
    </row>
    <row r="317" spans="1:18" x14ac:dyDescent="0.3">
      <c r="A317" t="s">
        <v>324</v>
      </c>
      <c r="B317" s="2">
        <v>45760</v>
      </c>
      <c r="C317" t="s">
        <v>760</v>
      </c>
      <c r="D317" t="s">
        <v>764</v>
      </c>
      <c r="E317" t="s">
        <v>767</v>
      </c>
      <c r="F317" s="5">
        <v>40200</v>
      </c>
      <c r="G317" t="s">
        <v>781</v>
      </c>
      <c r="H317" s="2">
        <v>45830</v>
      </c>
      <c r="I317" t="s">
        <v>779</v>
      </c>
      <c r="J317" t="str">
        <f>IF(Sales_Data[[#This Row],[Close Date]] &lt;&gt; 0,"Closed", "Open")</f>
        <v>Closed</v>
      </c>
      <c r="K317">
        <f>IF(Sales_Data[[#This Row],[Open/Closed]] = "Closed",Sales_Data[[#This Row],[Close Date]]-Sales_Data[[#This Row],[Created Date]],"")</f>
        <v>70</v>
      </c>
      <c r="L317" s="2">
        <f>EOMONTH(Sales_Data[[#This Row],[Created Date]],0)</f>
        <v>45777</v>
      </c>
      <c r="M317" t="b">
        <f>AND(Sales_Data[[#This Row],[EoM Created]]&gt;=Index!$E$5,Sales_Data[[#This Row],[EoM Created]]&lt;=Index!$E$4)</f>
        <v>1</v>
      </c>
      <c r="N317" t="b" cm="1">
        <f t="array" ref="N317">_xlfn.XLOOKUP(Sales_Data[[#This Row],[Sales Team]],_xlfn.ANCHORARRAY(Dashboard!$B$9),Dashboard!$D$9:$D$10,,0)</f>
        <v>1</v>
      </c>
      <c r="O317" t="b" cm="1">
        <f t="array" ref="O317">_xlfn.XLOOKUP(Sales_Data[[#This Row],[Sales Rep]],_xlfn.ANCHORARRAY(Dashboard!$B$13),Dashboard!$D$13:$D$17,,0)</f>
        <v>1</v>
      </c>
      <c r="P317" t="b" cm="1">
        <f t="array" ref="P317">_xlfn.XLOOKUP(Sales_Data[[#This Row],[Stage]],_xlfn.ANCHORARRAY(Dashboard!$B$20),Dashboard!$D$20:$D$25)</f>
        <v>1</v>
      </c>
      <c r="Q317" t="b" cm="1">
        <f t="array" ref="Q317">_xlfn.XLOOKUP(Sales_Data[[#This Row],[Lead Source]],_xlfn.ANCHORARRAY(Dashboard!$B$28),Dashboard!$D$28:$D$32)</f>
        <v>1</v>
      </c>
      <c r="R317">
        <f>Sales_Data[[#This Row],[Date inc]]*Sales_Data[[#This Row],[Team Inc]]*Sales_Data[[#This Row],[Rep Inc]]*Sales_Data[[#This Row],[Stage Inc]]*Sales_Data[[#This Row],[Source Inc]]</f>
        <v>1</v>
      </c>
    </row>
    <row r="318" spans="1:18" x14ac:dyDescent="0.3">
      <c r="A318" t="s">
        <v>325</v>
      </c>
      <c r="B318" s="2">
        <v>45512</v>
      </c>
      <c r="C318" t="s">
        <v>760</v>
      </c>
      <c r="D318" t="s">
        <v>764</v>
      </c>
      <c r="E318" t="s">
        <v>767</v>
      </c>
      <c r="F318" s="5">
        <v>46800</v>
      </c>
      <c r="G318" t="s">
        <v>780</v>
      </c>
      <c r="H318" s="2">
        <v>45588</v>
      </c>
      <c r="J318" t="str">
        <f>IF(Sales_Data[[#This Row],[Close Date]] &lt;&gt; 0,"Closed", "Open")</f>
        <v>Closed</v>
      </c>
      <c r="K318">
        <f>IF(Sales_Data[[#This Row],[Open/Closed]] = "Closed",Sales_Data[[#This Row],[Close Date]]-Sales_Data[[#This Row],[Created Date]],"")</f>
        <v>76</v>
      </c>
      <c r="L318" s="2">
        <f>EOMONTH(Sales_Data[[#This Row],[Created Date]],0)</f>
        <v>45535</v>
      </c>
      <c r="M318" t="b">
        <f>AND(Sales_Data[[#This Row],[EoM Created]]&gt;=Index!$E$5,Sales_Data[[#This Row],[EoM Created]]&lt;=Index!$E$4)</f>
        <v>1</v>
      </c>
      <c r="N318" t="b" cm="1">
        <f t="array" ref="N318">_xlfn.XLOOKUP(Sales_Data[[#This Row],[Sales Team]],_xlfn.ANCHORARRAY(Dashboard!$B$9),Dashboard!$D$9:$D$10,,0)</f>
        <v>1</v>
      </c>
      <c r="O318" t="b" cm="1">
        <f t="array" ref="O318">_xlfn.XLOOKUP(Sales_Data[[#This Row],[Sales Rep]],_xlfn.ANCHORARRAY(Dashboard!$B$13),Dashboard!$D$13:$D$17,,0)</f>
        <v>1</v>
      </c>
      <c r="P318" t="b" cm="1">
        <f t="array" ref="P318">_xlfn.XLOOKUP(Sales_Data[[#This Row],[Stage]],_xlfn.ANCHORARRAY(Dashboard!$B$20),Dashboard!$D$20:$D$25)</f>
        <v>1</v>
      </c>
      <c r="Q318" t="b" cm="1">
        <f t="array" ref="Q318">_xlfn.XLOOKUP(Sales_Data[[#This Row],[Lead Source]],_xlfn.ANCHORARRAY(Dashboard!$B$28),Dashboard!$D$28:$D$32)</f>
        <v>1</v>
      </c>
      <c r="R318">
        <f>Sales_Data[[#This Row],[Date inc]]*Sales_Data[[#This Row],[Team Inc]]*Sales_Data[[#This Row],[Rep Inc]]*Sales_Data[[#This Row],[Stage Inc]]*Sales_Data[[#This Row],[Source Inc]]</f>
        <v>1</v>
      </c>
    </row>
    <row r="319" spans="1:18" x14ac:dyDescent="0.3">
      <c r="A319" t="s">
        <v>326</v>
      </c>
      <c r="B319" s="2">
        <v>45406</v>
      </c>
      <c r="C319" t="s">
        <v>763</v>
      </c>
      <c r="D319" t="s">
        <v>765</v>
      </c>
      <c r="E319" t="s">
        <v>769</v>
      </c>
      <c r="F319" s="5">
        <v>36900</v>
      </c>
      <c r="G319" t="s">
        <v>780</v>
      </c>
      <c r="H319" s="2">
        <v>45480</v>
      </c>
      <c r="J319" t="str">
        <f>IF(Sales_Data[[#This Row],[Close Date]] &lt;&gt; 0,"Closed", "Open")</f>
        <v>Closed</v>
      </c>
      <c r="K319">
        <f>IF(Sales_Data[[#This Row],[Open/Closed]] = "Closed",Sales_Data[[#This Row],[Close Date]]-Sales_Data[[#This Row],[Created Date]],"")</f>
        <v>74</v>
      </c>
      <c r="L319" s="2">
        <f>EOMONTH(Sales_Data[[#This Row],[Created Date]],0)</f>
        <v>45412</v>
      </c>
      <c r="M319" t="b">
        <f>AND(Sales_Data[[#This Row],[EoM Created]]&gt;=Index!$E$5,Sales_Data[[#This Row],[EoM Created]]&lt;=Index!$E$4)</f>
        <v>1</v>
      </c>
      <c r="N319" t="b" cm="1">
        <f t="array" ref="N319">_xlfn.XLOOKUP(Sales_Data[[#This Row],[Sales Team]],_xlfn.ANCHORARRAY(Dashboard!$B$9),Dashboard!$D$9:$D$10,,0)</f>
        <v>1</v>
      </c>
      <c r="O319" t="b" cm="1">
        <f t="array" ref="O319">_xlfn.XLOOKUP(Sales_Data[[#This Row],[Sales Rep]],_xlfn.ANCHORARRAY(Dashboard!$B$13),Dashboard!$D$13:$D$17,,0)</f>
        <v>1</v>
      </c>
      <c r="P319" t="b" cm="1">
        <f t="array" ref="P319">_xlfn.XLOOKUP(Sales_Data[[#This Row],[Stage]],_xlfn.ANCHORARRAY(Dashboard!$B$20),Dashboard!$D$20:$D$25)</f>
        <v>1</v>
      </c>
      <c r="Q319" t="b" cm="1">
        <f t="array" ref="Q319">_xlfn.XLOOKUP(Sales_Data[[#This Row],[Lead Source]],_xlfn.ANCHORARRAY(Dashboard!$B$28),Dashboard!$D$28:$D$32)</f>
        <v>1</v>
      </c>
      <c r="R319">
        <f>Sales_Data[[#This Row],[Date inc]]*Sales_Data[[#This Row],[Team Inc]]*Sales_Data[[#This Row],[Rep Inc]]*Sales_Data[[#This Row],[Stage Inc]]*Sales_Data[[#This Row],[Source Inc]]</f>
        <v>1</v>
      </c>
    </row>
    <row r="320" spans="1:18" x14ac:dyDescent="0.3">
      <c r="A320" t="s">
        <v>327</v>
      </c>
      <c r="B320" s="2">
        <v>45533</v>
      </c>
      <c r="C320" t="s">
        <v>763</v>
      </c>
      <c r="D320" t="s">
        <v>765</v>
      </c>
      <c r="E320" t="s">
        <v>769</v>
      </c>
      <c r="F320" s="5">
        <v>43200</v>
      </c>
      <c r="G320" t="s">
        <v>781</v>
      </c>
      <c r="H320" s="2">
        <v>45607</v>
      </c>
      <c r="I320" t="s">
        <v>778</v>
      </c>
      <c r="J320" t="str">
        <f>IF(Sales_Data[[#This Row],[Close Date]] &lt;&gt; 0,"Closed", "Open")</f>
        <v>Closed</v>
      </c>
      <c r="K320">
        <f>IF(Sales_Data[[#This Row],[Open/Closed]] = "Closed",Sales_Data[[#This Row],[Close Date]]-Sales_Data[[#This Row],[Created Date]],"")</f>
        <v>74</v>
      </c>
      <c r="L320" s="2">
        <f>EOMONTH(Sales_Data[[#This Row],[Created Date]],0)</f>
        <v>45535</v>
      </c>
      <c r="M320" t="b">
        <f>AND(Sales_Data[[#This Row],[EoM Created]]&gt;=Index!$E$5,Sales_Data[[#This Row],[EoM Created]]&lt;=Index!$E$4)</f>
        <v>1</v>
      </c>
      <c r="N320" t="b" cm="1">
        <f t="array" ref="N320">_xlfn.XLOOKUP(Sales_Data[[#This Row],[Sales Team]],_xlfn.ANCHORARRAY(Dashboard!$B$9),Dashboard!$D$9:$D$10,,0)</f>
        <v>1</v>
      </c>
      <c r="O320" t="b" cm="1">
        <f t="array" ref="O320">_xlfn.XLOOKUP(Sales_Data[[#This Row],[Sales Rep]],_xlfn.ANCHORARRAY(Dashboard!$B$13),Dashboard!$D$13:$D$17,,0)</f>
        <v>1</v>
      </c>
      <c r="P320" t="b" cm="1">
        <f t="array" ref="P320">_xlfn.XLOOKUP(Sales_Data[[#This Row],[Stage]],_xlfn.ANCHORARRAY(Dashboard!$B$20),Dashboard!$D$20:$D$25)</f>
        <v>1</v>
      </c>
      <c r="Q320" t="b" cm="1">
        <f t="array" ref="Q320">_xlfn.XLOOKUP(Sales_Data[[#This Row],[Lead Source]],_xlfn.ANCHORARRAY(Dashboard!$B$28),Dashboard!$D$28:$D$32)</f>
        <v>1</v>
      </c>
      <c r="R320">
        <f>Sales_Data[[#This Row],[Date inc]]*Sales_Data[[#This Row],[Team Inc]]*Sales_Data[[#This Row],[Rep Inc]]*Sales_Data[[#This Row],[Stage Inc]]*Sales_Data[[#This Row],[Source Inc]]</f>
        <v>1</v>
      </c>
    </row>
    <row r="321" spans="1:18" x14ac:dyDescent="0.3">
      <c r="A321" t="s">
        <v>328</v>
      </c>
      <c r="B321" s="2">
        <v>45620</v>
      </c>
      <c r="C321" t="s">
        <v>761</v>
      </c>
      <c r="D321" t="s">
        <v>765</v>
      </c>
      <c r="E321" t="s">
        <v>769</v>
      </c>
      <c r="F321" s="5">
        <v>38700</v>
      </c>
      <c r="G321" t="s">
        <v>780</v>
      </c>
      <c r="H321" s="2">
        <v>45690</v>
      </c>
      <c r="J321" t="str">
        <f>IF(Sales_Data[[#This Row],[Close Date]] &lt;&gt; 0,"Closed", "Open")</f>
        <v>Closed</v>
      </c>
      <c r="K321">
        <f>IF(Sales_Data[[#This Row],[Open/Closed]] = "Closed",Sales_Data[[#This Row],[Close Date]]-Sales_Data[[#This Row],[Created Date]],"")</f>
        <v>70</v>
      </c>
      <c r="L321" s="2">
        <f>EOMONTH(Sales_Data[[#This Row],[Created Date]],0)</f>
        <v>45626</v>
      </c>
      <c r="M321" t="b">
        <f>AND(Sales_Data[[#This Row],[EoM Created]]&gt;=Index!$E$5,Sales_Data[[#This Row],[EoM Created]]&lt;=Index!$E$4)</f>
        <v>1</v>
      </c>
      <c r="N321" t="b" cm="1">
        <f t="array" ref="N321">_xlfn.XLOOKUP(Sales_Data[[#This Row],[Sales Team]],_xlfn.ANCHORARRAY(Dashboard!$B$9),Dashboard!$D$9:$D$10,,0)</f>
        <v>1</v>
      </c>
      <c r="O321" t="b" cm="1">
        <f t="array" ref="O321">_xlfn.XLOOKUP(Sales_Data[[#This Row],[Sales Rep]],_xlfn.ANCHORARRAY(Dashboard!$B$13),Dashboard!$D$13:$D$17,,0)</f>
        <v>1</v>
      </c>
      <c r="P321" t="b" cm="1">
        <f t="array" ref="P321">_xlfn.XLOOKUP(Sales_Data[[#This Row],[Stage]],_xlfn.ANCHORARRAY(Dashboard!$B$20),Dashboard!$D$20:$D$25)</f>
        <v>1</v>
      </c>
      <c r="Q321" t="b" cm="1">
        <f t="array" ref="Q321">_xlfn.XLOOKUP(Sales_Data[[#This Row],[Lead Source]],_xlfn.ANCHORARRAY(Dashboard!$B$28),Dashboard!$D$28:$D$32)</f>
        <v>1</v>
      </c>
      <c r="R321">
        <f>Sales_Data[[#This Row],[Date inc]]*Sales_Data[[#This Row],[Team Inc]]*Sales_Data[[#This Row],[Rep Inc]]*Sales_Data[[#This Row],[Stage Inc]]*Sales_Data[[#This Row],[Source Inc]]</f>
        <v>1</v>
      </c>
    </row>
    <row r="322" spans="1:18" x14ac:dyDescent="0.3">
      <c r="A322" t="s">
        <v>329</v>
      </c>
      <c r="B322" s="2">
        <v>44932</v>
      </c>
      <c r="C322" t="s">
        <v>759</v>
      </c>
      <c r="D322" t="s">
        <v>764</v>
      </c>
      <c r="E322" t="s">
        <v>767</v>
      </c>
      <c r="F322" s="5">
        <v>41000</v>
      </c>
      <c r="G322" t="s">
        <v>781</v>
      </c>
      <c r="H322" s="2">
        <v>45003</v>
      </c>
      <c r="I322" t="s">
        <v>779</v>
      </c>
      <c r="J322" t="str">
        <f>IF(Sales_Data[[#This Row],[Close Date]] &lt;&gt; 0,"Closed", "Open")</f>
        <v>Closed</v>
      </c>
      <c r="K322">
        <f>IF(Sales_Data[[#This Row],[Open/Closed]] = "Closed",Sales_Data[[#This Row],[Close Date]]-Sales_Data[[#This Row],[Created Date]],"")</f>
        <v>71</v>
      </c>
      <c r="L322" s="2">
        <f>EOMONTH(Sales_Data[[#This Row],[Created Date]],0)</f>
        <v>44957</v>
      </c>
      <c r="M322" t="b">
        <f>AND(Sales_Data[[#This Row],[EoM Created]]&gt;=Index!$E$5,Sales_Data[[#This Row],[EoM Created]]&lt;=Index!$E$4)</f>
        <v>0</v>
      </c>
      <c r="N322" t="b" cm="1">
        <f t="array" ref="N322">_xlfn.XLOOKUP(Sales_Data[[#This Row],[Sales Team]],_xlfn.ANCHORARRAY(Dashboard!$B$9),Dashboard!$D$9:$D$10,,0)</f>
        <v>1</v>
      </c>
      <c r="O322" t="b" cm="1">
        <f t="array" ref="O322">_xlfn.XLOOKUP(Sales_Data[[#This Row],[Sales Rep]],_xlfn.ANCHORARRAY(Dashboard!$B$13),Dashboard!$D$13:$D$17,,0)</f>
        <v>1</v>
      </c>
      <c r="P322" t="b" cm="1">
        <f t="array" ref="P322">_xlfn.XLOOKUP(Sales_Data[[#This Row],[Stage]],_xlfn.ANCHORARRAY(Dashboard!$B$20),Dashboard!$D$20:$D$25)</f>
        <v>1</v>
      </c>
      <c r="Q322" t="b" cm="1">
        <f t="array" ref="Q322">_xlfn.XLOOKUP(Sales_Data[[#This Row],[Lead Source]],_xlfn.ANCHORARRAY(Dashboard!$B$28),Dashboard!$D$28:$D$32)</f>
        <v>1</v>
      </c>
      <c r="R322">
        <f>Sales_Data[[#This Row],[Date inc]]*Sales_Data[[#This Row],[Team Inc]]*Sales_Data[[#This Row],[Rep Inc]]*Sales_Data[[#This Row],[Stage Inc]]*Sales_Data[[#This Row],[Source Inc]]</f>
        <v>0</v>
      </c>
    </row>
    <row r="323" spans="1:18" x14ac:dyDescent="0.3">
      <c r="A323" t="s">
        <v>330</v>
      </c>
      <c r="B323" s="2">
        <v>45280</v>
      </c>
      <c r="C323" t="s">
        <v>759</v>
      </c>
      <c r="D323" t="s">
        <v>764</v>
      </c>
      <c r="E323" t="s">
        <v>767</v>
      </c>
      <c r="F323" s="5">
        <v>46000</v>
      </c>
      <c r="G323" t="s">
        <v>781</v>
      </c>
      <c r="H323" s="2">
        <v>45352</v>
      </c>
      <c r="I323" t="s">
        <v>778</v>
      </c>
      <c r="J323" t="str">
        <f>IF(Sales_Data[[#This Row],[Close Date]] &lt;&gt; 0,"Closed", "Open")</f>
        <v>Closed</v>
      </c>
      <c r="K323">
        <f>IF(Sales_Data[[#This Row],[Open/Closed]] = "Closed",Sales_Data[[#This Row],[Close Date]]-Sales_Data[[#This Row],[Created Date]],"")</f>
        <v>72</v>
      </c>
      <c r="L323" s="2">
        <f>EOMONTH(Sales_Data[[#This Row],[Created Date]],0)</f>
        <v>45291</v>
      </c>
      <c r="M323" t="b">
        <f>AND(Sales_Data[[#This Row],[EoM Created]]&gt;=Index!$E$5,Sales_Data[[#This Row],[EoM Created]]&lt;=Index!$E$4)</f>
        <v>1</v>
      </c>
      <c r="N323" t="b" cm="1">
        <f t="array" ref="N323">_xlfn.XLOOKUP(Sales_Data[[#This Row],[Sales Team]],_xlfn.ANCHORARRAY(Dashboard!$B$9),Dashboard!$D$9:$D$10,,0)</f>
        <v>1</v>
      </c>
      <c r="O323" t="b" cm="1">
        <f t="array" ref="O323">_xlfn.XLOOKUP(Sales_Data[[#This Row],[Sales Rep]],_xlfn.ANCHORARRAY(Dashboard!$B$13),Dashboard!$D$13:$D$17,,0)</f>
        <v>1</v>
      </c>
      <c r="P323" t="b" cm="1">
        <f t="array" ref="P323">_xlfn.XLOOKUP(Sales_Data[[#This Row],[Stage]],_xlfn.ANCHORARRAY(Dashboard!$B$20),Dashboard!$D$20:$D$25)</f>
        <v>1</v>
      </c>
      <c r="Q323" t="b" cm="1">
        <f t="array" ref="Q323">_xlfn.XLOOKUP(Sales_Data[[#This Row],[Lead Source]],_xlfn.ANCHORARRAY(Dashboard!$B$28),Dashboard!$D$28:$D$32)</f>
        <v>1</v>
      </c>
      <c r="R323">
        <f>Sales_Data[[#This Row],[Date inc]]*Sales_Data[[#This Row],[Team Inc]]*Sales_Data[[#This Row],[Rep Inc]]*Sales_Data[[#This Row],[Stage Inc]]*Sales_Data[[#This Row],[Source Inc]]</f>
        <v>1</v>
      </c>
    </row>
    <row r="324" spans="1:18" x14ac:dyDescent="0.3">
      <c r="A324" t="s">
        <v>331</v>
      </c>
      <c r="B324" s="2">
        <v>45771</v>
      </c>
      <c r="C324" t="s">
        <v>762</v>
      </c>
      <c r="D324" t="s">
        <v>764</v>
      </c>
      <c r="E324" t="s">
        <v>766</v>
      </c>
      <c r="F324" s="5">
        <v>31800</v>
      </c>
      <c r="G324" t="s">
        <v>772</v>
      </c>
      <c r="H324" s="2"/>
      <c r="J324" t="str">
        <f>IF(Sales_Data[[#This Row],[Close Date]] &lt;&gt; 0,"Closed", "Open")</f>
        <v>Open</v>
      </c>
      <c r="K324" t="str">
        <f>IF(Sales_Data[[#This Row],[Open/Closed]] = "Closed",Sales_Data[[#This Row],[Close Date]]-Sales_Data[[#This Row],[Created Date]],"")</f>
        <v/>
      </c>
      <c r="L324" s="2">
        <f>EOMONTH(Sales_Data[[#This Row],[Created Date]],0)</f>
        <v>45777</v>
      </c>
      <c r="M324" t="b">
        <f>AND(Sales_Data[[#This Row],[EoM Created]]&gt;=Index!$E$5,Sales_Data[[#This Row],[EoM Created]]&lt;=Index!$E$4)</f>
        <v>1</v>
      </c>
      <c r="N324" t="b" cm="1">
        <f t="array" ref="N324">_xlfn.XLOOKUP(Sales_Data[[#This Row],[Sales Team]],_xlfn.ANCHORARRAY(Dashboard!$B$9),Dashboard!$D$9:$D$10,,0)</f>
        <v>1</v>
      </c>
      <c r="O324" t="b" cm="1">
        <f t="array" ref="O324">_xlfn.XLOOKUP(Sales_Data[[#This Row],[Sales Rep]],_xlfn.ANCHORARRAY(Dashboard!$B$13),Dashboard!$D$13:$D$17,,0)</f>
        <v>1</v>
      </c>
      <c r="P324" t="b" cm="1">
        <f t="array" ref="P324">_xlfn.XLOOKUP(Sales_Data[[#This Row],[Stage]],_xlfn.ANCHORARRAY(Dashboard!$B$20),Dashboard!$D$20:$D$25)</f>
        <v>1</v>
      </c>
      <c r="Q324" t="b" cm="1">
        <f t="array" ref="Q324">_xlfn.XLOOKUP(Sales_Data[[#This Row],[Lead Source]],_xlfn.ANCHORARRAY(Dashboard!$B$28),Dashboard!$D$28:$D$32)</f>
        <v>1</v>
      </c>
      <c r="R324">
        <f>Sales_Data[[#This Row],[Date inc]]*Sales_Data[[#This Row],[Team Inc]]*Sales_Data[[#This Row],[Rep Inc]]*Sales_Data[[#This Row],[Stage Inc]]*Sales_Data[[#This Row],[Source Inc]]</f>
        <v>1</v>
      </c>
    </row>
    <row r="325" spans="1:18" x14ac:dyDescent="0.3">
      <c r="A325" t="s">
        <v>332</v>
      </c>
      <c r="B325" s="2">
        <v>45196</v>
      </c>
      <c r="C325" t="s">
        <v>760</v>
      </c>
      <c r="D325" t="s">
        <v>764</v>
      </c>
      <c r="E325" t="s">
        <v>766</v>
      </c>
      <c r="F325" s="5">
        <v>60900</v>
      </c>
      <c r="G325" t="s">
        <v>780</v>
      </c>
      <c r="H325" s="2">
        <v>45259</v>
      </c>
      <c r="J325" t="str">
        <f>IF(Sales_Data[[#This Row],[Close Date]] &lt;&gt; 0,"Closed", "Open")</f>
        <v>Closed</v>
      </c>
      <c r="K325">
        <f>IF(Sales_Data[[#This Row],[Open/Closed]] = "Closed",Sales_Data[[#This Row],[Close Date]]-Sales_Data[[#This Row],[Created Date]],"")</f>
        <v>63</v>
      </c>
      <c r="L325" s="2">
        <f>EOMONTH(Sales_Data[[#This Row],[Created Date]],0)</f>
        <v>45199</v>
      </c>
      <c r="M325" t="b">
        <f>AND(Sales_Data[[#This Row],[EoM Created]]&gt;=Index!$E$5,Sales_Data[[#This Row],[EoM Created]]&lt;=Index!$E$4)</f>
        <v>1</v>
      </c>
      <c r="N325" t="b" cm="1">
        <f t="array" ref="N325">_xlfn.XLOOKUP(Sales_Data[[#This Row],[Sales Team]],_xlfn.ANCHORARRAY(Dashboard!$B$9),Dashboard!$D$9:$D$10,,0)</f>
        <v>1</v>
      </c>
      <c r="O325" t="b" cm="1">
        <f t="array" ref="O325">_xlfn.XLOOKUP(Sales_Data[[#This Row],[Sales Rep]],_xlfn.ANCHORARRAY(Dashboard!$B$13),Dashboard!$D$13:$D$17,,0)</f>
        <v>1</v>
      </c>
      <c r="P325" t="b" cm="1">
        <f t="array" ref="P325">_xlfn.XLOOKUP(Sales_Data[[#This Row],[Stage]],_xlfn.ANCHORARRAY(Dashboard!$B$20),Dashboard!$D$20:$D$25)</f>
        <v>1</v>
      </c>
      <c r="Q325" t="b" cm="1">
        <f t="array" ref="Q325">_xlfn.XLOOKUP(Sales_Data[[#This Row],[Lead Source]],_xlfn.ANCHORARRAY(Dashboard!$B$28),Dashboard!$D$28:$D$32)</f>
        <v>1</v>
      </c>
      <c r="R325">
        <f>Sales_Data[[#This Row],[Date inc]]*Sales_Data[[#This Row],[Team Inc]]*Sales_Data[[#This Row],[Rep Inc]]*Sales_Data[[#This Row],[Stage Inc]]*Sales_Data[[#This Row],[Source Inc]]</f>
        <v>1</v>
      </c>
    </row>
    <row r="326" spans="1:18" x14ac:dyDescent="0.3">
      <c r="A326" t="s">
        <v>333</v>
      </c>
      <c r="B326" s="2">
        <v>44943</v>
      </c>
      <c r="C326" t="s">
        <v>762</v>
      </c>
      <c r="D326" t="s">
        <v>764</v>
      </c>
      <c r="E326" t="s">
        <v>767</v>
      </c>
      <c r="F326" s="5">
        <v>29900</v>
      </c>
      <c r="G326" t="s">
        <v>780</v>
      </c>
      <c r="H326" s="2">
        <v>45031</v>
      </c>
      <c r="J326" t="str">
        <f>IF(Sales_Data[[#This Row],[Close Date]] &lt;&gt; 0,"Closed", "Open")</f>
        <v>Closed</v>
      </c>
      <c r="K326">
        <f>IF(Sales_Data[[#This Row],[Open/Closed]] = "Closed",Sales_Data[[#This Row],[Close Date]]-Sales_Data[[#This Row],[Created Date]],"")</f>
        <v>88</v>
      </c>
      <c r="L326" s="2">
        <f>EOMONTH(Sales_Data[[#This Row],[Created Date]],0)</f>
        <v>44957</v>
      </c>
      <c r="M326" t="b">
        <f>AND(Sales_Data[[#This Row],[EoM Created]]&gt;=Index!$E$5,Sales_Data[[#This Row],[EoM Created]]&lt;=Index!$E$4)</f>
        <v>0</v>
      </c>
      <c r="N326" t="b" cm="1">
        <f t="array" ref="N326">_xlfn.XLOOKUP(Sales_Data[[#This Row],[Sales Team]],_xlfn.ANCHORARRAY(Dashboard!$B$9),Dashboard!$D$9:$D$10,,0)</f>
        <v>1</v>
      </c>
      <c r="O326" t="b" cm="1">
        <f t="array" ref="O326">_xlfn.XLOOKUP(Sales_Data[[#This Row],[Sales Rep]],_xlfn.ANCHORARRAY(Dashboard!$B$13),Dashboard!$D$13:$D$17,,0)</f>
        <v>1</v>
      </c>
      <c r="P326" t="b" cm="1">
        <f t="array" ref="P326">_xlfn.XLOOKUP(Sales_Data[[#This Row],[Stage]],_xlfn.ANCHORARRAY(Dashboard!$B$20),Dashboard!$D$20:$D$25)</f>
        <v>1</v>
      </c>
      <c r="Q326" t="b" cm="1">
        <f t="array" ref="Q326">_xlfn.XLOOKUP(Sales_Data[[#This Row],[Lead Source]],_xlfn.ANCHORARRAY(Dashboard!$B$28),Dashboard!$D$28:$D$32)</f>
        <v>1</v>
      </c>
      <c r="R326">
        <f>Sales_Data[[#This Row],[Date inc]]*Sales_Data[[#This Row],[Team Inc]]*Sales_Data[[#This Row],[Rep Inc]]*Sales_Data[[#This Row],[Stage Inc]]*Sales_Data[[#This Row],[Source Inc]]</f>
        <v>0</v>
      </c>
    </row>
    <row r="327" spans="1:18" x14ac:dyDescent="0.3">
      <c r="A327" t="s">
        <v>334</v>
      </c>
      <c r="B327" s="2">
        <v>45760</v>
      </c>
      <c r="C327" t="s">
        <v>762</v>
      </c>
      <c r="D327" t="s">
        <v>764</v>
      </c>
      <c r="E327" t="s">
        <v>767</v>
      </c>
      <c r="F327" s="5">
        <v>27900</v>
      </c>
      <c r="G327" t="s">
        <v>781</v>
      </c>
      <c r="H327" s="2">
        <v>45836</v>
      </c>
      <c r="I327" t="s">
        <v>777</v>
      </c>
      <c r="J327" t="str">
        <f>IF(Sales_Data[[#This Row],[Close Date]] &lt;&gt; 0,"Closed", "Open")</f>
        <v>Closed</v>
      </c>
      <c r="K327">
        <f>IF(Sales_Data[[#This Row],[Open/Closed]] = "Closed",Sales_Data[[#This Row],[Close Date]]-Sales_Data[[#This Row],[Created Date]],"")</f>
        <v>76</v>
      </c>
      <c r="L327" s="2">
        <f>EOMONTH(Sales_Data[[#This Row],[Created Date]],0)</f>
        <v>45777</v>
      </c>
      <c r="M327" t="b">
        <f>AND(Sales_Data[[#This Row],[EoM Created]]&gt;=Index!$E$5,Sales_Data[[#This Row],[EoM Created]]&lt;=Index!$E$4)</f>
        <v>1</v>
      </c>
      <c r="N327" t="b" cm="1">
        <f t="array" ref="N327">_xlfn.XLOOKUP(Sales_Data[[#This Row],[Sales Team]],_xlfn.ANCHORARRAY(Dashboard!$B$9),Dashboard!$D$9:$D$10,,0)</f>
        <v>1</v>
      </c>
      <c r="O327" t="b" cm="1">
        <f t="array" ref="O327">_xlfn.XLOOKUP(Sales_Data[[#This Row],[Sales Rep]],_xlfn.ANCHORARRAY(Dashboard!$B$13),Dashboard!$D$13:$D$17,,0)</f>
        <v>1</v>
      </c>
      <c r="P327" t="b" cm="1">
        <f t="array" ref="P327">_xlfn.XLOOKUP(Sales_Data[[#This Row],[Stage]],_xlfn.ANCHORARRAY(Dashboard!$B$20),Dashboard!$D$20:$D$25)</f>
        <v>1</v>
      </c>
      <c r="Q327" t="b" cm="1">
        <f t="array" ref="Q327">_xlfn.XLOOKUP(Sales_Data[[#This Row],[Lead Source]],_xlfn.ANCHORARRAY(Dashboard!$B$28),Dashboard!$D$28:$D$32)</f>
        <v>1</v>
      </c>
      <c r="R327">
        <f>Sales_Data[[#This Row],[Date inc]]*Sales_Data[[#This Row],[Team Inc]]*Sales_Data[[#This Row],[Rep Inc]]*Sales_Data[[#This Row],[Stage Inc]]*Sales_Data[[#This Row],[Source Inc]]</f>
        <v>1</v>
      </c>
    </row>
    <row r="328" spans="1:18" x14ac:dyDescent="0.3">
      <c r="A328" t="s">
        <v>335</v>
      </c>
      <c r="B328" s="2">
        <v>45316</v>
      </c>
      <c r="C328" t="s">
        <v>759</v>
      </c>
      <c r="D328" t="s">
        <v>764</v>
      </c>
      <c r="E328" t="s">
        <v>767</v>
      </c>
      <c r="F328" s="5">
        <v>51600</v>
      </c>
      <c r="G328" t="s">
        <v>781</v>
      </c>
      <c r="H328" s="2">
        <v>45398</v>
      </c>
      <c r="I328" t="s">
        <v>779</v>
      </c>
      <c r="J328" t="str">
        <f>IF(Sales_Data[[#This Row],[Close Date]] &lt;&gt; 0,"Closed", "Open")</f>
        <v>Closed</v>
      </c>
      <c r="K328">
        <f>IF(Sales_Data[[#This Row],[Open/Closed]] = "Closed",Sales_Data[[#This Row],[Close Date]]-Sales_Data[[#This Row],[Created Date]],"")</f>
        <v>82</v>
      </c>
      <c r="L328" s="2">
        <f>EOMONTH(Sales_Data[[#This Row],[Created Date]],0)</f>
        <v>45322</v>
      </c>
      <c r="M328" t="b">
        <f>AND(Sales_Data[[#This Row],[EoM Created]]&gt;=Index!$E$5,Sales_Data[[#This Row],[EoM Created]]&lt;=Index!$E$4)</f>
        <v>1</v>
      </c>
      <c r="N328" t="b" cm="1">
        <f t="array" ref="N328">_xlfn.XLOOKUP(Sales_Data[[#This Row],[Sales Team]],_xlfn.ANCHORARRAY(Dashboard!$B$9),Dashboard!$D$9:$D$10,,0)</f>
        <v>1</v>
      </c>
      <c r="O328" t="b" cm="1">
        <f t="array" ref="O328">_xlfn.XLOOKUP(Sales_Data[[#This Row],[Sales Rep]],_xlfn.ANCHORARRAY(Dashboard!$B$13),Dashboard!$D$13:$D$17,,0)</f>
        <v>1</v>
      </c>
      <c r="P328" t="b" cm="1">
        <f t="array" ref="P328">_xlfn.XLOOKUP(Sales_Data[[#This Row],[Stage]],_xlfn.ANCHORARRAY(Dashboard!$B$20),Dashboard!$D$20:$D$25)</f>
        <v>1</v>
      </c>
      <c r="Q328" t="b" cm="1">
        <f t="array" ref="Q328">_xlfn.XLOOKUP(Sales_Data[[#This Row],[Lead Source]],_xlfn.ANCHORARRAY(Dashboard!$B$28),Dashboard!$D$28:$D$32)</f>
        <v>1</v>
      </c>
      <c r="R328">
        <f>Sales_Data[[#This Row],[Date inc]]*Sales_Data[[#This Row],[Team Inc]]*Sales_Data[[#This Row],[Rep Inc]]*Sales_Data[[#This Row],[Stage Inc]]*Sales_Data[[#This Row],[Source Inc]]</f>
        <v>1</v>
      </c>
    </row>
    <row r="329" spans="1:18" x14ac:dyDescent="0.3">
      <c r="A329" t="s">
        <v>336</v>
      </c>
      <c r="B329" s="2">
        <v>45343</v>
      </c>
      <c r="C329" t="s">
        <v>762</v>
      </c>
      <c r="D329" t="s">
        <v>764</v>
      </c>
      <c r="E329" t="s">
        <v>767</v>
      </c>
      <c r="F329" s="5">
        <v>47900</v>
      </c>
      <c r="G329" t="s">
        <v>780</v>
      </c>
      <c r="H329" s="2">
        <v>45426</v>
      </c>
      <c r="J329" t="str">
        <f>IF(Sales_Data[[#This Row],[Close Date]] &lt;&gt; 0,"Closed", "Open")</f>
        <v>Closed</v>
      </c>
      <c r="K329">
        <f>IF(Sales_Data[[#This Row],[Open/Closed]] = "Closed",Sales_Data[[#This Row],[Close Date]]-Sales_Data[[#This Row],[Created Date]],"")</f>
        <v>83</v>
      </c>
      <c r="L329" s="2">
        <f>EOMONTH(Sales_Data[[#This Row],[Created Date]],0)</f>
        <v>45351</v>
      </c>
      <c r="M329" t="b">
        <f>AND(Sales_Data[[#This Row],[EoM Created]]&gt;=Index!$E$5,Sales_Data[[#This Row],[EoM Created]]&lt;=Index!$E$4)</f>
        <v>1</v>
      </c>
      <c r="N329" t="b" cm="1">
        <f t="array" ref="N329">_xlfn.XLOOKUP(Sales_Data[[#This Row],[Sales Team]],_xlfn.ANCHORARRAY(Dashboard!$B$9),Dashboard!$D$9:$D$10,,0)</f>
        <v>1</v>
      </c>
      <c r="O329" t="b" cm="1">
        <f t="array" ref="O329">_xlfn.XLOOKUP(Sales_Data[[#This Row],[Sales Rep]],_xlfn.ANCHORARRAY(Dashboard!$B$13),Dashboard!$D$13:$D$17,,0)</f>
        <v>1</v>
      </c>
      <c r="P329" t="b" cm="1">
        <f t="array" ref="P329">_xlfn.XLOOKUP(Sales_Data[[#This Row],[Stage]],_xlfn.ANCHORARRAY(Dashboard!$B$20),Dashboard!$D$20:$D$25)</f>
        <v>1</v>
      </c>
      <c r="Q329" t="b" cm="1">
        <f t="array" ref="Q329">_xlfn.XLOOKUP(Sales_Data[[#This Row],[Lead Source]],_xlfn.ANCHORARRAY(Dashboard!$B$28),Dashboard!$D$28:$D$32)</f>
        <v>1</v>
      </c>
      <c r="R329">
        <f>Sales_Data[[#This Row],[Date inc]]*Sales_Data[[#This Row],[Team Inc]]*Sales_Data[[#This Row],[Rep Inc]]*Sales_Data[[#This Row],[Stage Inc]]*Sales_Data[[#This Row],[Source Inc]]</f>
        <v>1</v>
      </c>
    </row>
    <row r="330" spans="1:18" x14ac:dyDescent="0.3">
      <c r="A330" t="s">
        <v>337</v>
      </c>
      <c r="B330" s="2">
        <v>45388</v>
      </c>
      <c r="C330" t="s">
        <v>762</v>
      </c>
      <c r="D330" t="s">
        <v>764</v>
      </c>
      <c r="E330" t="s">
        <v>767</v>
      </c>
      <c r="F330" s="5">
        <v>46200</v>
      </c>
      <c r="G330" t="s">
        <v>781</v>
      </c>
      <c r="H330" s="2">
        <v>45451</v>
      </c>
      <c r="I330" t="s">
        <v>776</v>
      </c>
      <c r="J330" t="str">
        <f>IF(Sales_Data[[#This Row],[Close Date]] &lt;&gt; 0,"Closed", "Open")</f>
        <v>Closed</v>
      </c>
      <c r="K330">
        <f>IF(Sales_Data[[#This Row],[Open/Closed]] = "Closed",Sales_Data[[#This Row],[Close Date]]-Sales_Data[[#This Row],[Created Date]],"")</f>
        <v>63</v>
      </c>
      <c r="L330" s="2">
        <f>EOMONTH(Sales_Data[[#This Row],[Created Date]],0)</f>
        <v>45412</v>
      </c>
      <c r="M330" t="b">
        <f>AND(Sales_Data[[#This Row],[EoM Created]]&gt;=Index!$E$5,Sales_Data[[#This Row],[EoM Created]]&lt;=Index!$E$4)</f>
        <v>1</v>
      </c>
      <c r="N330" t="b" cm="1">
        <f t="array" ref="N330">_xlfn.XLOOKUP(Sales_Data[[#This Row],[Sales Team]],_xlfn.ANCHORARRAY(Dashboard!$B$9),Dashboard!$D$9:$D$10,,0)</f>
        <v>1</v>
      </c>
      <c r="O330" t="b" cm="1">
        <f t="array" ref="O330">_xlfn.XLOOKUP(Sales_Data[[#This Row],[Sales Rep]],_xlfn.ANCHORARRAY(Dashboard!$B$13),Dashboard!$D$13:$D$17,,0)</f>
        <v>1</v>
      </c>
      <c r="P330" t="b" cm="1">
        <f t="array" ref="P330">_xlfn.XLOOKUP(Sales_Data[[#This Row],[Stage]],_xlfn.ANCHORARRAY(Dashboard!$B$20),Dashboard!$D$20:$D$25)</f>
        <v>1</v>
      </c>
      <c r="Q330" t="b" cm="1">
        <f t="array" ref="Q330">_xlfn.XLOOKUP(Sales_Data[[#This Row],[Lead Source]],_xlfn.ANCHORARRAY(Dashboard!$B$28),Dashboard!$D$28:$D$32)</f>
        <v>1</v>
      </c>
      <c r="R330">
        <f>Sales_Data[[#This Row],[Date inc]]*Sales_Data[[#This Row],[Team Inc]]*Sales_Data[[#This Row],[Rep Inc]]*Sales_Data[[#This Row],[Stage Inc]]*Sales_Data[[#This Row],[Source Inc]]</f>
        <v>1</v>
      </c>
    </row>
    <row r="331" spans="1:18" x14ac:dyDescent="0.3">
      <c r="A331" t="s">
        <v>338</v>
      </c>
      <c r="B331" s="2">
        <v>45653</v>
      </c>
      <c r="C331" t="s">
        <v>761</v>
      </c>
      <c r="D331" t="s">
        <v>765</v>
      </c>
      <c r="E331" t="s">
        <v>770</v>
      </c>
      <c r="F331" s="5">
        <v>46300</v>
      </c>
      <c r="G331" t="s">
        <v>780</v>
      </c>
      <c r="H331" s="2">
        <v>45723</v>
      </c>
      <c r="J331" t="str">
        <f>IF(Sales_Data[[#This Row],[Close Date]] &lt;&gt; 0,"Closed", "Open")</f>
        <v>Closed</v>
      </c>
      <c r="K331">
        <f>IF(Sales_Data[[#This Row],[Open/Closed]] = "Closed",Sales_Data[[#This Row],[Close Date]]-Sales_Data[[#This Row],[Created Date]],"")</f>
        <v>70</v>
      </c>
      <c r="L331" s="2">
        <f>EOMONTH(Sales_Data[[#This Row],[Created Date]],0)</f>
        <v>45657</v>
      </c>
      <c r="M331" t="b">
        <f>AND(Sales_Data[[#This Row],[EoM Created]]&gt;=Index!$E$5,Sales_Data[[#This Row],[EoM Created]]&lt;=Index!$E$4)</f>
        <v>1</v>
      </c>
      <c r="N331" t="b" cm="1">
        <f t="array" ref="N331">_xlfn.XLOOKUP(Sales_Data[[#This Row],[Sales Team]],_xlfn.ANCHORARRAY(Dashboard!$B$9),Dashboard!$D$9:$D$10,,0)</f>
        <v>1</v>
      </c>
      <c r="O331" t="b" cm="1">
        <f t="array" ref="O331">_xlfn.XLOOKUP(Sales_Data[[#This Row],[Sales Rep]],_xlfn.ANCHORARRAY(Dashboard!$B$13),Dashboard!$D$13:$D$17,,0)</f>
        <v>1</v>
      </c>
      <c r="P331" t="b" cm="1">
        <f t="array" ref="P331">_xlfn.XLOOKUP(Sales_Data[[#This Row],[Stage]],_xlfn.ANCHORARRAY(Dashboard!$B$20),Dashboard!$D$20:$D$25)</f>
        <v>1</v>
      </c>
      <c r="Q331" t="b" cm="1">
        <f t="array" ref="Q331">_xlfn.XLOOKUP(Sales_Data[[#This Row],[Lead Source]],_xlfn.ANCHORARRAY(Dashboard!$B$28),Dashboard!$D$28:$D$32)</f>
        <v>1</v>
      </c>
      <c r="R331">
        <f>Sales_Data[[#This Row],[Date inc]]*Sales_Data[[#This Row],[Team Inc]]*Sales_Data[[#This Row],[Rep Inc]]*Sales_Data[[#This Row],[Stage Inc]]*Sales_Data[[#This Row],[Source Inc]]</f>
        <v>1</v>
      </c>
    </row>
    <row r="332" spans="1:18" x14ac:dyDescent="0.3">
      <c r="A332" t="s">
        <v>339</v>
      </c>
      <c r="B332" s="2">
        <v>45257</v>
      </c>
      <c r="C332" t="s">
        <v>763</v>
      </c>
      <c r="D332" t="s">
        <v>765</v>
      </c>
      <c r="E332" t="s">
        <v>770</v>
      </c>
      <c r="F332" s="5">
        <v>39900</v>
      </c>
      <c r="G332" t="s">
        <v>781</v>
      </c>
      <c r="H332" s="2">
        <v>45319</v>
      </c>
      <c r="I332" t="s">
        <v>775</v>
      </c>
      <c r="J332" t="str">
        <f>IF(Sales_Data[[#This Row],[Close Date]] &lt;&gt; 0,"Closed", "Open")</f>
        <v>Closed</v>
      </c>
      <c r="K332">
        <f>IF(Sales_Data[[#This Row],[Open/Closed]] = "Closed",Sales_Data[[#This Row],[Close Date]]-Sales_Data[[#This Row],[Created Date]],"")</f>
        <v>62</v>
      </c>
      <c r="L332" s="2">
        <f>EOMONTH(Sales_Data[[#This Row],[Created Date]],0)</f>
        <v>45260</v>
      </c>
      <c r="M332" t="b">
        <f>AND(Sales_Data[[#This Row],[EoM Created]]&gt;=Index!$E$5,Sales_Data[[#This Row],[EoM Created]]&lt;=Index!$E$4)</f>
        <v>1</v>
      </c>
      <c r="N332" t="b" cm="1">
        <f t="array" ref="N332">_xlfn.XLOOKUP(Sales_Data[[#This Row],[Sales Team]],_xlfn.ANCHORARRAY(Dashboard!$B$9),Dashboard!$D$9:$D$10,,0)</f>
        <v>1</v>
      </c>
      <c r="O332" t="b" cm="1">
        <f t="array" ref="O332">_xlfn.XLOOKUP(Sales_Data[[#This Row],[Sales Rep]],_xlfn.ANCHORARRAY(Dashboard!$B$13),Dashboard!$D$13:$D$17,,0)</f>
        <v>1</v>
      </c>
      <c r="P332" t="b" cm="1">
        <f t="array" ref="P332">_xlfn.XLOOKUP(Sales_Data[[#This Row],[Stage]],_xlfn.ANCHORARRAY(Dashboard!$B$20),Dashboard!$D$20:$D$25)</f>
        <v>1</v>
      </c>
      <c r="Q332" t="b" cm="1">
        <f t="array" ref="Q332">_xlfn.XLOOKUP(Sales_Data[[#This Row],[Lead Source]],_xlfn.ANCHORARRAY(Dashboard!$B$28),Dashboard!$D$28:$D$32)</f>
        <v>1</v>
      </c>
      <c r="R332">
        <f>Sales_Data[[#This Row],[Date inc]]*Sales_Data[[#This Row],[Team Inc]]*Sales_Data[[#This Row],[Rep Inc]]*Sales_Data[[#This Row],[Stage Inc]]*Sales_Data[[#This Row],[Source Inc]]</f>
        <v>1</v>
      </c>
    </row>
    <row r="333" spans="1:18" x14ac:dyDescent="0.3">
      <c r="A333" t="s">
        <v>340</v>
      </c>
      <c r="B333" s="2">
        <v>44951</v>
      </c>
      <c r="C333" t="s">
        <v>760</v>
      </c>
      <c r="D333" t="s">
        <v>764</v>
      </c>
      <c r="E333" t="s">
        <v>766</v>
      </c>
      <c r="F333" s="5">
        <v>31000</v>
      </c>
      <c r="G333" t="s">
        <v>781</v>
      </c>
      <c r="H333" s="2">
        <v>45024</v>
      </c>
      <c r="I333" t="s">
        <v>778</v>
      </c>
      <c r="J333" t="str">
        <f>IF(Sales_Data[[#This Row],[Close Date]] &lt;&gt; 0,"Closed", "Open")</f>
        <v>Closed</v>
      </c>
      <c r="K333">
        <f>IF(Sales_Data[[#This Row],[Open/Closed]] = "Closed",Sales_Data[[#This Row],[Close Date]]-Sales_Data[[#This Row],[Created Date]],"")</f>
        <v>73</v>
      </c>
      <c r="L333" s="2">
        <f>EOMONTH(Sales_Data[[#This Row],[Created Date]],0)</f>
        <v>44957</v>
      </c>
      <c r="M333" t="b">
        <f>AND(Sales_Data[[#This Row],[EoM Created]]&gt;=Index!$E$5,Sales_Data[[#This Row],[EoM Created]]&lt;=Index!$E$4)</f>
        <v>0</v>
      </c>
      <c r="N333" t="b" cm="1">
        <f t="array" ref="N333">_xlfn.XLOOKUP(Sales_Data[[#This Row],[Sales Team]],_xlfn.ANCHORARRAY(Dashboard!$B$9),Dashboard!$D$9:$D$10,,0)</f>
        <v>1</v>
      </c>
      <c r="O333" t="b" cm="1">
        <f t="array" ref="O333">_xlfn.XLOOKUP(Sales_Data[[#This Row],[Sales Rep]],_xlfn.ANCHORARRAY(Dashboard!$B$13),Dashboard!$D$13:$D$17,,0)</f>
        <v>1</v>
      </c>
      <c r="P333" t="b" cm="1">
        <f t="array" ref="P333">_xlfn.XLOOKUP(Sales_Data[[#This Row],[Stage]],_xlfn.ANCHORARRAY(Dashboard!$B$20),Dashboard!$D$20:$D$25)</f>
        <v>1</v>
      </c>
      <c r="Q333" t="b" cm="1">
        <f t="array" ref="Q333">_xlfn.XLOOKUP(Sales_Data[[#This Row],[Lead Source]],_xlfn.ANCHORARRAY(Dashboard!$B$28),Dashboard!$D$28:$D$32)</f>
        <v>1</v>
      </c>
      <c r="R333">
        <f>Sales_Data[[#This Row],[Date inc]]*Sales_Data[[#This Row],[Team Inc]]*Sales_Data[[#This Row],[Rep Inc]]*Sales_Data[[#This Row],[Stage Inc]]*Sales_Data[[#This Row],[Source Inc]]</f>
        <v>0</v>
      </c>
    </row>
    <row r="334" spans="1:18" x14ac:dyDescent="0.3">
      <c r="A334" t="s">
        <v>341</v>
      </c>
      <c r="B334" s="2">
        <v>45282</v>
      </c>
      <c r="C334" t="s">
        <v>762</v>
      </c>
      <c r="D334" t="s">
        <v>764</v>
      </c>
      <c r="E334" t="s">
        <v>766</v>
      </c>
      <c r="F334" s="5">
        <v>40800</v>
      </c>
      <c r="G334" t="s">
        <v>781</v>
      </c>
      <c r="H334" s="2">
        <v>45350</v>
      </c>
      <c r="I334" t="s">
        <v>775</v>
      </c>
      <c r="J334" t="str">
        <f>IF(Sales_Data[[#This Row],[Close Date]] &lt;&gt; 0,"Closed", "Open")</f>
        <v>Closed</v>
      </c>
      <c r="K334">
        <f>IF(Sales_Data[[#This Row],[Open/Closed]] = "Closed",Sales_Data[[#This Row],[Close Date]]-Sales_Data[[#This Row],[Created Date]],"")</f>
        <v>68</v>
      </c>
      <c r="L334" s="2">
        <f>EOMONTH(Sales_Data[[#This Row],[Created Date]],0)</f>
        <v>45291</v>
      </c>
      <c r="M334" t="b">
        <f>AND(Sales_Data[[#This Row],[EoM Created]]&gt;=Index!$E$5,Sales_Data[[#This Row],[EoM Created]]&lt;=Index!$E$4)</f>
        <v>1</v>
      </c>
      <c r="N334" t="b" cm="1">
        <f t="array" ref="N334">_xlfn.XLOOKUP(Sales_Data[[#This Row],[Sales Team]],_xlfn.ANCHORARRAY(Dashboard!$B$9),Dashboard!$D$9:$D$10,,0)</f>
        <v>1</v>
      </c>
      <c r="O334" t="b" cm="1">
        <f t="array" ref="O334">_xlfn.XLOOKUP(Sales_Data[[#This Row],[Sales Rep]],_xlfn.ANCHORARRAY(Dashboard!$B$13),Dashboard!$D$13:$D$17,,0)</f>
        <v>1</v>
      </c>
      <c r="P334" t="b" cm="1">
        <f t="array" ref="P334">_xlfn.XLOOKUP(Sales_Data[[#This Row],[Stage]],_xlfn.ANCHORARRAY(Dashboard!$B$20),Dashboard!$D$20:$D$25)</f>
        <v>1</v>
      </c>
      <c r="Q334" t="b" cm="1">
        <f t="array" ref="Q334">_xlfn.XLOOKUP(Sales_Data[[#This Row],[Lead Source]],_xlfn.ANCHORARRAY(Dashboard!$B$28),Dashboard!$D$28:$D$32)</f>
        <v>1</v>
      </c>
      <c r="R334">
        <f>Sales_Data[[#This Row],[Date inc]]*Sales_Data[[#This Row],[Team Inc]]*Sales_Data[[#This Row],[Rep Inc]]*Sales_Data[[#This Row],[Stage Inc]]*Sales_Data[[#This Row],[Source Inc]]</f>
        <v>1</v>
      </c>
    </row>
    <row r="335" spans="1:18" x14ac:dyDescent="0.3">
      <c r="A335" t="s">
        <v>342</v>
      </c>
      <c r="B335" s="2">
        <v>45351</v>
      </c>
      <c r="C335" t="s">
        <v>759</v>
      </c>
      <c r="D335" t="s">
        <v>764</v>
      </c>
      <c r="E335" t="s">
        <v>766</v>
      </c>
      <c r="F335" s="5">
        <v>33200</v>
      </c>
      <c r="G335" t="s">
        <v>781</v>
      </c>
      <c r="H335" s="2">
        <v>45432</v>
      </c>
      <c r="I335" t="s">
        <v>779</v>
      </c>
      <c r="J335" t="str">
        <f>IF(Sales_Data[[#This Row],[Close Date]] &lt;&gt; 0,"Closed", "Open")</f>
        <v>Closed</v>
      </c>
      <c r="K335">
        <f>IF(Sales_Data[[#This Row],[Open/Closed]] = "Closed",Sales_Data[[#This Row],[Close Date]]-Sales_Data[[#This Row],[Created Date]],"")</f>
        <v>81</v>
      </c>
      <c r="L335" s="2">
        <f>EOMONTH(Sales_Data[[#This Row],[Created Date]],0)</f>
        <v>45351</v>
      </c>
      <c r="M335" t="b">
        <f>AND(Sales_Data[[#This Row],[EoM Created]]&gt;=Index!$E$5,Sales_Data[[#This Row],[EoM Created]]&lt;=Index!$E$4)</f>
        <v>1</v>
      </c>
      <c r="N335" t="b" cm="1">
        <f t="array" ref="N335">_xlfn.XLOOKUP(Sales_Data[[#This Row],[Sales Team]],_xlfn.ANCHORARRAY(Dashboard!$B$9),Dashboard!$D$9:$D$10,,0)</f>
        <v>1</v>
      </c>
      <c r="O335" t="b" cm="1">
        <f t="array" ref="O335">_xlfn.XLOOKUP(Sales_Data[[#This Row],[Sales Rep]],_xlfn.ANCHORARRAY(Dashboard!$B$13),Dashboard!$D$13:$D$17,,0)</f>
        <v>1</v>
      </c>
      <c r="P335" t="b" cm="1">
        <f t="array" ref="P335">_xlfn.XLOOKUP(Sales_Data[[#This Row],[Stage]],_xlfn.ANCHORARRAY(Dashboard!$B$20),Dashboard!$D$20:$D$25)</f>
        <v>1</v>
      </c>
      <c r="Q335" t="b" cm="1">
        <f t="array" ref="Q335">_xlfn.XLOOKUP(Sales_Data[[#This Row],[Lead Source]],_xlfn.ANCHORARRAY(Dashboard!$B$28),Dashboard!$D$28:$D$32)</f>
        <v>1</v>
      </c>
      <c r="R335">
        <f>Sales_Data[[#This Row],[Date inc]]*Sales_Data[[#This Row],[Team Inc]]*Sales_Data[[#This Row],[Rep Inc]]*Sales_Data[[#This Row],[Stage Inc]]*Sales_Data[[#This Row],[Source Inc]]</f>
        <v>1</v>
      </c>
    </row>
    <row r="336" spans="1:18" x14ac:dyDescent="0.3">
      <c r="A336" t="s">
        <v>343</v>
      </c>
      <c r="B336" s="2">
        <v>45168</v>
      </c>
      <c r="C336" t="s">
        <v>759</v>
      </c>
      <c r="D336" t="s">
        <v>764</v>
      </c>
      <c r="E336" t="s">
        <v>767</v>
      </c>
      <c r="F336" s="5">
        <v>49800</v>
      </c>
      <c r="G336" t="s">
        <v>781</v>
      </c>
      <c r="H336" s="2">
        <v>45236</v>
      </c>
      <c r="I336" t="s">
        <v>775</v>
      </c>
      <c r="J336" t="str">
        <f>IF(Sales_Data[[#This Row],[Close Date]] &lt;&gt; 0,"Closed", "Open")</f>
        <v>Closed</v>
      </c>
      <c r="K336">
        <f>IF(Sales_Data[[#This Row],[Open/Closed]] = "Closed",Sales_Data[[#This Row],[Close Date]]-Sales_Data[[#This Row],[Created Date]],"")</f>
        <v>68</v>
      </c>
      <c r="L336" s="2">
        <f>EOMONTH(Sales_Data[[#This Row],[Created Date]],0)</f>
        <v>45169</v>
      </c>
      <c r="M336" t="b">
        <f>AND(Sales_Data[[#This Row],[EoM Created]]&gt;=Index!$E$5,Sales_Data[[#This Row],[EoM Created]]&lt;=Index!$E$4)</f>
        <v>1</v>
      </c>
      <c r="N336" t="b" cm="1">
        <f t="array" ref="N336">_xlfn.XLOOKUP(Sales_Data[[#This Row],[Sales Team]],_xlfn.ANCHORARRAY(Dashboard!$B$9),Dashboard!$D$9:$D$10,,0)</f>
        <v>1</v>
      </c>
      <c r="O336" t="b" cm="1">
        <f t="array" ref="O336">_xlfn.XLOOKUP(Sales_Data[[#This Row],[Sales Rep]],_xlfn.ANCHORARRAY(Dashboard!$B$13),Dashboard!$D$13:$D$17,,0)</f>
        <v>1</v>
      </c>
      <c r="P336" t="b" cm="1">
        <f t="array" ref="P336">_xlfn.XLOOKUP(Sales_Data[[#This Row],[Stage]],_xlfn.ANCHORARRAY(Dashboard!$B$20),Dashboard!$D$20:$D$25)</f>
        <v>1</v>
      </c>
      <c r="Q336" t="b" cm="1">
        <f t="array" ref="Q336">_xlfn.XLOOKUP(Sales_Data[[#This Row],[Lead Source]],_xlfn.ANCHORARRAY(Dashboard!$B$28),Dashboard!$D$28:$D$32)</f>
        <v>1</v>
      </c>
      <c r="R336">
        <f>Sales_Data[[#This Row],[Date inc]]*Sales_Data[[#This Row],[Team Inc]]*Sales_Data[[#This Row],[Rep Inc]]*Sales_Data[[#This Row],[Stage Inc]]*Sales_Data[[#This Row],[Source Inc]]</f>
        <v>1</v>
      </c>
    </row>
    <row r="337" spans="1:18" x14ac:dyDescent="0.3">
      <c r="A337" t="s">
        <v>344</v>
      </c>
      <c r="B337" s="2">
        <v>45734</v>
      </c>
      <c r="C337" t="s">
        <v>762</v>
      </c>
      <c r="D337" t="s">
        <v>764</v>
      </c>
      <c r="E337" t="s">
        <v>767</v>
      </c>
      <c r="F337" s="5">
        <v>38500</v>
      </c>
      <c r="G337" t="s">
        <v>780</v>
      </c>
      <c r="H337" s="2">
        <v>45810</v>
      </c>
      <c r="J337" t="str">
        <f>IF(Sales_Data[[#This Row],[Close Date]] &lt;&gt; 0,"Closed", "Open")</f>
        <v>Closed</v>
      </c>
      <c r="K337">
        <f>IF(Sales_Data[[#This Row],[Open/Closed]] = "Closed",Sales_Data[[#This Row],[Close Date]]-Sales_Data[[#This Row],[Created Date]],"")</f>
        <v>76</v>
      </c>
      <c r="L337" s="2">
        <f>EOMONTH(Sales_Data[[#This Row],[Created Date]],0)</f>
        <v>45747</v>
      </c>
      <c r="M337" t="b">
        <f>AND(Sales_Data[[#This Row],[EoM Created]]&gt;=Index!$E$5,Sales_Data[[#This Row],[EoM Created]]&lt;=Index!$E$4)</f>
        <v>1</v>
      </c>
      <c r="N337" t="b" cm="1">
        <f t="array" ref="N337">_xlfn.XLOOKUP(Sales_Data[[#This Row],[Sales Team]],_xlfn.ANCHORARRAY(Dashboard!$B$9),Dashboard!$D$9:$D$10,,0)</f>
        <v>1</v>
      </c>
      <c r="O337" t="b" cm="1">
        <f t="array" ref="O337">_xlfn.XLOOKUP(Sales_Data[[#This Row],[Sales Rep]],_xlfn.ANCHORARRAY(Dashboard!$B$13),Dashboard!$D$13:$D$17,,0)</f>
        <v>1</v>
      </c>
      <c r="P337" t="b" cm="1">
        <f t="array" ref="P337">_xlfn.XLOOKUP(Sales_Data[[#This Row],[Stage]],_xlfn.ANCHORARRAY(Dashboard!$B$20),Dashboard!$D$20:$D$25)</f>
        <v>1</v>
      </c>
      <c r="Q337" t="b" cm="1">
        <f t="array" ref="Q337">_xlfn.XLOOKUP(Sales_Data[[#This Row],[Lead Source]],_xlfn.ANCHORARRAY(Dashboard!$B$28),Dashboard!$D$28:$D$32)</f>
        <v>1</v>
      </c>
      <c r="R337">
        <f>Sales_Data[[#This Row],[Date inc]]*Sales_Data[[#This Row],[Team Inc]]*Sales_Data[[#This Row],[Rep Inc]]*Sales_Data[[#This Row],[Stage Inc]]*Sales_Data[[#This Row],[Source Inc]]</f>
        <v>1</v>
      </c>
    </row>
    <row r="338" spans="1:18" x14ac:dyDescent="0.3">
      <c r="A338" t="s">
        <v>345</v>
      </c>
      <c r="B338" s="2">
        <v>45512</v>
      </c>
      <c r="C338" t="s">
        <v>762</v>
      </c>
      <c r="D338" t="s">
        <v>764</v>
      </c>
      <c r="E338" t="s">
        <v>766</v>
      </c>
      <c r="F338" s="5">
        <v>31700</v>
      </c>
      <c r="G338" t="s">
        <v>781</v>
      </c>
      <c r="H338" s="2">
        <v>45602</v>
      </c>
      <c r="I338" t="s">
        <v>779</v>
      </c>
      <c r="J338" t="str">
        <f>IF(Sales_Data[[#This Row],[Close Date]] &lt;&gt; 0,"Closed", "Open")</f>
        <v>Closed</v>
      </c>
      <c r="K338">
        <f>IF(Sales_Data[[#This Row],[Open/Closed]] = "Closed",Sales_Data[[#This Row],[Close Date]]-Sales_Data[[#This Row],[Created Date]],"")</f>
        <v>90</v>
      </c>
      <c r="L338" s="2">
        <f>EOMONTH(Sales_Data[[#This Row],[Created Date]],0)</f>
        <v>45535</v>
      </c>
      <c r="M338" t="b">
        <f>AND(Sales_Data[[#This Row],[EoM Created]]&gt;=Index!$E$5,Sales_Data[[#This Row],[EoM Created]]&lt;=Index!$E$4)</f>
        <v>1</v>
      </c>
      <c r="N338" t="b" cm="1">
        <f t="array" ref="N338">_xlfn.XLOOKUP(Sales_Data[[#This Row],[Sales Team]],_xlfn.ANCHORARRAY(Dashboard!$B$9),Dashboard!$D$9:$D$10,,0)</f>
        <v>1</v>
      </c>
      <c r="O338" t="b" cm="1">
        <f t="array" ref="O338">_xlfn.XLOOKUP(Sales_Data[[#This Row],[Sales Rep]],_xlfn.ANCHORARRAY(Dashboard!$B$13),Dashboard!$D$13:$D$17,,0)</f>
        <v>1</v>
      </c>
      <c r="P338" t="b" cm="1">
        <f t="array" ref="P338">_xlfn.XLOOKUP(Sales_Data[[#This Row],[Stage]],_xlfn.ANCHORARRAY(Dashboard!$B$20),Dashboard!$D$20:$D$25)</f>
        <v>1</v>
      </c>
      <c r="Q338" t="b" cm="1">
        <f t="array" ref="Q338">_xlfn.XLOOKUP(Sales_Data[[#This Row],[Lead Source]],_xlfn.ANCHORARRAY(Dashboard!$B$28),Dashboard!$D$28:$D$32)</f>
        <v>1</v>
      </c>
      <c r="R338">
        <f>Sales_Data[[#This Row],[Date inc]]*Sales_Data[[#This Row],[Team Inc]]*Sales_Data[[#This Row],[Rep Inc]]*Sales_Data[[#This Row],[Stage Inc]]*Sales_Data[[#This Row],[Source Inc]]</f>
        <v>1</v>
      </c>
    </row>
    <row r="339" spans="1:18" x14ac:dyDescent="0.3">
      <c r="A339" t="s">
        <v>346</v>
      </c>
      <c r="B339" s="2">
        <v>45526</v>
      </c>
      <c r="C339" t="s">
        <v>760</v>
      </c>
      <c r="D339" t="s">
        <v>764</v>
      </c>
      <c r="E339" t="s">
        <v>766</v>
      </c>
      <c r="F339" s="5">
        <v>36800</v>
      </c>
      <c r="G339" t="s">
        <v>780</v>
      </c>
      <c r="H339" s="2">
        <v>45612</v>
      </c>
      <c r="J339" t="str">
        <f>IF(Sales_Data[[#This Row],[Close Date]] &lt;&gt; 0,"Closed", "Open")</f>
        <v>Closed</v>
      </c>
      <c r="K339">
        <f>IF(Sales_Data[[#This Row],[Open/Closed]] = "Closed",Sales_Data[[#This Row],[Close Date]]-Sales_Data[[#This Row],[Created Date]],"")</f>
        <v>86</v>
      </c>
      <c r="L339" s="2">
        <f>EOMONTH(Sales_Data[[#This Row],[Created Date]],0)</f>
        <v>45535</v>
      </c>
      <c r="M339" t="b">
        <f>AND(Sales_Data[[#This Row],[EoM Created]]&gt;=Index!$E$5,Sales_Data[[#This Row],[EoM Created]]&lt;=Index!$E$4)</f>
        <v>1</v>
      </c>
      <c r="N339" t="b" cm="1">
        <f t="array" ref="N339">_xlfn.XLOOKUP(Sales_Data[[#This Row],[Sales Team]],_xlfn.ANCHORARRAY(Dashboard!$B$9),Dashboard!$D$9:$D$10,,0)</f>
        <v>1</v>
      </c>
      <c r="O339" t="b" cm="1">
        <f t="array" ref="O339">_xlfn.XLOOKUP(Sales_Data[[#This Row],[Sales Rep]],_xlfn.ANCHORARRAY(Dashboard!$B$13),Dashboard!$D$13:$D$17,,0)</f>
        <v>1</v>
      </c>
      <c r="P339" t="b" cm="1">
        <f t="array" ref="P339">_xlfn.XLOOKUP(Sales_Data[[#This Row],[Stage]],_xlfn.ANCHORARRAY(Dashboard!$B$20),Dashboard!$D$20:$D$25)</f>
        <v>1</v>
      </c>
      <c r="Q339" t="b" cm="1">
        <f t="array" ref="Q339">_xlfn.XLOOKUP(Sales_Data[[#This Row],[Lead Source]],_xlfn.ANCHORARRAY(Dashboard!$B$28),Dashboard!$D$28:$D$32)</f>
        <v>1</v>
      </c>
      <c r="R339">
        <f>Sales_Data[[#This Row],[Date inc]]*Sales_Data[[#This Row],[Team Inc]]*Sales_Data[[#This Row],[Rep Inc]]*Sales_Data[[#This Row],[Stage Inc]]*Sales_Data[[#This Row],[Source Inc]]</f>
        <v>1</v>
      </c>
    </row>
    <row r="340" spans="1:18" x14ac:dyDescent="0.3">
      <c r="A340" t="s">
        <v>347</v>
      </c>
      <c r="B340" s="2">
        <v>45799</v>
      </c>
      <c r="C340" t="s">
        <v>760</v>
      </c>
      <c r="D340" t="s">
        <v>764</v>
      </c>
      <c r="E340" t="s">
        <v>766</v>
      </c>
      <c r="F340" s="5">
        <v>44100</v>
      </c>
      <c r="G340" t="s">
        <v>773</v>
      </c>
      <c r="H340" s="2"/>
      <c r="J340" t="str">
        <f>IF(Sales_Data[[#This Row],[Close Date]] &lt;&gt; 0,"Closed", "Open")</f>
        <v>Open</v>
      </c>
      <c r="K340" t="str">
        <f>IF(Sales_Data[[#This Row],[Open/Closed]] = "Closed",Sales_Data[[#This Row],[Close Date]]-Sales_Data[[#This Row],[Created Date]],"")</f>
        <v/>
      </c>
      <c r="L340" s="2">
        <f>EOMONTH(Sales_Data[[#This Row],[Created Date]],0)</f>
        <v>45808</v>
      </c>
      <c r="M340" t="b">
        <f>AND(Sales_Data[[#This Row],[EoM Created]]&gt;=Index!$E$5,Sales_Data[[#This Row],[EoM Created]]&lt;=Index!$E$4)</f>
        <v>1</v>
      </c>
      <c r="N340" t="b" cm="1">
        <f t="array" ref="N340">_xlfn.XLOOKUP(Sales_Data[[#This Row],[Sales Team]],_xlfn.ANCHORARRAY(Dashboard!$B$9),Dashboard!$D$9:$D$10,,0)</f>
        <v>1</v>
      </c>
      <c r="O340" t="b" cm="1">
        <f t="array" ref="O340">_xlfn.XLOOKUP(Sales_Data[[#This Row],[Sales Rep]],_xlfn.ANCHORARRAY(Dashboard!$B$13),Dashboard!$D$13:$D$17,,0)</f>
        <v>1</v>
      </c>
      <c r="P340" t="b" cm="1">
        <f t="array" ref="P340">_xlfn.XLOOKUP(Sales_Data[[#This Row],[Stage]],_xlfn.ANCHORARRAY(Dashboard!$B$20),Dashboard!$D$20:$D$25)</f>
        <v>1</v>
      </c>
      <c r="Q340" t="b" cm="1">
        <f t="array" ref="Q340">_xlfn.XLOOKUP(Sales_Data[[#This Row],[Lead Source]],_xlfn.ANCHORARRAY(Dashboard!$B$28),Dashboard!$D$28:$D$32)</f>
        <v>1</v>
      </c>
      <c r="R340">
        <f>Sales_Data[[#This Row],[Date inc]]*Sales_Data[[#This Row],[Team Inc]]*Sales_Data[[#This Row],[Rep Inc]]*Sales_Data[[#This Row],[Stage Inc]]*Sales_Data[[#This Row],[Source Inc]]</f>
        <v>1</v>
      </c>
    </row>
    <row r="341" spans="1:18" x14ac:dyDescent="0.3">
      <c r="A341" t="s">
        <v>348</v>
      </c>
      <c r="B341" s="2">
        <v>45619</v>
      </c>
      <c r="C341" t="s">
        <v>760</v>
      </c>
      <c r="D341" t="s">
        <v>764</v>
      </c>
      <c r="E341" t="s">
        <v>766</v>
      </c>
      <c r="F341" s="5">
        <v>34400</v>
      </c>
      <c r="G341" t="s">
        <v>781</v>
      </c>
      <c r="H341" s="2">
        <v>45701</v>
      </c>
      <c r="I341" t="s">
        <v>779</v>
      </c>
      <c r="J341" t="str">
        <f>IF(Sales_Data[[#This Row],[Close Date]] &lt;&gt; 0,"Closed", "Open")</f>
        <v>Closed</v>
      </c>
      <c r="K341">
        <f>IF(Sales_Data[[#This Row],[Open/Closed]] = "Closed",Sales_Data[[#This Row],[Close Date]]-Sales_Data[[#This Row],[Created Date]],"")</f>
        <v>82</v>
      </c>
      <c r="L341" s="2">
        <f>EOMONTH(Sales_Data[[#This Row],[Created Date]],0)</f>
        <v>45626</v>
      </c>
      <c r="M341" t="b">
        <f>AND(Sales_Data[[#This Row],[EoM Created]]&gt;=Index!$E$5,Sales_Data[[#This Row],[EoM Created]]&lt;=Index!$E$4)</f>
        <v>1</v>
      </c>
      <c r="N341" t="b" cm="1">
        <f t="array" ref="N341">_xlfn.XLOOKUP(Sales_Data[[#This Row],[Sales Team]],_xlfn.ANCHORARRAY(Dashboard!$B$9),Dashboard!$D$9:$D$10,,0)</f>
        <v>1</v>
      </c>
      <c r="O341" t="b" cm="1">
        <f t="array" ref="O341">_xlfn.XLOOKUP(Sales_Data[[#This Row],[Sales Rep]],_xlfn.ANCHORARRAY(Dashboard!$B$13),Dashboard!$D$13:$D$17,,0)</f>
        <v>1</v>
      </c>
      <c r="P341" t="b" cm="1">
        <f t="array" ref="P341">_xlfn.XLOOKUP(Sales_Data[[#This Row],[Stage]],_xlfn.ANCHORARRAY(Dashboard!$B$20),Dashboard!$D$20:$D$25)</f>
        <v>1</v>
      </c>
      <c r="Q341" t="b" cm="1">
        <f t="array" ref="Q341">_xlfn.XLOOKUP(Sales_Data[[#This Row],[Lead Source]],_xlfn.ANCHORARRAY(Dashboard!$B$28),Dashboard!$D$28:$D$32)</f>
        <v>1</v>
      </c>
      <c r="R341">
        <f>Sales_Data[[#This Row],[Date inc]]*Sales_Data[[#This Row],[Team Inc]]*Sales_Data[[#This Row],[Rep Inc]]*Sales_Data[[#This Row],[Stage Inc]]*Sales_Data[[#This Row],[Source Inc]]</f>
        <v>1</v>
      </c>
    </row>
    <row r="342" spans="1:18" x14ac:dyDescent="0.3">
      <c r="A342" t="s">
        <v>349</v>
      </c>
      <c r="B342" s="2">
        <v>44997</v>
      </c>
      <c r="C342" t="s">
        <v>762</v>
      </c>
      <c r="D342" t="s">
        <v>764</v>
      </c>
      <c r="E342" t="s">
        <v>766</v>
      </c>
      <c r="F342" s="5">
        <v>31800</v>
      </c>
      <c r="G342" t="s">
        <v>781</v>
      </c>
      <c r="H342" s="2">
        <v>45077</v>
      </c>
      <c r="I342" t="s">
        <v>777</v>
      </c>
      <c r="J342" t="str">
        <f>IF(Sales_Data[[#This Row],[Close Date]] &lt;&gt; 0,"Closed", "Open")</f>
        <v>Closed</v>
      </c>
      <c r="K342">
        <f>IF(Sales_Data[[#This Row],[Open/Closed]] = "Closed",Sales_Data[[#This Row],[Close Date]]-Sales_Data[[#This Row],[Created Date]],"")</f>
        <v>80</v>
      </c>
      <c r="L342" s="2">
        <f>EOMONTH(Sales_Data[[#This Row],[Created Date]],0)</f>
        <v>45016</v>
      </c>
      <c r="M342" t="b">
        <f>AND(Sales_Data[[#This Row],[EoM Created]]&gt;=Index!$E$5,Sales_Data[[#This Row],[EoM Created]]&lt;=Index!$E$4)</f>
        <v>0</v>
      </c>
      <c r="N342" t="b" cm="1">
        <f t="array" ref="N342">_xlfn.XLOOKUP(Sales_Data[[#This Row],[Sales Team]],_xlfn.ANCHORARRAY(Dashboard!$B$9),Dashboard!$D$9:$D$10,,0)</f>
        <v>1</v>
      </c>
      <c r="O342" t="b" cm="1">
        <f t="array" ref="O342">_xlfn.XLOOKUP(Sales_Data[[#This Row],[Sales Rep]],_xlfn.ANCHORARRAY(Dashboard!$B$13),Dashboard!$D$13:$D$17,,0)</f>
        <v>1</v>
      </c>
      <c r="P342" t="b" cm="1">
        <f t="array" ref="P342">_xlfn.XLOOKUP(Sales_Data[[#This Row],[Stage]],_xlfn.ANCHORARRAY(Dashboard!$B$20),Dashboard!$D$20:$D$25)</f>
        <v>1</v>
      </c>
      <c r="Q342" t="b" cm="1">
        <f t="array" ref="Q342">_xlfn.XLOOKUP(Sales_Data[[#This Row],[Lead Source]],_xlfn.ANCHORARRAY(Dashboard!$B$28),Dashboard!$D$28:$D$32)</f>
        <v>1</v>
      </c>
      <c r="R342">
        <f>Sales_Data[[#This Row],[Date inc]]*Sales_Data[[#This Row],[Team Inc]]*Sales_Data[[#This Row],[Rep Inc]]*Sales_Data[[#This Row],[Stage Inc]]*Sales_Data[[#This Row],[Source Inc]]</f>
        <v>0</v>
      </c>
    </row>
    <row r="343" spans="1:18" x14ac:dyDescent="0.3">
      <c r="A343" t="s">
        <v>350</v>
      </c>
      <c r="B343" s="2">
        <v>45000</v>
      </c>
      <c r="C343" t="s">
        <v>763</v>
      </c>
      <c r="D343" t="s">
        <v>765</v>
      </c>
      <c r="E343" t="s">
        <v>770</v>
      </c>
      <c r="F343" s="5">
        <v>42400</v>
      </c>
      <c r="G343" t="s">
        <v>781</v>
      </c>
      <c r="H343" s="2">
        <v>45090</v>
      </c>
      <c r="I343" t="s">
        <v>776</v>
      </c>
      <c r="J343" t="str">
        <f>IF(Sales_Data[[#This Row],[Close Date]] &lt;&gt; 0,"Closed", "Open")</f>
        <v>Closed</v>
      </c>
      <c r="K343">
        <f>IF(Sales_Data[[#This Row],[Open/Closed]] = "Closed",Sales_Data[[#This Row],[Close Date]]-Sales_Data[[#This Row],[Created Date]],"")</f>
        <v>90</v>
      </c>
      <c r="L343" s="2">
        <f>EOMONTH(Sales_Data[[#This Row],[Created Date]],0)</f>
        <v>45016</v>
      </c>
      <c r="M343" t="b">
        <f>AND(Sales_Data[[#This Row],[EoM Created]]&gt;=Index!$E$5,Sales_Data[[#This Row],[EoM Created]]&lt;=Index!$E$4)</f>
        <v>0</v>
      </c>
      <c r="N343" t="b" cm="1">
        <f t="array" ref="N343">_xlfn.XLOOKUP(Sales_Data[[#This Row],[Sales Team]],_xlfn.ANCHORARRAY(Dashboard!$B$9),Dashboard!$D$9:$D$10,,0)</f>
        <v>1</v>
      </c>
      <c r="O343" t="b" cm="1">
        <f t="array" ref="O343">_xlfn.XLOOKUP(Sales_Data[[#This Row],[Sales Rep]],_xlfn.ANCHORARRAY(Dashboard!$B$13),Dashboard!$D$13:$D$17,,0)</f>
        <v>1</v>
      </c>
      <c r="P343" t="b" cm="1">
        <f t="array" ref="P343">_xlfn.XLOOKUP(Sales_Data[[#This Row],[Stage]],_xlfn.ANCHORARRAY(Dashboard!$B$20),Dashboard!$D$20:$D$25)</f>
        <v>1</v>
      </c>
      <c r="Q343" t="b" cm="1">
        <f t="array" ref="Q343">_xlfn.XLOOKUP(Sales_Data[[#This Row],[Lead Source]],_xlfn.ANCHORARRAY(Dashboard!$B$28),Dashboard!$D$28:$D$32)</f>
        <v>1</v>
      </c>
      <c r="R343">
        <f>Sales_Data[[#This Row],[Date inc]]*Sales_Data[[#This Row],[Team Inc]]*Sales_Data[[#This Row],[Rep Inc]]*Sales_Data[[#This Row],[Stage Inc]]*Sales_Data[[#This Row],[Source Inc]]</f>
        <v>0</v>
      </c>
    </row>
    <row r="344" spans="1:18" x14ac:dyDescent="0.3">
      <c r="A344" t="s">
        <v>351</v>
      </c>
      <c r="B344" s="2">
        <v>44966</v>
      </c>
      <c r="C344" t="s">
        <v>760</v>
      </c>
      <c r="D344" t="s">
        <v>764</v>
      </c>
      <c r="E344" t="s">
        <v>767</v>
      </c>
      <c r="F344" s="5">
        <v>42400</v>
      </c>
      <c r="G344" t="s">
        <v>781</v>
      </c>
      <c r="H344" s="2">
        <v>45043</v>
      </c>
      <c r="I344" t="s">
        <v>779</v>
      </c>
      <c r="J344" t="str">
        <f>IF(Sales_Data[[#This Row],[Close Date]] &lt;&gt; 0,"Closed", "Open")</f>
        <v>Closed</v>
      </c>
      <c r="K344">
        <f>IF(Sales_Data[[#This Row],[Open/Closed]] = "Closed",Sales_Data[[#This Row],[Close Date]]-Sales_Data[[#This Row],[Created Date]],"")</f>
        <v>77</v>
      </c>
      <c r="L344" s="2">
        <f>EOMONTH(Sales_Data[[#This Row],[Created Date]],0)</f>
        <v>44985</v>
      </c>
      <c r="M344" t="b">
        <f>AND(Sales_Data[[#This Row],[EoM Created]]&gt;=Index!$E$5,Sales_Data[[#This Row],[EoM Created]]&lt;=Index!$E$4)</f>
        <v>0</v>
      </c>
      <c r="N344" t="b" cm="1">
        <f t="array" ref="N344">_xlfn.XLOOKUP(Sales_Data[[#This Row],[Sales Team]],_xlfn.ANCHORARRAY(Dashboard!$B$9),Dashboard!$D$9:$D$10,,0)</f>
        <v>1</v>
      </c>
      <c r="O344" t="b" cm="1">
        <f t="array" ref="O344">_xlfn.XLOOKUP(Sales_Data[[#This Row],[Sales Rep]],_xlfn.ANCHORARRAY(Dashboard!$B$13),Dashboard!$D$13:$D$17,,0)</f>
        <v>1</v>
      </c>
      <c r="P344" t="b" cm="1">
        <f t="array" ref="P344">_xlfn.XLOOKUP(Sales_Data[[#This Row],[Stage]],_xlfn.ANCHORARRAY(Dashboard!$B$20),Dashboard!$D$20:$D$25)</f>
        <v>1</v>
      </c>
      <c r="Q344" t="b" cm="1">
        <f t="array" ref="Q344">_xlfn.XLOOKUP(Sales_Data[[#This Row],[Lead Source]],_xlfn.ANCHORARRAY(Dashboard!$B$28),Dashboard!$D$28:$D$32)</f>
        <v>1</v>
      </c>
      <c r="R344">
        <f>Sales_Data[[#This Row],[Date inc]]*Sales_Data[[#This Row],[Team Inc]]*Sales_Data[[#This Row],[Rep Inc]]*Sales_Data[[#This Row],[Stage Inc]]*Sales_Data[[#This Row],[Source Inc]]</f>
        <v>0</v>
      </c>
    </row>
    <row r="345" spans="1:18" x14ac:dyDescent="0.3">
      <c r="A345" t="s">
        <v>352</v>
      </c>
      <c r="B345" s="2">
        <v>45271</v>
      </c>
      <c r="C345" t="s">
        <v>759</v>
      </c>
      <c r="D345" t="s">
        <v>764</v>
      </c>
      <c r="E345" t="s">
        <v>766</v>
      </c>
      <c r="F345" s="5">
        <v>34900</v>
      </c>
      <c r="G345" t="s">
        <v>781</v>
      </c>
      <c r="H345" s="2">
        <v>45352</v>
      </c>
      <c r="I345" t="s">
        <v>778</v>
      </c>
      <c r="J345" t="str">
        <f>IF(Sales_Data[[#This Row],[Close Date]] &lt;&gt; 0,"Closed", "Open")</f>
        <v>Closed</v>
      </c>
      <c r="K345">
        <f>IF(Sales_Data[[#This Row],[Open/Closed]] = "Closed",Sales_Data[[#This Row],[Close Date]]-Sales_Data[[#This Row],[Created Date]],"")</f>
        <v>81</v>
      </c>
      <c r="L345" s="2">
        <f>EOMONTH(Sales_Data[[#This Row],[Created Date]],0)</f>
        <v>45291</v>
      </c>
      <c r="M345" t="b">
        <f>AND(Sales_Data[[#This Row],[EoM Created]]&gt;=Index!$E$5,Sales_Data[[#This Row],[EoM Created]]&lt;=Index!$E$4)</f>
        <v>1</v>
      </c>
      <c r="N345" t="b" cm="1">
        <f t="array" ref="N345">_xlfn.XLOOKUP(Sales_Data[[#This Row],[Sales Team]],_xlfn.ANCHORARRAY(Dashboard!$B$9),Dashboard!$D$9:$D$10,,0)</f>
        <v>1</v>
      </c>
      <c r="O345" t="b" cm="1">
        <f t="array" ref="O345">_xlfn.XLOOKUP(Sales_Data[[#This Row],[Sales Rep]],_xlfn.ANCHORARRAY(Dashboard!$B$13),Dashboard!$D$13:$D$17,,0)</f>
        <v>1</v>
      </c>
      <c r="P345" t="b" cm="1">
        <f t="array" ref="P345">_xlfn.XLOOKUP(Sales_Data[[#This Row],[Stage]],_xlfn.ANCHORARRAY(Dashboard!$B$20),Dashboard!$D$20:$D$25)</f>
        <v>1</v>
      </c>
      <c r="Q345" t="b" cm="1">
        <f t="array" ref="Q345">_xlfn.XLOOKUP(Sales_Data[[#This Row],[Lead Source]],_xlfn.ANCHORARRAY(Dashboard!$B$28),Dashboard!$D$28:$D$32)</f>
        <v>1</v>
      </c>
      <c r="R345">
        <f>Sales_Data[[#This Row],[Date inc]]*Sales_Data[[#This Row],[Team Inc]]*Sales_Data[[#This Row],[Rep Inc]]*Sales_Data[[#This Row],[Stage Inc]]*Sales_Data[[#This Row],[Source Inc]]</f>
        <v>1</v>
      </c>
    </row>
    <row r="346" spans="1:18" x14ac:dyDescent="0.3">
      <c r="A346" t="s">
        <v>353</v>
      </c>
      <c r="B346" s="2">
        <v>45133</v>
      </c>
      <c r="C346" t="s">
        <v>763</v>
      </c>
      <c r="D346" t="s">
        <v>765</v>
      </c>
      <c r="E346" t="s">
        <v>768</v>
      </c>
      <c r="F346" s="5">
        <v>35300</v>
      </c>
      <c r="G346" t="s">
        <v>781</v>
      </c>
      <c r="H346" s="2">
        <v>45210</v>
      </c>
      <c r="I346" t="s">
        <v>779</v>
      </c>
      <c r="J346" t="str">
        <f>IF(Sales_Data[[#This Row],[Close Date]] &lt;&gt; 0,"Closed", "Open")</f>
        <v>Closed</v>
      </c>
      <c r="K346">
        <f>IF(Sales_Data[[#This Row],[Open/Closed]] = "Closed",Sales_Data[[#This Row],[Close Date]]-Sales_Data[[#This Row],[Created Date]],"")</f>
        <v>77</v>
      </c>
      <c r="L346" s="2">
        <f>EOMONTH(Sales_Data[[#This Row],[Created Date]],0)</f>
        <v>45138</v>
      </c>
      <c r="M346" t="b">
        <f>AND(Sales_Data[[#This Row],[EoM Created]]&gt;=Index!$E$5,Sales_Data[[#This Row],[EoM Created]]&lt;=Index!$E$4)</f>
        <v>1</v>
      </c>
      <c r="N346" t="b" cm="1">
        <f t="array" ref="N346">_xlfn.XLOOKUP(Sales_Data[[#This Row],[Sales Team]],_xlfn.ANCHORARRAY(Dashboard!$B$9),Dashboard!$D$9:$D$10,,0)</f>
        <v>1</v>
      </c>
      <c r="O346" t="b" cm="1">
        <f t="array" ref="O346">_xlfn.XLOOKUP(Sales_Data[[#This Row],[Sales Rep]],_xlfn.ANCHORARRAY(Dashboard!$B$13),Dashboard!$D$13:$D$17,,0)</f>
        <v>1</v>
      </c>
      <c r="P346" t="b" cm="1">
        <f t="array" ref="P346">_xlfn.XLOOKUP(Sales_Data[[#This Row],[Stage]],_xlfn.ANCHORARRAY(Dashboard!$B$20),Dashboard!$D$20:$D$25)</f>
        <v>1</v>
      </c>
      <c r="Q346" t="b" cm="1">
        <f t="array" ref="Q346">_xlfn.XLOOKUP(Sales_Data[[#This Row],[Lead Source]],_xlfn.ANCHORARRAY(Dashboard!$B$28),Dashboard!$D$28:$D$32)</f>
        <v>1</v>
      </c>
      <c r="R346">
        <f>Sales_Data[[#This Row],[Date inc]]*Sales_Data[[#This Row],[Team Inc]]*Sales_Data[[#This Row],[Rep Inc]]*Sales_Data[[#This Row],[Stage Inc]]*Sales_Data[[#This Row],[Source Inc]]</f>
        <v>1</v>
      </c>
    </row>
    <row r="347" spans="1:18" x14ac:dyDescent="0.3">
      <c r="A347" t="s">
        <v>354</v>
      </c>
      <c r="B347" s="2">
        <v>45818</v>
      </c>
      <c r="C347" t="s">
        <v>759</v>
      </c>
      <c r="D347" t="s">
        <v>764</v>
      </c>
      <c r="E347" t="s">
        <v>767</v>
      </c>
      <c r="F347" s="5">
        <v>42300</v>
      </c>
      <c r="G347" t="s">
        <v>780</v>
      </c>
      <c r="H347" s="2">
        <v>45880</v>
      </c>
      <c r="J347" t="str">
        <f>IF(Sales_Data[[#This Row],[Close Date]] &lt;&gt; 0,"Closed", "Open")</f>
        <v>Closed</v>
      </c>
      <c r="K347">
        <f>IF(Sales_Data[[#This Row],[Open/Closed]] = "Closed",Sales_Data[[#This Row],[Close Date]]-Sales_Data[[#This Row],[Created Date]],"")</f>
        <v>62</v>
      </c>
      <c r="L347" s="2">
        <f>EOMONTH(Sales_Data[[#This Row],[Created Date]],0)</f>
        <v>45838</v>
      </c>
      <c r="M347" t="b">
        <f>AND(Sales_Data[[#This Row],[EoM Created]]&gt;=Index!$E$5,Sales_Data[[#This Row],[EoM Created]]&lt;=Index!$E$4)</f>
        <v>1</v>
      </c>
      <c r="N347" t="b" cm="1">
        <f t="array" ref="N347">_xlfn.XLOOKUP(Sales_Data[[#This Row],[Sales Team]],_xlfn.ANCHORARRAY(Dashboard!$B$9),Dashboard!$D$9:$D$10,,0)</f>
        <v>1</v>
      </c>
      <c r="O347" t="b" cm="1">
        <f t="array" ref="O347">_xlfn.XLOOKUP(Sales_Data[[#This Row],[Sales Rep]],_xlfn.ANCHORARRAY(Dashboard!$B$13),Dashboard!$D$13:$D$17,,0)</f>
        <v>1</v>
      </c>
      <c r="P347" t="b" cm="1">
        <f t="array" ref="P347">_xlfn.XLOOKUP(Sales_Data[[#This Row],[Stage]],_xlfn.ANCHORARRAY(Dashboard!$B$20),Dashboard!$D$20:$D$25)</f>
        <v>1</v>
      </c>
      <c r="Q347" t="b" cm="1">
        <f t="array" ref="Q347">_xlfn.XLOOKUP(Sales_Data[[#This Row],[Lead Source]],_xlfn.ANCHORARRAY(Dashboard!$B$28),Dashboard!$D$28:$D$32)</f>
        <v>1</v>
      </c>
      <c r="R347">
        <f>Sales_Data[[#This Row],[Date inc]]*Sales_Data[[#This Row],[Team Inc]]*Sales_Data[[#This Row],[Rep Inc]]*Sales_Data[[#This Row],[Stage Inc]]*Sales_Data[[#This Row],[Source Inc]]</f>
        <v>1</v>
      </c>
    </row>
    <row r="348" spans="1:18" x14ac:dyDescent="0.3">
      <c r="A348" t="s">
        <v>355</v>
      </c>
      <c r="B348" s="2">
        <v>45252</v>
      </c>
      <c r="C348" t="s">
        <v>760</v>
      </c>
      <c r="D348" t="s">
        <v>764</v>
      </c>
      <c r="E348" t="s">
        <v>767</v>
      </c>
      <c r="F348" s="5">
        <v>25500</v>
      </c>
      <c r="G348" t="s">
        <v>780</v>
      </c>
      <c r="H348" s="2">
        <v>45327</v>
      </c>
      <c r="J348" t="str">
        <f>IF(Sales_Data[[#This Row],[Close Date]] &lt;&gt; 0,"Closed", "Open")</f>
        <v>Closed</v>
      </c>
      <c r="K348">
        <f>IF(Sales_Data[[#This Row],[Open/Closed]] = "Closed",Sales_Data[[#This Row],[Close Date]]-Sales_Data[[#This Row],[Created Date]],"")</f>
        <v>75</v>
      </c>
      <c r="L348" s="2">
        <f>EOMONTH(Sales_Data[[#This Row],[Created Date]],0)</f>
        <v>45260</v>
      </c>
      <c r="M348" t="b">
        <f>AND(Sales_Data[[#This Row],[EoM Created]]&gt;=Index!$E$5,Sales_Data[[#This Row],[EoM Created]]&lt;=Index!$E$4)</f>
        <v>1</v>
      </c>
      <c r="N348" t="b" cm="1">
        <f t="array" ref="N348">_xlfn.XLOOKUP(Sales_Data[[#This Row],[Sales Team]],_xlfn.ANCHORARRAY(Dashboard!$B$9),Dashboard!$D$9:$D$10,,0)</f>
        <v>1</v>
      </c>
      <c r="O348" t="b" cm="1">
        <f t="array" ref="O348">_xlfn.XLOOKUP(Sales_Data[[#This Row],[Sales Rep]],_xlfn.ANCHORARRAY(Dashboard!$B$13),Dashboard!$D$13:$D$17,,0)</f>
        <v>1</v>
      </c>
      <c r="P348" t="b" cm="1">
        <f t="array" ref="P348">_xlfn.XLOOKUP(Sales_Data[[#This Row],[Stage]],_xlfn.ANCHORARRAY(Dashboard!$B$20),Dashboard!$D$20:$D$25)</f>
        <v>1</v>
      </c>
      <c r="Q348" t="b" cm="1">
        <f t="array" ref="Q348">_xlfn.XLOOKUP(Sales_Data[[#This Row],[Lead Source]],_xlfn.ANCHORARRAY(Dashboard!$B$28),Dashboard!$D$28:$D$32)</f>
        <v>1</v>
      </c>
      <c r="R348">
        <f>Sales_Data[[#This Row],[Date inc]]*Sales_Data[[#This Row],[Team Inc]]*Sales_Data[[#This Row],[Rep Inc]]*Sales_Data[[#This Row],[Stage Inc]]*Sales_Data[[#This Row],[Source Inc]]</f>
        <v>1</v>
      </c>
    </row>
    <row r="349" spans="1:18" x14ac:dyDescent="0.3">
      <c r="A349" t="s">
        <v>356</v>
      </c>
      <c r="B349" s="2">
        <v>45564</v>
      </c>
      <c r="C349" t="s">
        <v>760</v>
      </c>
      <c r="D349" t="s">
        <v>764</v>
      </c>
      <c r="E349" t="s">
        <v>767</v>
      </c>
      <c r="F349" s="5">
        <v>25900</v>
      </c>
      <c r="G349" t="s">
        <v>780</v>
      </c>
      <c r="H349" s="2">
        <v>45638</v>
      </c>
      <c r="J349" t="str">
        <f>IF(Sales_Data[[#This Row],[Close Date]] &lt;&gt; 0,"Closed", "Open")</f>
        <v>Closed</v>
      </c>
      <c r="K349">
        <f>IF(Sales_Data[[#This Row],[Open/Closed]] = "Closed",Sales_Data[[#This Row],[Close Date]]-Sales_Data[[#This Row],[Created Date]],"")</f>
        <v>74</v>
      </c>
      <c r="L349" s="2">
        <f>EOMONTH(Sales_Data[[#This Row],[Created Date]],0)</f>
        <v>45565</v>
      </c>
      <c r="M349" t="b">
        <f>AND(Sales_Data[[#This Row],[EoM Created]]&gt;=Index!$E$5,Sales_Data[[#This Row],[EoM Created]]&lt;=Index!$E$4)</f>
        <v>1</v>
      </c>
      <c r="N349" t="b" cm="1">
        <f t="array" ref="N349">_xlfn.XLOOKUP(Sales_Data[[#This Row],[Sales Team]],_xlfn.ANCHORARRAY(Dashboard!$B$9),Dashboard!$D$9:$D$10,,0)</f>
        <v>1</v>
      </c>
      <c r="O349" t="b" cm="1">
        <f t="array" ref="O349">_xlfn.XLOOKUP(Sales_Data[[#This Row],[Sales Rep]],_xlfn.ANCHORARRAY(Dashboard!$B$13),Dashboard!$D$13:$D$17,,0)</f>
        <v>1</v>
      </c>
      <c r="P349" t="b" cm="1">
        <f t="array" ref="P349">_xlfn.XLOOKUP(Sales_Data[[#This Row],[Stage]],_xlfn.ANCHORARRAY(Dashboard!$B$20),Dashboard!$D$20:$D$25)</f>
        <v>1</v>
      </c>
      <c r="Q349" t="b" cm="1">
        <f t="array" ref="Q349">_xlfn.XLOOKUP(Sales_Data[[#This Row],[Lead Source]],_xlfn.ANCHORARRAY(Dashboard!$B$28),Dashboard!$D$28:$D$32)</f>
        <v>1</v>
      </c>
      <c r="R349">
        <f>Sales_Data[[#This Row],[Date inc]]*Sales_Data[[#This Row],[Team Inc]]*Sales_Data[[#This Row],[Rep Inc]]*Sales_Data[[#This Row],[Stage Inc]]*Sales_Data[[#This Row],[Source Inc]]</f>
        <v>1</v>
      </c>
    </row>
    <row r="350" spans="1:18" x14ac:dyDescent="0.3">
      <c r="A350" t="s">
        <v>357</v>
      </c>
      <c r="B350" s="2">
        <v>45770</v>
      </c>
      <c r="C350" t="s">
        <v>759</v>
      </c>
      <c r="D350" t="s">
        <v>764</v>
      </c>
      <c r="E350" t="s">
        <v>767</v>
      </c>
      <c r="F350" s="5">
        <v>32800</v>
      </c>
      <c r="G350" t="s">
        <v>774</v>
      </c>
      <c r="H350" s="2"/>
      <c r="J350" t="str">
        <f>IF(Sales_Data[[#This Row],[Close Date]] &lt;&gt; 0,"Closed", "Open")</f>
        <v>Open</v>
      </c>
      <c r="K350" t="str">
        <f>IF(Sales_Data[[#This Row],[Open/Closed]] = "Closed",Sales_Data[[#This Row],[Close Date]]-Sales_Data[[#This Row],[Created Date]],"")</f>
        <v/>
      </c>
      <c r="L350" s="2">
        <f>EOMONTH(Sales_Data[[#This Row],[Created Date]],0)</f>
        <v>45777</v>
      </c>
      <c r="M350" t="b">
        <f>AND(Sales_Data[[#This Row],[EoM Created]]&gt;=Index!$E$5,Sales_Data[[#This Row],[EoM Created]]&lt;=Index!$E$4)</f>
        <v>1</v>
      </c>
      <c r="N350" t="b" cm="1">
        <f t="array" ref="N350">_xlfn.XLOOKUP(Sales_Data[[#This Row],[Sales Team]],_xlfn.ANCHORARRAY(Dashboard!$B$9),Dashboard!$D$9:$D$10,,0)</f>
        <v>1</v>
      </c>
      <c r="O350" t="b" cm="1">
        <f t="array" ref="O350">_xlfn.XLOOKUP(Sales_Data[[#This Row],[Sales Rep]],_xlfn.ANCHORARRAY(Dashboard!$B$13),Dashboard!$D$13:$D$17,,0)</f>
        <v>1</v>
      </c>
      <c r="P350" t="b" cm="1">
        <f t="array" ref="P350">_xlfn.XLOOKUP(Sales_Data[[#This Row],[Stage]],_xlfn.ANCHORARRAY(Dashboard!$B$20),Dashboard!$D$20:$D$25)</f>
        <v>1</v>
      </c>
      <c r="Q350" t="b" cm="1">
        <f t="array" ref="Q350">_xlfn.XLOOKUP(Sales_Data[[#This Row],[Lead Source]],_xlfn.ANCHORARRAY(Dashboard!$B$28),Dashboard!$D$28:$D$32)</f>
        <v>1</v>
      </c>
      <c r="R350">
        <f>Sales_Data[[#This Row],[Date inc]]*Sales_Data[[#This Row],[Team Inc]]*Sales_Data[[#This Row],[Rep Inc]]*Sales_Data[[#This Row],[Stage Inc]]*Sales_Data[[#This Row],[Source Inc]]</f>
        <v>1</v>
      </c>
    </row>
    <row r="351" spans="1:18" x14ac:dyDescent="0.3">
      <c r="A351" t="s">
        <v>358</v>
      </c>
      <c r="B351" s="2">
        <v>45186</v>
      </c>
      <c r="C351" t="s">
        <v>763</v>
      </c>
      <c r="D351" t="s">
        <v>765</v>
      </c>
      <c r="E351" t="s">
        <v>770</v>
      </c>
      <c r="F351" s="5">
        <v>37900</v>
      </c>
      <c r="G351" t="s">
        <v>780</v>
      </c>
      <c r="H351" s="2">
        <v>45264</v>
      </c>
      <c r="J351" t="str">
        <f>IF(Sales_Data[[#This Row],[Close Date]] &lt;&gt; 0,"Closed", "Open")</f>
        <v>Closed</v>
      </c>
      <c r="K351">
        <f>IF(Sales_Data[[#This Row],[Open/Closed]] = "Closed",Sales_Data[[#This Row],[Close Date]]-Sales_Data[[#This Row],[Created Date]],"")</f>
        <v>78</v>
      </c>
      <c r="L351" s="2">
        <f>EOMONTH(Sales_Data[[#This Row],[Created Date]],0)</f>
        <v>45199</v>
      </c>
      <c r="M351" t="b">
        <f>AND(Sales_Data[[#This Row],[EoM Created]]&gt;=Index!$E$5,Sales_Data[[#This Row],[EoM Created]]&lt;=Index!$E$4)</f>
        <v>1</v>
      </c>
      <c r="N351" t="b" cm="1">
        <f t="array" ref="N351">_xlfn.XLOOKUP(Sales_Data[[#This Row],[Sales Team]],_xlfn.ANCHORARRAY(Dashboard!$B$9),Dashboard!$D$9:$D$10,,0)</f>
        <v>1</v>
      </c>
      <c r="O351" t="b" cm="1">
        <f t="array" ref="O351">_xlfn.XLOOKUP(Sales_Data[[#This Row],[Sales Rep]],_xlfn.ANCHORARRAY(Dashboard!$B$13),Dashboard!$D$13:$D$17,,0)</f>
        <v>1</v>
      </c>
      <c r="P351" t="b" cm="1">
        <f t="array" ref="P351">_xlfn.XLOOKUP(Sales_Data[[#This Row],[Stage]],_xlfn.ANCHORARRAY(Dashboard!$B$20),Dashboard!$D$20:$D$25)</f>
        <v>1</v>
      </c>
      <c r="Q351" t="b" cm="1">
        <f t="array" ref="Q351">_xlfn.XLOOKUP(Sales_Data[[#This Row],[Lead Source]],_xlfn.ANCHORARRAY(Dashboard!$B$28),Dashboard!$D$28:$D$32)</f>
        <v>1</v>
      </c>
      <c r="R351">
        <f>Sales_Data[[#This Row],[Date inc]]*Sales_Data[[#This Row],[Team Inc]]*Sales_Data[[#This Row],[Rep Inc]]*Sales_Data[[#This Row],[Stage Inc]]*Sales_Data[[#This Row],[Source Inc]]</f>
        <v>1</v>
      </c>
    </row>
    <row r="352" spans="1:18" x14ac:dyDescent="0.3">
      <c r="A352" t="s">
        <v>359</v>
      </c>
      <c r="B352" s="2">
        <v>45413</v>
      </c>
      <c r="C352" t="s">
        <v>759</v>
      </c>
      <c r="D352" t="s">
        <v>764</v>
      </c>
      <c r="E352" t="s">
        <v>767</v>
      </c>
      <c r="F352" s="5">
        <v>43100</v>
      </c>
      <c r="G352" t="s">
        <v>781</v>
      </c>
      <c r="H352" s="2">
        <v>45476</v>
      </c>
      <c r="I352" t="s">
        <v>775</v>
      </c>
      <c r="J352" t="str">
        <f>IF(Sales_Data[[#This Row],[Close Date]] &lt;&gt; 0,"Closed", "Open")</f>
        <v>Closed</v>
      </c>
      <c r="K352">
        <f>IF(Sales_Data[[#This Row],[Open/Closed]] = "Closed",Sales_Data[[#This Row],[Close Date]]-Sales_Data[[#This Row],[Created Date]],"")</f>
        <v>63</v>
      </c>
      <c r="L352" s="2">
        <f>EOMONTH(Sales_Data[[#This Row],[Created Date]],0)</f>
        <v>45443</v>
      </c>
      <c r="M352" t="b">
        <f>AND(Sales_Data[[#This Row],[EoM Created]]&gt;=Index!$E$5,Sales_Data[[#This Row],[EoM Created]]&lt;=Index!$E$4)</f>
        <v>1</v>
      </c>
      <c r="N352" t="b" cm="1">
        <f t="array" ref="N352">_xlfn.XLOOKUP(Sales_Data[[#This Row],[Sales Team]],_xlfn.ANCHORARRAY(Dashboard!$B$9),Dashboard!$D$9:$D$10,,0)</f>
        <v>1</v>
      </c>
      <c r="O352" t="b" cm="1">
        <f t="array" ref="O352">_xlfn.XLOOKUP(Sales_Data[[#This Row],[Sales Rep]],_xlfn.ANCHORARRAY(Dashboard!$B$13),Dashboard!$D$13:$D$17,,0)</f>
        <v>1</v>
      </c>
      <c r="P352" t="b" cm="1">
        <f t="array" ref="P352">_xlfn.XLOOKUP(Sales_Data[[#This Row],[Stage]],_xlfn.ANCHORARRAY(Dashboard!$B$20),Dashboard!$D$20:$D$25)</f>
        <v>1</v>
      </c>
      <c r="Q352" t="b" cm="1">
        <f t="array" ref="Q352">_xlfn.XLOOKUP(Sales_Data[[#This Row],[Lead Source]],_xlfn.ANCHORARRAY(Dashboard!$B$28),Dashboard!$D$28:$D$32)</f>
        <v>1</v>
      </c>
      <c r="R352">
        <f>Sales_Data[[#This Row],[Date inc]]*Sales_Data[[#This Row],[Team Inc]]*Sales_Data[[#This Row],[Rep Inc]]*Sales_Data[[#This Row],[Stage Inc]]*Sales_Data[[#This Row],[Source Inc]]</f>
        <v>1</v>
      </c>
    </row>
    <row r="353" spans="1:18" x14ac:dyDescent="0.3">
      <c r="A353" t="s">
        <v>360</v>
      </c>
      <c r="B353" s="2">
        <v>45069</v>
      </c>
      <c r="C353" t="s">
        <v>759</v>
      </c>
      <c r="D353" t="s">
        <v>764</v>
      </c>
      <c r="E353" t="s">
        <v>766</v>
      </c>
      <c r="F353" s="5">
        <v>54800</v>
      </c>
      <c r="G353" t="s">
        <v>780</v>
      </c>
      <c r="H353" s="2">
        <v>45150</v>
      </c>
      <c r="J353" t="str">
        <f>IF(Sales_Data[[#This Row],[Close Date]] &lt;&gt; 0,"Closed", "Open")</f>
        <v>Closed</v>
      </c>
      <c r="K353">
        <f>IF(Sales_Data[[#This Row],[Open/Closed]] = "Closed",Sales_Data[[#This Row],[Close Date]]-Sales_Data[[#This Row],[Created Date]],"")</f>
        <v>81</v>
      </c>
      <c r="L353" s="2">
        <f>EOMONTH(Sales_Data[[#This Row],[Created Date]],0)</f>
        <v>45077</v>
      </c>
      <c r="M353" t="b">
        <f>AND(Sales_Data[[#This Row],[EoM Created]]&gt;=Index!$E$5,Sales_Data[[#This Row],[EoM Created]]&lt;=Index!$E$4)</f>
        <v>0</v>
      </c>
      <c r="N353" t="b" cm="1">
        <f t="array" ref="N353">_xlfn.XLOOKUP(Sales_Data[[#This Row],[Sales Team]],_xlfn.ANCHORARRAY(Dashboard!$B$9),Dashboard!$D$9:$D$10,,0)</f>
        <v>1</v>
      </c>
      <c r="O353" t="b" cm="1">
        <f t="array" ref="O353">_xlfn.XLOOKUP(Sales_Data[[#This Row],[Sales Rep]],_xlfn.ANCHORARRAY(Dashboard!$B$13),Dashboard!$D$13:$D$17,,0)</f>
        <v>1</v>
      </c>
      <c r="P353" t="b" cm="1">
        <f t="array" ref="P353">_xlfn.XLOOKUP(Sales_Data[[#This Row],[Stage]],_xlfn.ANCHORARRAY(Dashboard!$B$20),Dashboard!$D$20:$D$25)</f>
        <v>1</v>
      </c>
      <c r="Q353" t="b" cm="1">
        <f t="array" ref="Q353">_xlfn.XLOOKUP(Sales_Data[[#This Row],[Lead Source]],_xlfn.ANCHORARRAY(Dashboard!$B$28),Dashboard!$D$28:$D$32)</f>
        <v>1</v>
      </c>
      <c r="R353">
        <f>Sales_Data[[#This Row],[Date inc]]*Sales_Data[[#This Row],[Team Inc]]*Sales_Data[[#This Row],[Rep Inc]]*Sales_Data[[#This Row],[Stage Inc]]*Sales_Data[[#This Row],[Source Inc]]</f>
        <v>0</v>
      </c>
    </row>
    <row r="354" spans="1:18" x14ac:dyDescent="0.3">
      <c r="A354" t="s">
        <v>361</v>
      </c>
      <c r="B354" s="2">
        <v>45211</v>
      </c>
      <c r="C354" t="s">
        <v>759</v>
      </c>
      <c r="D354" t="s">
        <v>764</v>
      </c>
      <c r="E354" t="s">
        <v>767</v>
      </c>
      <c r="F354" s="5">
        <v>48600</v>
      </c>
      <c r="G354" t="s">
        <v>780</v>
      </c>
      <c r="H354" s="2">
        <v>45274</v>
      </c>
      <c r="J354" t="str">
        <f>IF(Sales_Data[[#This Row],[Close Date]] &lt;&gt; 0,"Closed", "Open")</f>
        <v>Closed</v>
      </c>
      <c r="K354">
        <f>IF(Sales_Data[[#This Row],[Open/Closed]] = "Closed",Sales_Data[[#This Row],[Close Date]]-Sales_Data[[#This Row],[Created Date]],"")</f>
        <v>63</v>
      </c>
      <c r="L354" s="2">
        <f>EOMONTH(Sales_Data[[#This Row],[Created Date]],0)</f>
        <v>45230</v>
      </c>
      <c r="M354" t="b">
        <f>AND(Sales_Data[[#This Row],[EoM Created]]&gt;=Index!$E$5,Sales_Data[[#This Row],[EoM Created]]&lt;=Index!$E$4)</f>
        <v>1</v>
      </c>
      <c r="N354" t="b" cm="1">
        <f t="array" ref="N354">_xlfn.XLOOKUP(Sales_Data[[#This Row],[Sales Team]],_xlfn.ANCHORARRAY(Dashboard!$B$9),Dashboard!$D$9:$D$10,,0)</f>
        <v>1</v>
      </c>
      <c r="O354" t="b" cm="1">
        <f t="array" ref="O354">_xlfn.XLOOKUP(Sales_Data[[#This Row],[Sales Rep]],_xlfn.ANCHORARRAY(Dashboard!$B$13),Dashboard!$D$13:$D$17,,0)</f>
        <v>1</v>
      </c>
      <c r="P354" t="b" cm="1">
        <f t="array" ref="P354">_xlfn.XLOOKUP(Sales_Data[[#This Row],[Stage]],_xlfn.ANCHORARRAY(Dashboard!$B$20),Dashboard!$D$20:$D$25)</f>
        <v>1</v>
      </c>
      <c r="Q354" t="b" cm="1">
        <f t="array" ref="Q354">_xlfn.XLOOKUP(Sales_Data[[#This Row],[Lead Source]],_xlfn.ANCHORARRAY(Dashboard!$B$28),Dashboard!$D$28:$D$32)</f>
        <v>1</v>
      </c>
      <c r="R354">
        <f>Sales_Data[[#This Row],[Date inc]]*Sales_Data[[#This Row],[Team Inc]]*Sales_Data[[#This Row],[Rep Inc]]*Sales_Data[[#This Row],[Stage Inc]]*Sales_Data[[#This Row],[Source Inc]]</f>
        <v>1</v>
      </c>
    </row>
    <row r="355" spans="1:18" x14ac:dyDescent="0.3">
      <c r="A355" t="s">
        <v>362</v>
      </c>
      <c r="B355" s="2">
        <v>45380</v>
      </c>
      <c r="C355" t="s">
        <v>761</v>
      </c>
      <c r="D355" t="s">
        <v>765</v>
      </c>
      <c r="E355" t="s">
        <v>768</v>
      </c>
      <c r="F355" s="5">
        <v>38400</v>
      </c>
      <c r="G355" t="s">
        <v>781</v>
      </c>
      <c r="H355" s="2">
        <v>45468</v>
      </c>
      <c r="I355" t="s">
        <v>779</v>
      </c>
      <c r="J355" t="str">
        <f>IF(Sales_Data[[#This Row],[Close Date]] &lt;&gt; 0,"Closed", "Open")</f>
        <v>Closed</v>
      </c>
      <c r="K355">
        <f>IF(Sales_Data[[#This Row],[Open/Closed]] = "Closed",Sales_Data[[#This Row],[Close Date]]-Sales_Data[[#This Row],[Created Date]],"")</f>
        <v>88</v>
      </c>
      <c r="L355" s="2">
        <f>EOMONTH(Sales_Data[[#This Row],[Created Date]],0)</f>
        <v>45382</v>
      </c>
      <c r="M355" t="b">
        <f>AND(Sales_Data[[#This Row],[EoM Created]]&gt;=Index!$E$5,Sales_Data[[#This Row],[EoM Created]]&lt;=Index!$E$4)</f>
        <v>1</v>
      </c>
      <c r="N355" t="b" cm="1">
        <f t="array" ref="N355">_xlfn.XLOOKUP(Sales_Data[[#This Row],[Sales Team]],_xlfn.ANCHORARRAY(Dashboard!$B$9),Dashboard!$D$9:$D$10,,0)</f>
        <v>1</v>
      </c>
      <c r="O355" t="b" cm="1">
        <f t="array" ref="O355">_xlfn.XLOOKUP(Sales_Data[[#This Row],[Sales Rep]],_xlfn.ANCHORARRAY(Dashboard!$B$13),Dashboard!$D$13:$D$17,,0)</f>
        <v>1</v>
      </c>
      <c r="P355" t="b" cm="1">
        <f t="array" ref="P355">_xlfn.XLOOKUP(Sales_Data[[#This Row],[Stage]],_xlfn.ANCHORARRAY(Dashboard!$B$20),Dashboard!$D$20:$D$25)</f>
        <v>1</v>
      </c>
      <c r="Q355" t="b" cm="1">
        <f t="array" ref="Q355">_xlfn.XLOOKUP(Sales_Data[[#This Row],[Lead Source]],_xlfn.ANCHORARRAY(Dashboard!$B$28),Dashboard!$D$28:$D$32)</f>
        <v>1</v>
      </c>
      <c r="R355">
        <f>Sales_Data[[#This Row],[Date inc]]*Sales_Data[[#This Row],[Team Inc]]*Sales_Data[[#This Row],[Rep Inc]]*Sales_Data[[#This Row],[Stage Inc]]*Sales_Data[[#This Row],[Source Inc]]</f>
        <v>1</v>
      </c>
    </row>
    <row r="356" spans="1:18" x14ac:dyDescent="0.3">
      <c r="A356" t="s">
        <v>363</v>
      </c>
      <c r="B356" s="2">
        <v>45697</v>
      </c>
      <c r="C356" t="s">
        <v>761</v>
      </c>
      <c r="D356" t="s">
        <v>765</v>
      </c>
      <c r="E356" t="s">
        <v>768</v>
      </c>
      <c r="F356" s="5">
        <v>39800</v>
      </c>
      <c r="G356" t="s">
        <v>781</v>
      </c>
      <c r="H356" s="2">
        <v>45767</v>
      </c>
      <c r="I356" t="s">
        <v>779</v>
      </c>
      <c r="J356" t="str">
        <f>IF(Sales_Data[[#This Row],[Close Date]] &lt;&gt; 0,"Closed", "Open")</f>
        <v>Closed</v>
      </c>
      <c r="K356">
        <f>IF(Sales_Data[[#This Row],[Open/Closed]] = "Closed",Sales_Data[[#This Row],[Close Date]]-Sales_Data[[#This Row],[Created Date]],"")</f>
        <v>70</v>
      </c>
      <c r="L356" s="2">
        <f>EOMONTH(Sales_Data[[#This Row],[Created Date]],0)</f>
        <v>45716</v>
      </c>
      <c r="M356" t="b">
        <f>AND(Sales_Data[[#This Row],[EoM Created]]&gt;=Index!$E$5,Sales_Data[[#This Row],[EoM Created]]&lt;=Index!$E$4)</f>
        <v>1</v>
      </c>
      <c r="N356" t="b" cm="1">
        <f t="array" ref="N356">_xlfn.XLOOKUP(Sales_Data[[#This Row],[Sales Team]],_xlfn.ANCHORARRAY(Dashboard!$B$9),Dashboard!$D$9:$D$10,,0)</f>
        <v>1</v>
      </c>
      <c r="O356" t="b" cm="1">
        <f t="array" ref="O356">_xlfn.XLOOKUP(Sales_Data[[#This Row],[Sales Rep]],_xlfn.ANCHORARRAY(Dashboard!$B$13),Dashboard!$D$13:$D$17,,0)</f>
        <v>1</v>
      </c>
      <c r="P356" t="b" cm="1">
        <f t="array" ref="P356">_xlfn.XLOOKUP(Sales_Data[[#This Row],[Stage]],_xlfn.ANCHORARRAY(Dashboard!$B$20),Dashboard!$D$20:$D$25)</f>
        <v>1</v>
      </c>
      <c r="Q356" t="b" cm="1">
        <f t="array" ref="Q356">_xlfn.XLOOKUP(Sales_Data[[#This Row],[Lead Source]],_xlfn.ANCHORARRAY(Dashboard!$B$28),Dashboard!$D$28:$D$32)</f>
        <v>1</v>
      </c>
      <c r="R356">
        <f>Sales_Data[[#This Row],[Date inc]]*Sales_Data[[#This Row],[Team Inc]]*Sales_Data[[#This Row],[Rep Inc]]*Sales_Data[[#This Row],[Stage Inc]]*Sales_Data[[#This Row],[Source Inc]]</f>
        <v>1</v>
      </c>
    </row>
    <row r="357" spans="1:18" x14ac:dyDescent="0.3">
      <c r="A357" t="s">
        <v>364</v>
      </c>
      <c r="B357" s="2">
        <v>45288</v>
      </c>
      <c r="C357" t="s">
        <v>759</v>
      </c>
      <c r="D357" t="s">
        <v>764</v>
      </c>
      <c r="E357" t="s">
        <v>766</v>
      </c>
      <c r="F357" s="5">
        <v>30000</v>
      </c>
      <c r="G357" t="s">
        <v>781</v>
      </c>
      <c r="H357" s="2">
        <v>45358</v>
      </c>
      <c r="I357" t="s">
        <v>776</v>
      </c>
      <c r="J357" t="str">
        <f>IF(Sales_Data[[#This Row],[Close Date]] &lt;&gt; 0,"Closed", "Open")</f>
        <v>Closed</v>
      </c>
      <c r="K357">
        <f>IF(Sales_Data[[#This Row],[Open/Closed]] = "Closed",Sales_Data[[#This Row],[Close Date]]-Sales_Data[[#This Row],[Created Date]],"")</f>
        <v>70</v>
      </c>
      <c r="L357" s="2">
        <f>EOMONTH(Sales_Data[[#This Row],[Created Date]],0)</f>
        <v>45291</v>
      </c>
      <c r="M357" t="b">
        <f>AND(Sales_Data[[#This Row],[EoM Created]]&gt;=Index!$E$5,Sales_Data[[#This Row],[EoM Created]]&lt;=Index!$E$4)</f>
        <v>1</v>
      </c>
      <c r="N357" t="b" cm="1">
        <f t="array" ref="N357">_xlfn.XLOOKUP(Sales_Data[[#This Row],[Sales Team]],_xlfn.ANCHORARRAY(Dashboard!$B$9),Dashboard!$D$9:$D$10,,0)</f>
        <v>1</v>
      </c>
      <c r="O357" t="b" cm="1">
        <f t="array" ref="O357">_xlfn.XLOOKUP(Sales_Data[[#This Row],[Sales Rep]],_xlfn.ANCHORARRAY(Dashboard!$B$13),Dashboard!$D$13:$D$17,,0)</f>
        <v>1</v>
      </c>
      <c r="P357" t="b" cm="1">
        <f t="array" ref="P357">_xlfn.XLOOKUP(Sales_Data[[#This Row],[Stage]],_xlfn.ANCHORARRAY(Dashboard!$B$20),Dashboard!$D$20:$D$25)</f>
        <v>1</v>
      </c>
      <c r="Q357" t="b" cm="1">
        <f t="array" ref="Q357">_xlfn.XLOOKUP(Sales_Data[[#This Row],[Lead Source]],_xlfn.ANCHORARRAY(Dashboard!$B$28),Dashboard!$D$28:$D$32)</f>
        <v>1</v>
      </c>
      <c r="R357">
        <f>Sales_Data[[#This Row],[Date inc]]*Sales_Data[[#This Row],[Team Inc]]*Sales_Data[[#This Row],[Rep Inc]]*Sales_Data[[#This Row],[Stage Inc]]*Sales_Data[[#This Row],[Source Inc]]</f>
        <v>1</v>
      </c>
    </row>
    <row r="358" spans="1:18" x14ac:dyDescent="0.3">
      <c r="A358" t="s">
        <v>365</v>
      </c>
      <c r="B358" s="2">
        <v>45454</v>
      </c>
      <c r="C358" t="s">
        <v>763</v>
      </c>
      <c r="D358" t="s">
        <v>765</v>
      </c>
      <c r="E358" t="s">
        <v>770</v>
      </c>
      <c r="F358" s="5">
        <v>39800</v>
      </c>
      <c r="G358" t="s">
        <v>781</v>
      </c>
      <c r="H358" s="2">
        <v>45526</v>
      </c>
      <c r="I358" t="s">
        <v>778</v>
      </c>
      <c r="J358" t="str">
        <f>IF(Sales_Data[[#This Row],[Close Date]] &lt;&gt; 0,"Closed", "Open")</f>
        <v>Closed</v>
      </c>
      <c r="K358">
        <f>IF(Sales_Data[[#This Row],[Open/Closed]] = "Closed",Sales_Data[[#This Row],[Close Date]]-Sales_Data[[#This Row],[Created Date]],"")</f>
        <v>72</v>
      </c>
      <c r="L358" s="2">
        <f>EOMONTH(Sales_Data[[#This Row],[Created Date]],0)</f>
        <v>45473</v>
      </c>
      <c r="M358" t="b">
        <f>AND(Sales_Data[[#This Row],[EoM Created]]&gt;=Index!$E$5,Sales_Data[[#This Row],[EoM Created]]&lt;=Index!$E$4)</f>
        <v>1</v>
      </c>
      <c r="N358" t="b" cm="1">
        <f t="array" ref="N358">_xlfn.XLOOKUP(Sales_Data[[#This Row],[Sales Team]],_xlfn.ANCHORARRAY(Dashboard!$B$9),Dashboard!$D$9:$D$10,,0)</f>
        <v>1</v>
      </c>
      <c r="O358" t="b" cm="1">
        <f t="array" ref="O358">_xlfn.XLOOKUP(Sales_Data[[#This Row],[Sales Rep]],_xlfn.ANCHORARRAY(Dashboard!$B$13),Dashboard!$D$13:$D$17,,0)</f>
        <v>1</v>
      </c>
      <c r="P358" t="b" cm="1">
        <f t="array" ref="P358">_xlfn.XLOOKUP(Sales_Data[[#This Row],[Stage]],_xlfn.ANCHORARRAY(Dashboard!$B$20),Dashboard!$D$20:$D$25)</f>
        <v>1</v>
      </c>
      <c r="Q358" t="b" cm="1">
        <f t="array" ref="Q358">_xlfn.XLOOKUP(Sales_Data[[#This Row],[Lead Source]],_xlfn.ANCHORARRAY(Dashboard!$B$28),Dashboard!$D$28:$D$32)</f>
        <v>1</v>
      </c>
      <c r="R358">
        <f>Sales_Data[[#This Row],[Date inc]]*Sales_Data[[#This Row],[Team Inc]]*Sales_Data[[#This Row],[Rep Inc]]*Sales_Data[[#This Row],[Stage Inc]]*Sales_Data[[#This Row],[Source Inc]]</f>
        <v>1</v>
      </c>
    </row>
    <row r="359" spans="1:18" x14ac:dyDescent="0.3">
      <c r="A359" t="s">
        <v>366</v>
      </c>
      <c r="B359" s="2">
        <v>44968</v>
      </c>
      <c r="C359" t="s">
        <v>763</v>
      </c>
      <c r="D359" t="s">
        <v>765</v>
      </c>
      <c r="E359" t="s">
        <v>770</v>
      </c>
      <c r="F359" s="5">
        <v>37100</v>
      </c>
      <c r="G359" t="s">
        <v>781</v>
      </c>
      <c r="H359" s="2">
        <v>45045</v>
      </c>
      <c r="I359" t="s">
        <v>776</v>
      </c>
      <c r="J359" t="str">
        <f>IF(Sales_Data[[#This Row],[Close Date]] &lt;&gt; 0,"Closed", "Open")</f>
        <v>Closed</v>
      </c>
      <c r="K359">
        <f>IF(Sales_Data[[#This Row],[Open/Closed]] = "Closed",Sales_Data[[#This Row],[Close Date]]-Sales_Data[[#This Row],[Created Date]],"")</f>
        <v>77</v>
      </c>
      <c r="L359" s="2">
        <f>EOMONTH(Sales_Data[[#This Row],[Created Date]],0)</f>
        <v>44985</v>
      </c>
      <c r="M359" t="b">
        <f>AND(Sales_Data[[#This Row],[EoM Created]]&gt;=Index!$E$5,Sales_Data[[#This Row],[EoM Created]]&lt;=Index!$E$4)</f>
        <v>0</v>
      </c>
      <c r="N359" t="b" cm="1">
        <f t="array" ref="N359">_xlfn.XLOOKUP(Sales_Data[[#This Row],[Sales Team]],_xlfn.ANCHORARRAY(Dashboard!$B$9),Dashboard!$D$9:$D$10,,0)</f>
        <v>1</v>
      </c>
      <c r="O359" t="b" cm="1">
        <f t="array" ref="O359">_xlfn.XLOOKUP(Sales_Data[[#This Row],[Sales Rep]],_xlfn.ANCHORARRAY(Dashboard!$B$13),Dashboard!$D$13:$D$17,,0)</f>
        <v>1</v>
      </c>
      <c r="P359" t="b" cm="1">
        <f t="array" ref="P359">_xlfn.XLOOKUP(Sales_Data[[#This Row],[Stage]],_xlfn.ANCHORARRAY(Dashboard!$B$20),Dashboard!$D$20:$D$25)</f>
        <v>1</v>
      </c>
      <c r="Q359" t="b" cm="1">
        <f t="array" ref="Q359">_xlfn.XLOOKUP(Sales_Data[[#This Row],[Lead Source]],_xlfn.ANCHORARRAY(Dashboard!$B$28),Dashboard!$D$28:$D$32)</f>
        <v>1</v>
      </c>
      <c r="R359">
        <f>Sales_Data[[#This Row],[Date inc]]*Sales_Data[[#This Row],[Team Inc]]*Sales_Data[[#This Row],[Rep Inc]]*Sales_Data[[#This Row],[Stage Inc]]*Sales_Data[[#This Row],[Source Inc]]</f>
        <v>0</v>
      </c>
    </row>
    <row r="360" spans="1:18" x14ac:dyDescent="0.3">
      <c r="A360" t="s">
        <v>367</v>
      </c>
      <c r="B360" s="2">
        <v>45782</v>
      </c>
      <c r="C360" t="s">
        <v>760</v>
      </c>
      <c r="D360" t="s">
        <v>764</v>
      </c>
      <c r="E360" t="s">
        <v>767</v>
      </c>
      <c r="F360" s="5">
        <v>43200</v>
      </c>
      <c r="G360" t="s">
        <v>781</v>
      </c>
      <c r="H360" s="2">
        <v>45851</v>
      </c>
      <c r="I360" t="s">
        <v>775</v>
      </c>
      <c r="J360" t="str">
        <f>IF(Sales_Data[[#This Row],[Close Date]] &lt;&gt; 0,"Closed", "Open")</f>
        <v>Closed</v>
      </c>
      <c r="K360">
        <f>IF(Sales_Data[[#This Row],[Open/Closed]] = "Closed",Sales_Data[[#This Row],[Close Date]]-Sales_Data[[#This Row],[Created Date]],"")</f>
        <v>69</v>
      </c>
      <c r="L360" s="2">
        <f>EOMONTH(Sales_Data[[#This Row],[Created Date]],0)</f>
        <v>45808</v>
      </c>
      <c r="M360" t="b">
        <f>AND(Sales_Data[[#This Row],[EoM Created]]&gt;=Index!$E$5,Sales_Data[[#This Row],[EoM Created]]&lt;=Index!$E$4)</f>
        <v>1</v>
      </c>
      <c r="N360" t="b" cm="1">
        <f t="array" ref="N360">_xlfn.XLOOKUP(Sales_Data[[#This Row],[Sales Team]],_xlfn.ANCHORARRAY(Dashboard!$B$9),Dashboard!$D$9:$D$10,,0)</f>
        <v>1</v>
      </c>
      <c r="O360" t="b" cm="1">
        <f t="array" ref="O360">_xlfn.XLOOKUP(Sales_Data[[#This Row],[Sales Rep]],_xlfn.ANCHORARRAY(Dashboard!$B$13),Dashboard!$D$13:$D$17,,0)</f>
        <v>1</v>
      </c>
      <c r="P360" t="b" cm="1">
        <f t="array" ref="P360">_xlfn.XLOOKUP(Sales_Data[[#This Row],[Stage]],_xlfn.ANCHORARRAY(Dashboard!$B$20),Dashboard!$D$20:$D$25)</f>
        <v>1</v>
      </c>
      <c r="Q360" t="b" cm="1">
        <f t="array" ref="Q360">_xlfn.XLOOKUP(Sales_Data[[#This Row],[Lead Source]],_xlfn.ANCHORARRAY(Dashboard!$B$28),Dashboard!$D$28:$D$32)</f>
        <v>1</v>
      </c>
      <c r="R360">
        <f>Sales_Data[[#This Row],[Date inc]]*Sales_Data[[#This Row],[Team Inc]]*Sales_Data[[#This Row],[Rep Inc]]*Sales_Data[[#This Row],[Stage Inc]]*Sales_Data[[#This Row],[Source Inc]]</f>
        <v>1</v>
      </c>
    </row>
    <row r="361" spans="1:18" x14ac:dyDescent="0.3">
      <c r="A361" t="s">
        <v>368</v>
      </c>
      <c r="B361" s="2">
        <v>45593</v>
      </c>
      <c r="C361" t="s">
        <v>762</v>
      </c>
      <c r="D361" t="s">
        <v>764</v>
      </c>
      <c r="E361" t="s">
        <v>767</v>
      </c>
      <c r="F361" s="5">
        <v>31700</v>
      </c>
      <c r="G361" t="s">
        <v>781</v>
      </c>
      <c r="H361" s="2">
        <v>45680</v>
      </c>
      <c r="I361" t="s">
        <v>779</v>
      </c>
      <c r="J361" t="str">
        <f>IF(Sales_Data[[#This Row],[Close Date]] &lt;&gt; 0,"Closed", "Open")</f>
        <v>Closed</v>
      </c>
      <c r="K361">
        <f>IF(Sales_Data[[#This Row],[Open/Closed]] = "Closed",Sales_Data[[#This Row],[Close Date]]-Sales_Data[[#This Row],[Created Date]],"")</f>
        <v>87</v>
      </c>
      <c r="L361" s="2">
        <f>EOMONTH(Sales_Data[[#This Row],[Created Date]],0)</f>
        <v>45596</v>
      </c>
      <c r="M361" t="b">
        <f>AND(Sales_Data[[#This Row],[EoM Created]]&gt;=Index!$E$5,Sales_Data[[#This Row],[EoM Created]]&lt;=Index!$E$4)</f>
        <v>1</v>
      </c>
      <c r="N361" t="b" cm="1">
        <f t="array" ref="N361">_xlfn.XLOOKUP(Sales_Data[[#This Row],[Sales Team]],_xlfn.ANCHORARRAY(Dashboard!$B$9),Dashboard!$D$9:$D$10,,0)</f>
        <v>1</v>
      </c>
      <c r="O361" t="b" cm="1">
        <f t="array" ref="O361">_xlfn.XLOOKUP(Sales_Data[[#This Row],[Sales Rep]],_xlfn.ANCHORARRAY(Dashboard!$B$13),Dashboard!$D$13:$D$17,,0)</f>
        <v>1</v>
      </c>
      <c r="P361" t="b" cm="1">
        <f t="array" ref="P361">_xlfn.XLOOKUP(Sales_Data[[#This Row],[Stage]],_xlfn.ANCHORARRAY(Dashboard!$B$20),Dashboard!$D$20:$D$25)</f>
        <v>1</v>
      </c>
      <c r="Q361" t="b" cm="1">
        <f t="array" ref="Q361">_xlfn.XLOOKUP(Sales_Data[[#This Row],[Lead Source]],_xlfn.ANCHORARRAY(Dashboard!$B$28),Dashboard!$D$28:$D$32)</f>
        <v>1</v>
      </c>
      <c r="R361">
        <f>Sales_Data[[#This Row],[Date inc]]*Sales_Data[[#This Row],[Team Inc]]*Sales_Data[[#This Row],[Rep Inc]]*Sales_Data[[#This Row],[Stage Inc]]*Sales_Data[[#This Row],[Source Inc]]</f>
        <v>1</v>
      </c>
    </row>
    <row r="362" spans="1:18" x14ac:dyDescent="0.3">
      <c r="A362" t="s">
        <v>369</v>
      </c>
      <c r="B362" s="2">
        <v>45573</v>
      </c>
      <c r="C362" t="s">
        <v>760</v>
      </c>
      <c r="D362" t="s">
        <v>764</v>
      </c>
      <c r="E362" t="s">
        <v>767</v>
      </c>
      <c r="F362" s="5">
        <v>45200</v>
      </c>
      <c r="G362" t="s">
        <v>781</v>
      </c>
      <c r="H362" s="2">
        <v>45636</v>
      </c>
      <c r="I362" t="s">
        <v>776</v>
      </c>
      <c r="J362" t="str">
        <f>IF(Sales_Data[[#This Row],[Close Date]] &lt;&gt; 0,"Closed", "Open")</f>
        <v>Closed</v>
      </c>
      <c r="K362">
        <f>IF(Sales_Data[[#This Row],[Open/Closed]] = "Closed",Sales_Data[[#This Row],[Close Date]]-Sales_Data[[#This Row],[Created Date]],"")</f>
        <v>63</v>
      </c>
      <c r="L362" s="2">
        <f>EOMONTH(Sales_Data[[#This Row],[Created Date]],0)</f>
        <v>45596</v>
      </c>
      <c r="M362" t="b">
        <f>AND(Sales_Data[[#This Row],[EoM Created]]&gt;=Index!$E$5,Sales_Data[[#This Row],[EoM Created]]&lt;=Index!$E$4)</f>
        <v>1</v>
      </c>
      <c r="N362" t="b" cm="1">
        <f t="array" ref="N362">_xlfn.XLOOKUP(Sales_Data[[#This Row],[Sales Team]],_xlfn.ANCHORARRAY(Dashboard!$B$9),Dashboard!$D$9:$D$10,,0)</f>
        <v>1</v>
      </c>
      <c r="O362" t="b" cm="1">
        <f t="array" ref="O362">_xlfn.XLOOKUP(Sales_Data[[#This Row],[Sales Rep]],_xlfn.ANCHORARRAY(Dashboard!$B$13),Dashboard!$D$13:$D$17,,0)</f>
        <v>1</v>
      </c>
      <c r="P362" t="b" cm="1">
        <f t="array" ref="P362">_xlfn.XLOOKUP(Sales_Data[[#This Row],[Stage]],_xlfn.ANCHORARRAY(Dashboard!$B$20),Dashboard!$D$20:$D$25)</f>
        <v>1</v>
      </c>
      <c r="Q362" t="b" cm="1">
        <f t="array" ref="Q362">_xlfn.XLOOKUP(Sales_Data[[#This Row],[Lead Source]],_xlfn.ANCHORARRAY(Dashboard!$B$28),Dashboard!$D$28:$D$32)</f>
        <v>1</v>
      </c>
      <c r="R362">
        <f>Sales_Data[[#This Row],[Date inc]]*Sales_Data[[#This Row],[Team Inc]]*Sales_Data[[#This Row],[Rep Inc]]*Sales_Data[[#This Row],[Stage Inc]]*Sales_Data[[#This Row],[Source Inc]]</f>
        <v>1</v>
      </c>
    </row>
    <row r="363" spans="1:18" x14ac:dyDescent="0.3">
      <c r="A363" t="s">
        <v>370</v>
      </c>
      <c r="B363" s="2">
        <v>45154</v>
      </c>
      <c r="C363" t="s">
        <v>761</v>
      </c>
      <c r="D363" t="s">
        <v>765</v>
      </c>
      <c r="E363" t="s">
        <v>768</v>
      </c>
      <c r="F363" s="5">
        <v>55300</v>
      </c>
      <c r="G363" t="s">
        <v>780</v>
      </c>
      <c r="H363" s="2">
        <v>45229</v>
      </c>
      <c r="J363" t="str">
        <f>IF(Sales_Data[[#This Row],[Close Date]] &lt;&gt; 0,"Closed", "Open")</f>
        <v>Closed</v>
      </c>
      <c r="K363">
        <f>IF(Sales_Data[[#This Row],[Open/Closed]] = "Closed",Sales_Data[[#This Row],[Close Date]]-Sales_Data[[#This Row],[Created Date]],"")</f>
        <v>75</v>
      </c>
      <c r="L363" s="2">
        <f>EOMONTH(Sales_Data[[#This Row],[Created Date]],0)</f>
        <v>45169</v>
      </c>
      <c r="M363" t="b">
        <f>AND(Sales_Data[[#This Row],[EoM Created]]&gt;=Index!$E$5,Sales_Data[[#This Row],[EoM Created]]&lt;=Index!$E$4)</f>
        <v>1</v>
      </c>
      <c r="N363" t="b" cm="1">
        <f t="array" ref="N363">_xlfn.XLOOKUP(Sales_Data[[#This Row],[Sales Team]],_xlfn.ANCHORARRAY(Dashboard!$B$9),Dashboard!$D$9:$D$10,,0)</f>
        <v>1</v>
      </c>
      <c r="O363" t="b" cm="1">
        <f t="array" ref="O363">_xlfn.XLOOKUP(Sales_Data[[#This Row],[Sales Rep]],_xlfn.ANCHORARRAY(Dashboard!$B$13),Dashboard!$D$13:$D$17,,0)</f>
        <v>1</v>
      </c>
      <c r="P363" t="b" cm="1">
        <f t="array" ref="P363">_xlfn.XLOOKUP(Sales_Data[[#This Row],[Stage]],_xlfn.ANCHORARRAY(Dashboard!$B$20),Dashboard!$D$20:$D$25)</f>
        <v>1</v>
      </c>
      <c r="Q363" t="b" cm="1">
        <f t="array" ref="Q363">_xlfn.XLOOKUP(Sales_Data[[#This Row],[Lead Source]],_xlfn.ANCHORARRAY(Dashboard!$B$28),Dashboard!$D$28:$D$32)</f>
        <v>1</v>
      </c>
      <c r="R363">
        <f>Sales_Data[[#This Row],[Date inc]]*Sales_Data[[#This Row],[Team Inc]]*Sales_Data[[#This Row],[Rep Inc]]*Sales_Data[[#This Row],[Stage Inc]]*Sales_Data[[#This Row],[Source Inc]]</f>
        <v>1</v>
      </c>
    </row>
    <row r="364" spans="1:18" x14ac:dyDescent="0.3">
      <c r="A364" t="s">
        <v>371</v>
      </c>
      <c r="B364" s="2">
        <v>45518</v>
      </c>
      <c r="C364" t="s">
        <v>762</v>
      </c>
      <c r="D364" t="s">
        <v>764</v>
      </c>
      <c r="E364" t="s">
        <v>767</v>
      </c>
      <c r="F364" s="5">
        <v>38900</v>
      </c>
      <c r="G364" t="s">
        <v>781</v>
      </c>
      <c r="H364" s="2">
        <v>45603</v>
      </c>
      <c r="I364" t="s">
        <v>778</v>
      </c>
      <c r="J364" t="str">
        <f>IF(Sales_Data[[#This Row],[Close Date]] &lt;&gt; 0,"Closed", "Open")</f>
        <v>Closed</v>
      </c>
      <c r="K364">
        <f>IF(Sales_Data[[#This Row],[Open/Closed]] = "Closed",Sales_Data[[#This Row],[Close Date]]-Sales_Data[[#This Row],[Created Date]],"")</f>
        <v>85</v>
      </c>
      <c r="L364" s="2">
        <f>EOMONTH(Sales_Data[[#This Row],[Created Date]],0)</f>
        <v>45535</v>
      </c>
      <c r="M364" t="b">
        <f>AND(Sales_Data[[#This Row],[EoM Created]]&gt;=Index!$E$5,Sales_Data[[#This Row],[EoM Created]]&lt;=Index!$E$4)</f>
        <v>1</v>
      </c>
      <c r="N364" t="b" cm="1">
        <f t="array" ref="N364">_xlfn.XLOOKUP(Sales_Data[[#This Row],[Sales Team]],_xlfn.ANCHORARRAY(Dashboard!$B$9),Dashboard!$D$9:$D$10,,0)</f>
        <v>1</v>
      </c>
      <c r="O364" t="b" cm="1">
        <f t="array" ref="O364">_xlfn.XLOOKUP(Sales_Data[[#This Row],[Sales Rep]],_xlfn.ANCHORARRAY(Dashboard!$B$13),Dashboard!$D$13:$D$17,,0)</f>
        <v>1</v>
      </c>
      <c r="P364" t="b" cm="1">
        <f t="array" ref="P364">_xlfn.XLOOKUP(Sales_Data[[#This Row],[Stage]],_xlfn.ANCHORARRAY(Dashboard!$B$20),Dashboard!$D$20:$D$25)</f>
        <v>1</v>
      </c>
      <c r="Q364" t="b" cm="1">
        <f t="array" ref="Q364">_xlfn.XLOOKUP(Sales_Data[[#This Row],[Lead Source]],_xlfn.ANCHORARRAY(Dashboard!$B$28),Dashboard!$D$28:$D$32)</f>
        <v>1</v>
      </c>
      <c r="R364">
        <f>Sales_Data[[#This Row],[Date inc]]*Sales_Data[[#This Row],[Team Inc]]*Sales_Data[[#This Row],[Rep Inc]]*Sales_Data[[#This Row],[Stage Inc]]*Sales_Data[[#This Row],[Source Inc]]</f>
        <v>1</v>
      </c>
    </row>
    <row r="365" spans="1:18" x14ac:dyDescent="0.3">
      <c r="A365" t="s">
        <v>372</v>
      </c>
      <c r="B365" s="2">
        <v>44984</v>
      </c>
      <c r="C365" t="s">
        <v>762</v>
      </c>
      <c r="D365" t="s">
        <v>764</v>
      </c>
      <c r="E365" t="s">
        <v>766</v>
      </c>
      <c r="F365" s="5">
        <v>44000</v>
      </c>
      <c r="G365" t="s">
        <v>780</v>
      </c>
      <c r="H365" s="2">
        <v>45074</v>
      </c>
      <c r="J365" t="str">
        <f>IF(Sales_Data[[#This Row],[Close Date]] &lt;&gt; 0,"Closed", "Open")</f>
        <v>Closed</v>
      </c>
      <c r="K365">
        <f>IF(Sales_Data[[#This Row],[Open/Closed]] = "Closed",Sales_Data[[#This Row],[Close Date]]-Sales_Data[[#This Row],[Created Date]],"")</f>
        <v>90</v>
      </c>
      <c r="L365" s="2">
        <f>EOMONTH(Sales_Data[[#This Row],[Created Date]],0)</f>
        <v>44985</v>
      </c>
      <c r="M365" t="b">
        <f>AND(Sales_Data[[#This Row],[EoM Created]]&gt;=Index!$E$5,Sales_Data[[#This Row],[EoM Created]]&lt;=Index!$E$4)</f>
        <v>0</v>
      </c>
      <c r="N365" t="b" cm="1">
        <f t="array" ref="N365">_xlfn.XLOOKUP(Sales_Data[[#This Row],[Sales Team]],_xlfn.ANCHORARRAY(Dashboard!$B$9),Dashboard!$D$9:$D$10,,0)</f>
        <v>1</v>
      </c>
      <c r="O365" t="b" cm="1">
        <f t="array" ref="O365">_xlfn.XLOOKUP(Sales_Data[[#This Row],[Sales Rep]],_xlfn.ANCHORARRAY(Dashboard!$B$13),Dashboard!$D$13:$D$17,,0)</f>
        <v>1</v>
      </c>
      <c r="P365" t="b" cm="1">
        <f t="array" ref="P365">_xlfn.XLOOKUP(Sales_Data[[#This Row],[Stage]],_xlfn.ANCHORARRAY(Dashboard!$B$20),Dashboard!$D$20:$D$25)</f>
        <v>1</v>
      </c>
      <c r="Q365" t="b" cm="1">
        <f t="array" ref="Q365">_xlfn.XLOOKUP(Sales_Data[[#This Row],[Lead Source]],_xlfn.ANCHORARRAY(Dashboard!$B$28),Dashboard!$D$28:$D$32)</f>
        <v>1</v>
      </c>
      <c r="R365">
        <f>Sales_Data[[#This Row],[Date inc]]*Sales_Data[[#This Row],[Team Inc]]*Sales_Data[[#This Row],[Rep Inc]]*Sales_Data[[#This Row],[Stage Inc]]*Sales_Data[[#This Row],[Source Inc]]</f>
        <v>0</v>
      </c>
    </row>
    <row r="366" spans="1:18" x14ac:dyDescent="0.3">
      <c r="A366" t="s">
        <v>373</v>
      </c>
      <c r="B366" s="2">
        <v>45666</v>
      </c>
      <c r="C366" t="s">
        <v>763</v>
      </c>
      <c r="D366" t="s">
        <v>765</v>
      </c>
      <c r="E366" t="s">
        <v>769</v>
      </c>
      <c r="F366" s="5">
        <v>46900</v>
      </c>
      <c r="G366" t="s">
        <v>780</v>
      </c>
      <c r="H366" s="2">
        <v>45734</v>
      </c>
      <c r="J366" t="str">
        <f>IF(Sales_Data[[#This Row],[Close Date]] &lt;&gt; 0,"Closed", "Open")</f>
        <v>Closed</v>
      </c>
      <c r="K366">
        <f>IF(Sales_Data[[#This Row],[Open/Closed]] = "Closed",Sales_Data[[#This Row],[Close Date]]-Sales_Data[[#This Row],[Created Date]],"")</f>
        <v>68</v>
      </c>
      <c r="L366" s="2">
        <f>EOMONTH(Sales_Data[[#This Row],[Created Date]],0)</f>
        <v>45688</v>
      </c>
      <c r="M366" t="b">
        <f>AND(Sales_Data[[#This Row],[EoM Created]]&gt;=Index!$E$5,Sales_Data[[#This Row],[EoM Created]]&lt;=Index!$E$4)</f>
        <v>1</v>
      </c>
      <c r="N366" t="b" cm="1">
        <f t="array" ref="N366">_xlfn.XLOOKUP(Sales_Data[[#This Row],[Sales Team]],_xlfn.ANCHORARRAY(Dashboard!$B$9),Dashboard!$D$9:$D$10,,0)</f>
        <v>1</v>
      </c>
      <c r="O366" t="b" cm="1">
        <f t="array" ref="O366">_xlfn.XLOOKUP(Sales_Data[[#This Row],[Sales Rep]],_xlfn.ANCHORARRAY(Dashboard!$B$13),Dashboard!$D$13:$D$17,,0)</f>
        <v>1</v>
      </c>
      <c r="P366" t="b" cm="1">
        <f t="array" ref="P366">_xlfn.XLOOKUP(Sales_Data[[#This Row],[Stage]],_xlfn.ANCHORARRAY(Dashboard!$B$20),Dashboard!$D$20:$D$25)</f>
        <v>1</v>
      </c>
      <c r="Q366" t="b" cm="1">
        <f t="array" ref="Q366">_xlfn.XLOOKUP(Sales_Data[[#This Row],[Lead Source]],_xlfn.ANCHORARRAY(Dashboard!$B$28),Dashboard!$D$28:$D$32)</f>
        <v>1</v>
      </c>
      <c r="R366">
        <f>Sales_Data[[#This Row],[Date inc]]*Sales_Data[[#This Row],[Team Inc]]*Sales_Data[[#This Row],[Rep Inc]]*Sales_Data[[#This Row],[Stage Inc]]*Sales_Data[[#This Row],[Source Inc]]</f>
        <v>1</v>
      </c>
    </row>
    <row r="367" spans="1:18" x14ac:dyDescent="0.3">
      <c r="A367" t="s">
        <v>374</v>
      </c>
      <c r="B367" s="2">
        <v>44958</v>
      </c>
      <c r="C367" t="s">
        <v>762</v>
      </c>
      <c r="D367" t="s">
        <v>764</v>
      </c>
      <c r="E367" t="s">
        <v>767</v>
      </c>
      <c r="F367" s="5">
        <v>36000</v>
      </c>
      <c r="G367" t="s">
        <v>780</v>
      </c>
      <c r="H367" s="2">
        <v>45028</v>
      </c>
      <c r="J367" t="str">
        <f>IF(Sales_Data[[#This Row],[Close Date]] &lt;&gt; 0,"Closed", "Open")</f>
        <v>Closed</v>
      </c>
      <c r="K367">
        <f>IF(Sales_Data[[#This Row],[Open/Closed]] = "Closed",Sales_Data[[#This Row],[Close Date]]-Sales_Data[[#This Row],[Created Date]],"")</f>
        <v>70</v>
      </c>
      <c r="L367" s="2">
        <f>EOMONTH(Sales_Data[[#This Row],[Created Date]],0)</f>
        <v>44985</v>
      </c>
      <c r="M367" t="b">
        <f>AND(Sales_Data[[#This Row],[EoM Created]]&gt;=Index!$E$5,Sales_Data[[#This Row],[EoM Created]]&lt;=Index!$E$4)</f>
        <v>0</v>
      </c>
      <c r="N367" t="b" cm="1">
        <f t="array" ref="N367">_xlfn.XLOOKUP(Sales_Data[[#This Row],[Sales Team]],_xlfn.ANCHORARRAY(Dashboard!$B$9),Dashboard!$D$9:$D$10,,0)</f>
        <v>1</v>
      </c>
      <c r="O367" t="b" cm="1">
        <f t="array" ref="O367">_xlfn.XLOOKUP(Sales_Data[[#This Row],[Sales Rep]],_xlfn.ANCHORARRAY(Dashboard!$B$13),Dashboard!$D$13:$D$17,,0)</f>
        <v>1</v>
      </c>
      <c r="P367" t="b" cm="1">
        <f t="array" ref="P367">_xlfn.XLOOKUP(Sales_Data[[#This Row],[Stage]],_xlfn.ANCHORARRAY(Dashboard!$B$20),Dashboard!$D$20:$D$25)</f>
        <v>1</v>
      </c>
      <c r="Q367" t="b" cm="1">
        <f t="array" ref="Q367">_xlfn.XLOOKUP(Sales_Data[[#This Row],[Lead Source]],_xlfn.ANCHORARRAY(Dashboard!$B$28),Dashboard!$D$28:$D$32)</f>
        <v>1</v>
      </c>
      <c r="R367">
        <f>Sales_Data[[#This Row],[Date inc]]*Sales_Data[[#This Row],[Team Inc]]*Sales_Data[[#This Row],[Rep Inc]]*Sales_Data[[#This Row],[Stage Inc]]*Sales_Data[[#This Row],[Source Inc]]</f>
        <v>0</v>
      </c>
    </row>
    <row r="368" spans="1:18" x14ac:dyDescent="0.3">
      <c r="A368" t="s">
        <v>375</v>
      </c>
      <c r="B368" s="2">
        <v>45693</v>
      </c>
      <c r="C368" t="s">
        <v>761</v>
      </c>
      <c r="D368" t="s">
        <v>765</v>
      </c>
      <c r="E368" t="s">
        <v>768</v>
      </c>
      <c r="F368" s="5">
        <v>42200</v>
      </c>
      <c r="G368" t="s">
        <v>781</v>
      </c>
      <c r="H368" s="2">
        <v>45757</v>
      </c>
      <c r="I368" t="s">
        <v>775</v>
      </c>
      <c r="J368" t="str">
        <f>IF(Sales_Data[[#This Row],[Close Date]] &lt;&gt; 0,"Closed", "Open")</f>
        <v>Closed</v>
      </c>
      <c r="K368">
        <f>IF(Sales_Data[[#This Row],[Open/Closed]] = "Closed",Sales_Data[[#This Row],[Close Date]]-Sales_Data[[#This Row],[Created Date]],"")</f>
        <v>64</v>
      </c>
      <c r="L368" s="2">
        <f>EOMONTH(Sales_Data[[#This Row],[Created Date]],0)</f>
        <v>45716</v>
      </c>
      <c r="M368" t="b">
        <f>AND(Sales_Data[[#This Row],[EoM Created]]&gt;=Index!$E$5,Sales_Data[[#This Row],[EoM Created]]&lt;=Index!$E$4)</f>
        <v>1</v>
      </c>
      <c r="N368" t="b" cm="1">
        <f t="array" ref="N368">_xlfn.XLOOKUP(Sales_Data[[#This Row],[Sales Team]],_xlfn.ANCHORARRAY(Dashboard!$B$9),Dashboard!$D$9:$D$10,,0)</f>
        <v>1</v>
      </c>
      <c r="O368" t="b" cm="1">
        <f t="array" ref="O368">_xlfn.XLOOKUP(Sales_Data[[#This Row],[Sales Rep]],_xlfn.ANCHORARRAY(Dashboard!$B$13),Dashboard!$D$13:$D$17,,0)</f>
        <v>1</v>
      </c>
      <c r="P368" t="b" cm="1">
        <f t="array" ref="P368">_xlfn.XLOOKUP(Sales_Data[[#This Row],[Stage]],_xlfn.ANCHORARRAY(Dashboard!$B$20),Dashboard!$D$20:$D$25)</f>
        <v>1</v>
      </c>
      <c r="Q368" t="b" cm="1">
        <f t="array" ref="Q368">_xlfn.XLOOKUP(Sales_Data[[#This Row],[Lead Source]],_xlfn.ANCHORARRAY(Dashboard!$B$28),Dashboard!$D$28:$D$32)</f>
        <v>1</v>
      </c>
      <c r="R368">
        <f>Sales_Data[[#This Row],[Date inc]]*Sales_Data[[#This Row],[Team Inc]]*Sales_Data[[#This Row],[Rep Inc]]*Sales_Data[[#This Row],[Stage Inc]]*Sales_Data[[#This Row],[Source Inc]]</f>
        <v>1</v>
      </c>
    </row>
    <row r="369" spans="1:18" x14ac:dyDescent="0.3">
      <c r="A369" t="s">
        <v>376</v>
      </c>
      <c r="B369" s="2">
        <v>45272</v>
      </c>
      <c r="C369" t="s">
        <v>761</v>
      </c>
      <c r="D369" t="s">
        <v>765</v>
      </c>
      <c r="E369" t="s">
        <v>769</v>
      </c>
      <c r="F369" s="5">
        <v>40100</v>
      </c>
      <c r="G369" t="s">
        <v>781</v>
      </c>
      <c r="H369" s="2">
        <v>45348</v>
      </c>
      <c r="I369" t="s">
        <v>776</v>
      </c>
      <c r="J369" t="str">
        <f>IF(Sales_Data[[#This Row],[Close Date]] &lt;&gt; 0,"Closed", "Open")</f>
        <v>Closed</v>
      </c>
      <c r="K369">
        <f>IF(Sales_Data[[#This Row],[Open/Closed]] = "Closed",Sales_Data[[#This Row],[Close Date]]-Sales_Data[[#This Row],[Created Date]],"")</f>
        <v>76</v>
      </c>
      <c r="L369" s="2">
        <f>EOMONTH(Sales_Data[[#This Row],[Created Date]],0)</f>
        <v>45291</v>
      </c>
      <c r="M369" t="b">
        <f>AND(Sales_Data[[#This Row],[EoM Created]]&gt;=Index!$E$5,Sales_Data[[#This Row],[EoM Created]]&lt;=Index!$E$4)</f>
        <v>1</v>
      </c>
      <c r="N369" t="b" cm="1">
        <f t="array" ref="N369">_xlfn.XLOOKUP(Sales_Data[[#This Row],[Sales Team]],_xlfn.ANCHORARRAY(Dashboard!$B$9),Dashboard!$D$9:$D$10,,0)</f>
        <v>1</v>
      </c>
      <c r="O369" t="b" cm="1">
        <f t="array" ref="O369">_xlfn.XLOOKUP(Sales_Data[[#This Row],[Sales Rep]],_xlfn.ANCHORARRAY(Dashboard!$B$13),Dashboard!$D$13:$D$17,,0)</f>
        <v>1</v>
      </c>
      <c r="P369" t="b" cm="1">
        <f t="array" ref="P369">_xlfn.XLOOKUP(Sales_Data[[#This Row],[Stage]],_xlfn.ANCHORARRAY(Dashboard!$B$20),Dashboard!$D$20:$D$25)</f>
        <v>1</v>
      </c>
      <c r="Q369" t="b" cm="1">
        <f t="array" ref="Q369">_xlfn.XLOOKUP(Sales_Data[[#This Row],[Lead Source]],_xlfn.ANCHORARRAY(Dashboard!$B$28),Dashboard!$D$28:$D$32)</f>
        <v>1</v>
      </c>
      <c r="R369">
        <f>Sales_Data[[#This Row],[Date inc]]*Sales_Data[[#This Row],[Team Inc]]*Sales_Data[[#This Row],[Rep Inc]]*Sales_Data[[#This Row],[Stage Inc]]*Sales_Data[[#This Row],[Source Inc]]</f>
        <v>1</v>
      </c>
    </row>
    <row r="370" spans="1:18" x14ac:dyDescent="0.3">
      <c r="A370" t="s">
        <v>377</v>
      </c>
      <c r="B370" s="2">
        <v>45171</v>
      </c>
      <c r="C370" t="s">
        <v>759</v>
      </c>
      <c r="D370" t="s">
        <v>764</v>
      </c>
      <c r="E370" t="s">
        <v>766</v>
      </c>
      <c r="F370" s="5">
        <v>41000</v>
      </c>
      <c r="G370" t="s">
        <v>781</v>
      </c>
      <c r="H370" s="2">
        <v>45249</v>
      </c>
      <c r="I370" t="s">
        <v>775</v>
      </c>
      <c r="J370" t="str">
        <f>IF(Sales_Data[[#This Row],[Close Date]] &lt;&gt; 0,"Closed", "Open")</f>
        <v>Closed</v>
      </c>
      <c r="K370">
        <f>IF(Sales_Data[[#This Row],[Open/Closed]] = "Closed",Sales_Data[[#This Row],[Close Date]]-Sales_Data[[#This Row],[Created Date]],"")</f>
        <v>78</v>
      </c>
      <c r="L370" s="2">
        <f>EOMONTH(Sales_Data[[#This Row],[Created Date]],0)</f>
        <v>45199</v>
      </c>
      <c r="M370" t="b">
        <f>AND(Sales_Data[[#This Row],[EoM Created]]&gt;=Index!$E$5,Sales_Data[[#This Row],[EoM Created]]&lt;=Index!$E$4)</f>
        <v>1</v>
      </c>
      <c r="N370" t="b" cm="1">
        <f t="array" ref="N370">_xlfn.XLOOKUP(Sales_Data[[#This Row],[Sales Team]],_xlfn.ANCHORARRAY(Dashboard!$B$9),Dashboard!$D$9:$D$10,,0)</f>
        <v>1</v>
      </c>
      <c r="O370" t="b" cm="1">
        <f t="array" ref="O370">_xlfn.XLOOKUP(Sales_Data[[#This Row],[Sales Rep]],_xlfn.ANCHORARRAY(Dashboard!$B$13),Dashboard!$D$13:$D$17,,0)</f>
        <v>1</v>
      </c>
      <c r="P370" t="b" cm="1">
        <f t="array" ref="P370">_xlfn.XLOOKUP(Sales_Data[[#This Row],[Stage]],_xlfn.ANCHORARRAY(Dashboard!$B$20),Dashboard!$D$20:$D$25)</f>
        <v>1</v>
      </c>
      <c r="Q370" t="b" cm="1">
        <f t="array" ref="Q370">_xlfn.XLOOKUP(Sales_Data[[#This Row],[Lead Source]],_xlfn.ANCHORARRAY(Dashboard!$B$28),Dashboard!$D$28:$D$32)</f>
        <v>1</v>
      </c>
      <c r="R370">
        <f>Sales_Data[[#This Row],[Date inc]]*Sales_Data[[#This Row],[Team Inc]]*Sales_Data[[#This Row],[Rep Inc]]*Sales_Data[[#This Row],[Stage Inc]]*Sales_Data[[#This Row],[Source Inc]]</f>
        <v>1</v>
      </c>
    </row>
    <row r="371" spans="1:18" x14ac:dyDescent="0.3">
      <c r="A371" t="s">
        <v>378</v>
      </c>
      <c r="B371" s="2">
        <v>45592</v>
      </c>
      <c r="C371" t="s">
        <v>760</v>
      </c>
      <c r="D371" t="s">
        <v>764</v>
      </c>
      <c r="E371" t="s">
        <v>767</v>
      </c>
      <c r="F371" s="5">
        <v>32300</v>
      </c>
      <c r="G371" t="s">
        <v>781</v>
      </c>
      <c r="H371" s="2">
        <v>45667</v>
      </c>
      <c r="I371" t="s">
        <v>779</v>
      </c>
      <c r="J371" t="str">
        <f>IF(Sales_Data[[#This Row],[Close Date]] &lt;&gt; 0,"Closed", "Open")</f>
        <v>Closed</v>
      </c>
      <c r="K371">
        <f>IF(Sales_Data[[#This Row],[Open/Closed]] = "Closed",Sales_Data[[#This Row],[Close Date]]-Sales_Data[[#This Row],[Created Date]],"")</f>
        <v>75</v>
      </c>
      <c r="L371" s="2">
        <f>EOMONTH(Sales_Data[[#This Row],[Created Date]],0)</f>
        <v>45596</v>
      </c>
      <c r="M371" t="b">
        <f>AND(Sales_Data[[#This Row],[EoM Created]]&gt;=Index!$E$5,Sales_Data[[#This Row],[EoM Created]]&lt;=Index!$E$4)</f>
        <v>1</v>
      </c>
      <c r="N371" t="b" cm="1">
        <f t="array" ref="N371">_xlfn.XLOOKUP(Sales_Data[[#This Row],[Sales Team]],_xlfn.ANCHORARRAY(Dashboard!$B$9),Dashboard!$D$9:$D$10,,0)</f>
        <v>1</v>
      </c>
      <c r="O371" t="b" cm="1">
        <f t="array" ref="O371">_xlfn.XLOOKUP(Sales_Data[[#This Row],[Sales Rep]],_xlfn.ANCHORARRAY(Dashboard!$B$13),Dashboard!$D$13:$D$17,,0)</f>
        <v>1</v>
      </c>
      <c r="P371" t="b" cm="1">
        <f t="array" ref="P371">_xlfn.XLOOKUP(Sales_Data[[#This Row],[Stage]],_xlfn.ANCHORARRAY(Dashboard!$B$20),Dashboard!$D$20:$D$25)</f>
        <v>1</v>
      </c>
      <c r="Q371" t="b" cm="1">
        <f t="array" ref="Q371">_xlfn.XLOOKUP(Sales_Data[[#This Row],[Lead Source]],_xlfn.ANCHORARRAY(Dashboard!$B$28),Dashboard!$D$28:$D$32)</f>
        <v>1</v>
      </c>
      <c r="R371">
        <f>Sales_Data[[#This Row],[Date inc]]*Sales_Data[[#This Row],[Team Inc]]*Sales_Data[[#This Row],[Rep Inc]]*Sales_Data[[#This Row],[Stage Inc]]*Sales_Data[[#This Row],[Source Inc]]</f>
        <v>1</v>
      </c>
    </row>
    <row r="372" spans="1:18" x14ac:dyDescent="0.3">
      <c r="A372" t="s">
        <v>379</v>
      </c>
      <c r="B372" s="2">
        <v>44986</v>
      </c>
      <c r="C372" t="s">
        <v>761</v>
      </c>
      <c r="D372" t="s">
        <v>765</v>
      </c>
      <c r="E372" t="s">
        <v>770</v>
      </c>
      <c r="F372" s="5">
        <v>40200</v>
      </c>
      <c r="G372" t="s">
        <v>781</v>
      </c>
      <c r="H372" s="2">
        <v>45048</v>
      </c>
      <c r="I372" t="s">
        <v>779</v>
      </c>
      <c r="J372" t="str">
        <f>IF(Sales_Data[[#This Row],[Close Date]] &lt;&gt; 0,"Closed", "Open")</f>
        <v>Closed</v>
      </c>
      <c r="K372">
        <f>IF(Sales_Data[[#This Row],[Open/Closed]] = "Closed",Sales_Data[[#This Row],[Close Date]]-Sales_Data[[#This Row],[Created Date]],"")</f>
        <v>62</v>
      </c>
      <c r="L372" s="2">
        <f>EOMONTH(Sales_Data[[#This Row],[Created Date]],0)</f>
        <v>45016</v>
      </c>
      <c r="M372" t="b">
        <f>AND(Sales_Data[[#This Row],[EoM Created]]&gt;=Index!$E$5,Sales_Data[[#This Row],[EoM Created]]&lt;=Index!$E$4)</f>
        <v>0</v>
      </c>
      <c r="N372" t="b" cm="1">
        <f t="array" ref="N372">_xlfn.XLOOKUP(Sales_Data[[#This Row],[Sales Team]],_xlfn.ANCHORARRAY(Dashboard!$B$9),Dashboard!$D$9:$D$10,,0)</f>
        <v>1</v>
      </c>
      <c r="O372" t="b" cm="1">
        <f t="array" ref="O372">_xlfn.XLOOKUP(Sales_Data[[#This Row],[Sales Rep]],_xlfn.ANCHORARRAY(Dashboard!$B$13),Dashboard!$D$13:$D$17,,0)</f>
        <v>1</v>
      </c>
      <c r="P372" t="b" cm="1">
        <f t="array" ref="P372">_xlfn.XLOOKUP(Sales_Data[[#This Row],[Stage]],_xlfn.ANCHORARRAY(Dashboard!$B$20),Dashboard!$D$20:$D$25)</f>
        <v>1</v>
      </c>
      <c r="Q372" t="b" cm="1">
        <f t="array" ref="Q372">_xlfn.XLOOKUP(Sales_Data[[#This Row],[Lead Source]],_xlfn.ANCHORARRAY(Dashboard!$B$28),Dashboard!$D$28:$D$32)</f>
        <v>1</v>
      </c>
      <c r="R372">
        <f>Sales_Data[[#This Row],[Date inc]]*Sales_Data[[#This Row],[Team Inc]]*Sales_Data[[#This Row],[Rep Inc]]*Sales_Data[[#This Row],[Stage Inc]]*Sales_Data[[#This Row],[Source Inc]]</f>
        <v>0</v>
      </c>
    </row>
    <row r="373" spans="1:18" x14ac:dyDescent="0.3">
      <c r="A373" t="s">
        <v>380</v>
      </c>
      <c r="B373" s="2">
        <v>45632</v>
      </c>
      <c r="C373" t="s">
        <v>760</v>
      </c>
      <c r="D373" t="s">
        <v>764</v>
      </c>
      <c r="E373" t="s">
        <v>767</v>
      </c>
      <c r="F373" s="5">
        <v>45000</v>
      </c>
      <c r="G373" t="s">
        <v>780</v>
      </c>
      <c r="H373" s="2">
        <v>45698</v>
      </c>
      <c r="J373" t="str">
        <f>IF(Sales_Data[[#This Row],[Close Date]] &lt;&gt; 0,"Closed", "Open")</f>
        <v>Closed</v>
      </c>
      <c r="K373">
        <f>IF(Sales_Data[[#This Row],[Open/Closed]] = "Closed",Sales_Data[[#This Row],[Close Date]]-Sales_Data[[#This Row],[Created Date]],"")</f>
        <v>66</v>
      </c>
      <c r="L373" s="2">
        <f>EOMONTH(Sales_Data[[#This Row],[Created Date]],0)</f>
        <v>45657</v>
      </c>
      <c r="M373" t="b">
        <f>AND(Sales_Data[[#This Row],[EoM Created]]&gt;=Index!$E$5,Sales_Data[[#This Row],[EoM Created]]&lt;=Index!$E$4)</f>
        <v>1</v>
      </c>
      <c r="N373" t="b" cm="1">
        <f t="array" ref="N373">_xlfn.XLOOKUP(Sales_Data[[#This Row],[Sales Team]],_xlfn.ANCHORARRAY(Dashboard!$B$9),Dashboard!$D$9:$D$10,,0)</f>
        <v>1</v>
      </c>
      <c r="O373" t="b" cm="1">
        <f t="array" ref="O373">_xlfn.XLOOKUP(Sales_Data[[#This Row],[Sales Rep]],_xlfn.ANCHORARRAY(Dashboard!$B$13),Dashboard!$D$13:$D$17,,0)</f>
        <v>1</v>
      </c>
      <c r="P373" t="b" cm="1">
        <f t="array" ref="P373">_xlfn.XLOOKUP(Sales_Data[[#This Row],[Stage]],_xlfn.ANCHORARRAY(Dashboard!$B$20),Dashboard!$D$20:$D$25)</f>
        <v>1</v>
      </c>
      <c r="Q373" t="b" cm="1">
        <f t="array" ref="Q373">_xlfn.XLOOKUP(Sales_Data[[#This Row],[Lead Source]],_xlfn.ANCHORARRAY(Dashboard!$B$28),Dashboard!$D$28:$D$32)</f>
        <v>1</v>
      </c>
      <c r="R373">
        <f>Sales_Data[[#This Row],[Date inc]]*Sales_Data[[#This Row],[Team Inc]]*Sales_Data[[#This Row],[Rep Inc]]*Sales_Data[[#This Row],[Stage Inc]]*Sales_Data[[#This Row],[Source Inc]]</f>
        <v>1</v>
      </c>
    </row>
    <row r="374" spans="1:18" x14ac:dyDescent="0.3">
      <c r="A374" t="s">
        <v>381</v>
      </c>
      <c r="B374" s="2">
        <v>44952</v>
      </c>
      <c r="C374" t="s">
        <v>760</v>
      </c>
      <c r="D374" t="s">
        <v>764</v>
      </c>
      <c r="E374" t="s">
        <v>767</v>
      </c>
      <c r="F374" s="5">
        <v>54500</v>
      </c>
      <c r="G374" t="s">
        <v>781</v>
      </c>
      <c r="H374" s="2">
        <v>45038</v>
      </c>
      <c r="I374" t="s">
        <v>778</v>
      </c>
      <c r="J374" t="str">
        <f>IF(Sales_Data[[#This Row],[Close Date]] &lt;&gt; 0,"Closed", "Open")</f>
        <v>Closed</v>
      </c>
      <c r="K374">
        <f>IF(Sales_Data[[#This Row],[Open/Closed]] = "Closed",Sales_Data[[#This Row],[Close Date]]-Sales_Data[[#This Row],[Created Date]],"")</f>
        <v>86</v>
      </c>
      <c r="L374" s="2">
        <f>EOMONTH(Sales_Data[[#This Row],[Created Date]],0)</f>
        <v>44957</v>
      </c>
      <c r="M374" t="b">
        <f>AND(Sales_Data[[#This Row],[EoM Created]]&gt;=Index!$E$5,Sales_Data[[#This Row],[EoM Created]]&lt;=Index!$E$4)</f>
        <v>0</v>
      </c>
      <c r="N374" t="b" cm="1">
        <f t="array" ref="N374">_xlfn.XLOOKUP(Sales_Data[[#This Row],[Sales Team]],_xlfn.ANCHORARRAY(Dashboard!$B$9),Dashboard!$D$9:$D$10,,0)</f>
        <v>1</v>
      </c>
      <c r="O374" t="b" cm="1">
        <f t="array" ref="O374">_xlfn.XLOOKUP(Sales_Data[[#This Row],[Sales Rep]],_xlfn.ANCHORARRAY(Dashboard!$B$13),Dashboard!$D$13:$D$17,,0)</f>
        <v>1</v>
      </c>
      <c r="P374" t="b" cm="1">
        <f t="array" ref="P374">_xlfn.XLOOKUP(Sales_Data[[#This Row],[Stage]],_xlfn.ANCHORARRAY(Dashboard!$B$20),Dashboard!$D$20:$D$25)</f>
        <v>1</v>
      </c>
      <c r="Q374" t="b" cm="1">
        <f t="array" ref="Q374">_xlfn.XLOOKUP(Sales_Data[[#This Row],[Lead Source]],_xlfn.ANCHORARRAY(Dashboard!$B$28),Dashboard!$D$28:$D$32)</f>
        <v>1</v>
      </c>
      <c r="R374">
        <f>Sales_Data[[#This Row],[Date inc]]*Sales_Data[[#This Row],[Team Inc]]*Sales_Data[[#This Row],[Rep Inc]]*Sales_Data[[#This Row],[Stage Inc]]*Sales_Data[[#This Row],[Source Inc]]</f>
        <v>0</v>
      </c>
    </row>
    <row r="375" spans="1:18" x14ac:dyDescent="0.3">
      <c r="A375" t="s">
        <v>382</v>
      </c>
      <c r="B375" s="2">
        <v>44991</v>
      </c>
      <c r="C375" t="s">
        <v>762</v>
      </c>
      <c r="D375" t="s">
        <v>764</v>
      </c>
      <c r="E375" t="s">
        <v>766</v>
      </c>
      <c r="F375" s="5">
        <v>49600</v>
      </c>
      <c r="G375" t="s">
        <v>781</v>
      </c>
      <c r="H375" s="2">
        <v>45068</v>
      </c>
      <c r="I375" t="s">
        <v>776</v>
      </c>
      <c r="J375" t="str">
        <f>IF(Sales_Data[[#This Row],[Close Date]] &lt;&gt; 0,"Closed", "Open")</f>
        <v>Closed</v>
      </c>
      <c r="K375">
        <f>IF(Sales_Data[[#This Row],[Open/Closed]] = "Closed",Sales_Data[[#This Row],[Close Date]]-Sales_Data[[#This Row],[Created Date]],"")</f>
        <v>77</v>
      </c>
      <c r="L375" s="2">
        <f>EOMONTH(Sales_Data[[#This Row],[Created Date]],0)</f>
        <v>45016</v>
      </c>
      <c r="M375" t="b">
        <f>AND(Sales_Data[[#This Row],[EoM Created]]&gt;=Index!$E$5,Sales_Data[[#This Row],[EoM Created]]&lt;=Index!$E$4)</f>
        <v>0</v>
      </c>
      <c r="N375" t="b" cm="1">
        <f t="array" ref="N375">_xlfn.XLOOKUP(Sales_Data[[#This Row],[Sales Team]],_xlfn.ANCHORARRAY(Dashboard!$B$9),Dashboard!$D$9:$D$10,,0)</f>
        <v>1</v>
      </c>
      <c r="O375" t="b" cm="1">
        <f t="array" ref="O375">_xlfn.XLOOKUP(Sales_Data[[#This Row],[Sales Rep]],_xlfn.ANCHORARRAY(Dashboard!$B$13),Dashboard!$D$13:$D$17,,0)</f>
        <v>1</v>
      </c>
      <c r="P375" t="b" cm="1">
        <f t="array" ref="P375">_xlfn.XLOOKUP(Sales_Data[[#This Row],[Stage]],_xlfn.ANCHORARRAY(Dashboard!$B$20),Dashboard!$D$20:$D$25)</f>
        <v>1</v>
      </c>
      <c r="Q375" t="b" cm="1">
        <f t="array" ref="Q375">_xlfn.XLOOKUP(Sales_Data[[#This Row],[Lead Source]],_xlfn.ANCHORARRAY(Dashboard!$B$28),Dashboard!$D$28:$D$32)</f>
        <v>1</v>
      </c>
      <c r="R375">
        <f>Sales_Data[[#This Row],[Date inc]]*Sales_Data[[#This Row],[Team Inc]]*Sales_Data[[#This Row],[Rep Inc]]*Sales_Data[[#This Row],[Stage Inc]]*Sales_Data[[#This Row],[Source Inc]]</f>
        <v>0</v>
      </c>
    </row>
    <row r="376" spans="1:18" x14ac:dyDescent="0.3">
      <c r="A376" t="s">
        <v>383</v>
      </c>
      <c r="B376" s="2">
        <v>45404</v>
      </c>
      <c r="C376" t="s">
        <v>759</v>
      </c>
      <c r="D376" t="s">
        <v>764</v>
      </c>
      <c r="E376" t="s">
        <v>767</v>
      </c>
      <c r="F376" s="5">
        <v>61500</v>
      </c>
      <c r="G376" t="s">
        <v>780</v>
      </c>
      <c r="H376" s="2">
        <v>45468</v>
      </c>
      <c r="J376" t="str">
        <f>IF(Sales_Data[[#This Row],[Close Date]] &lt;&gt; 0,"Closed", "Open")</f>
        <v>Closed</v>
      </c>
      <c r="K376">
        <f>IF(Sales_Data[[#This Row],[Open/Closed]] = "Closed",Sales_Data[[#This Row],[Close Date]]-Sales_Data[[#This Row],[Created Date]],"")</f>
        <v>64</v>
      </c>
      <c r="L376" s="2">
        <f>EOMONTH(Sales_Data[[#This Row],[Created Date]],0)</f>
        <v>45412</v>
      </c>
      <c r="M376" t="b">
        <f>AND(Sales_Data[[#This Row],[EoM Created]]&gt;=Index!$E$5,Sales_Data[[#This Row],[EoM Created]]&lt;=Index!$E$4)</f>
        <v>1</v>
      </c>
      <c r="N376" t="b" cm="1">
        <f t="array" ref="N376">_xlfn.XLOOKUP(Sales_Data[[#This Row],[Sales Team]],_xlfn.ANCHORARRAY(Dashboard!$B$9),Dashboard!$D$9:$D$10,,0)</f>
        <v>1</v>
      </c>
      <c r="O376" t="b" cm="1">
        <f t="array" ref="O376">_xlfn.XLOOKUP(Sales_Data[[#This Row],[Sales Rep]],_xlfn.ANCHORARRAY(Dashboard!$B$13),Dashboard!$D$13:$D$17,,0)</f>
        <v>1</v>
      </c>
      <c r="P376" t="b" cm="1">
        <f t="array" ref="P376">_xlfn.XLOOKUP(Sales_Data[[#This Row],[Stage]],_xlfn.ANCHORARRAY(Dashboard!$B$20),Dashboard!$D$20:$D$25)</f>
        <v>1</v>
      </c>
      <c r="Q376" t="b" cm="1">
        <f t="array" ref="Q376">_xlfn.XLOOKUP(Sales_Data[[#This Row],[Lead Source]],_xlfn.ANCHORARRAY(Dashboard!$B$28),Dashboard!$D$28:$D$32)</f>
        <v>1</v>
      </c>
      <c r="R376">
        <f>Sales_Data[[#This Row],[Date inc]]*Sales_Data[[#This Row],[Team Inc]]*Sales_Data[[#This Row],[Rep Inc]]*Sales_Data[[#This Row],[Stage Inc]]*Sales_Data[[#This Row],[Source Inc]]</f>
        <v>1</v>
      </c>
    </row>
    <row r="377" spans="1:18" x14ac:dyDescent="0.3">
      <c r="A377" t="s">
        <v>384</v>
      </c>
      <c r="B377" s="2">
        <v>45330</v>
      </c>
      <c r="C377" t="s">
        <v>759</v>
      </c>
      <c r="D377" t="s">
        <v>764</v>
      </c>
      <c r="E377" t="s">
        <v>767</v>
      </c>
      <c r="F377" s="5">
        <v>32300</v>
      </c>
      <c r="G377" t="s">
        <v>781</v>
      </c>
      <c r="H377" s="2">
        <v>45405</v>
      </c>
      <c r="I377" t="s">
        <v>778</v>
      </c>
      <c r="J377" t="str">
        <f>IF(Sales_Data[[#This Row],[Close Date]] &lt;&gt; 0,"Closed", "Open")</f>
        <v>Closed</v>
      </c>
      <c r="K377">
        <f>IF(Sales_Data[[#This Row],[Open/Closed]] = "Closed",Sales_Data[[#This Row],[Close Date]]-Sales_Data[[#This Row],[Created Date]],"")</f>
        <v>75</v>
      </c>
      <c r="L377" s="2">
        <f>EOMONTH(Sales_Data[[#This Row],[Created Date]],0)</f>
        <v>45351</v>
      </c>
      <c r="M377" t="b">
        <f>AND(Sales_Data[[#This Row],[EoM Created]]&gt;=Index!$E$5,Sales_Data[[#This Row],[EoM Created]]&lt;=Index!$E$4)</f>
        <v>1</v>
      </c>
      <c r="N377" t="b" cm="1">
        <f t="array" ref="N377">_xlfn.XLOOKUP(Sales_Data[[#This Row],[Sales Team]],_xlfn.ANCHORARRAY(Dashboard!$B$9),Dashboard!$D$9:$D$10,,0)</f>
        <v>1</v>
      </c>
      <c r="O377" t="b" cm="1">
        <f t="array" ref="O377">_xlfn.XLOOKUP(Sales_Data[[#This Row],[Sales Rep]],_xlfn.ANCHORARRAY(Dashboard!$B$13),Dashboard!$D$13:$D$17,,0)</f>
        <v>1</v>
      </c>
      <c r="P377" t="b" cm="1">
        <f t="array" ref="P377">_xlfn.XLOOKUP(Sales_Data[[#This Row],[Stage]],_xlfn.ANCHORARRAY(Dashboard!$B$20),Dashboard!$D$20:$D$25)</f>
        <v>1</v>
      </c>
      <c r="Q377" t="b" cm="1">
        <f t="array" ref="Q377">_xlfn.XLOOKUP(Sales_Data[[#This Row],[Lead Source]],_xlfn.ANCHORARRAY(Dashboard!$B$28),Dashboard!$D$28:$D$32)</f>
        <v>1</v>
      </c>
      <c r="R377">
        <f>Sales_Data[[#This Row],[Date inc]]*Sales_Data[[#This Row],[Team Inc]]*Sales_Data[[#This Row],[Rep Inc]]*Sales_Data[[#This Row],[Stage Inc]]*Sales_Data[[#This Row],[Source Inc]]</f>
        <v>1</v>
      </c>
    </row>
    <row r="378" spans="1:18" x14ac:dyDescent="0.3">
      <c r="A378" t="s">
        <v>385</v>
      </c>
      <c r="B378" s="2">
        <v>45643</v>
      </c>
      <c r="C378" t="s">
        <v>760</v>
      </c>
      <c r="D378" t="s">
        <v>764</v>
      </c>
      <c r="E378" t="s">
        <v>767</v>
      </c>
      <c r="F378" s="5">
        <v>48700</v>
      </c>
      <c r="G378" t="s">
        <v>781</v>
      </c>
      <c r="H378" s="2">
        <v>45720</v>
      </c>
      <c r="I378" t="s">
        <v>775</v>
      </c>
      <c r="J378" t="str">
        <f>IF(Sales_Data[[#This Row],[Close Date]] &lt;&gt; 0,"Closed", "Open")</f>
        <v>Closed</v>
      </c>
      <c r="K378">
        <f>IF(Sales_Data[[#This Row],[Open/Closed]] = "Closed",Sales_Data[[#This Row],[Close Date]]-Sales_Data[[#This Row],[Created Date]],"")</f>
        <v>77</v>
      </c>
      <c r="L378" s="2">
        <f>EOMONTH(Sales_Data[[#This Row],[Created Date]],0)</f>
        <v>45657</v>
      </c>
      <c r="M378" t="b">
        <f>AND(Sales_Data[[#This Row],[EoM Created]]&gt;=Index!$E$5,Sales_Data[[#This Row],[EoM Created]]&lt;=Index!$E$4)</f>
        <v>1</v>
      </c>
      <c r="N378" t="b" cm="1">
        <f t="array" ref="N378">_xlfn.XLOOKUP(Sales_Data[[#This Row],[Sales Team]],_xlfn.ANCHORARRAY(Dashboard!$B$9),Dashboard!$D$9:$D$10,,0)</f>
        <v>1</v>
      </c>
      <c r="O378" t="b" cm="1">
        <f t="array" ref="O378">_xlfn.XLOOKUP(Sales_Data[[#This Row],[Sales Rep]],_xlfn.ANCHORARRAY(Dashboard!$B$13),Dashboard!$D$13:$D$17,,0)</f>
        <v>1</v>
      </c>
      <c r="P378" t="b" cm="1">
        <f t="array" ref="P378">_xlfn.XLOOKUP(Sales_Data[[#This Row],[Stage]],_xlfn.ANCHORARRAY(Dashboard!$B$20),Dashboard!$D$20:$D$25)</f>
        <v>1</v>
      </c>
      <c r="Q378" t="b" cm="1">
        <f t="array" ref="Q378">_xlfn.XLOOKUP(Sales_Data[[#This Row],[Lead Source]],_xlfn.ANCHORARRAY(Dashboard!$B$28),Dashboard!$D$28:$D$32)</f>
        <v>1</v>
      </c>
      <c r="R378">
        <f>Sales_Data[[#This Row],[Date inc]]*Sales_Data[[#This Row],[Team Inc]]*Sales_Data[[#This Row],[Rep Inc]]*Sales_Data[[#This Row],[Stage Inc]]*Sales_Data[[#This Row],[Source Inc]]</f>
        <v>1</v>
      </c>
    </row>
    <row r="379" spans="1:18" x14ac:dyDescent="0.3">
      <c r="A379" t="s">
        <v>386</v>
      </c>
      <c r="B379" s="2">
        <v>45829</v>
      </c>
      <c r="C379" t="s">
        <v>759</v>
      </c>
      <c r="D379" t="s">
        <v>764</v>
      </c>
      <c r="E379" t="s">
        <v>766</v>
      </c>
      <c r="F379" s="5">
        <v>41800</v>
      </c>
      <c r="G379" t="s">
        <v>773</v>
      </c>
      <c r="H379" s="2"/>
      <c r="J379" t="str">
        <f>IF(Sales_Data[[#This Row],[Close Date]] &lt;&gt; 0,"Closed", "Open")</f>
        <v>Open</v>
      </c>
      <c r="K379" t="str">
        <f>IF(Sales_Data[[#This Row],[Open/Closed]] = "Closed",Sales_Data[[#This Row],[Close Date]]-Sales_Data[[#This Row],[Created Date]],"")</f>
        <v/>
      </c>
      <c r="L379" s="2">
        <f>EOMONTH(Sales_Data[[#This Row],[Created Date]],0)</f>
        <v>45838</v>
      </c>
      <c r="M379" t="b">
        <f>AND(Sales_Data[[#This Row],[EoM Created]]&gt;=Index!$E$5,Sales_Data[[#This Row],[EoM Created]]&lt;=Index!$E$4)</f>
        <v>1</v>
      </c>
      <c r="N379" t="b" cm="1">
        <f t="array" ref="N379">_xlfn.XLOOKUP(Sales_Data[[#This Row],[Sales Team]],_xlfn.ANCHORARRAY(Dashboard!$B$9),Dashboard!$D$9:$D$10,,0)</f>
        <v>1</v>
      </c>
      <c r="O379" t="b" cm="1">
        <f t="array" ref="O379">_xlfn.XLOOKUP(Sales_Data[[#This Row],[Sales Rep]],_xlfn.ANCHORARRAY(Dashboard!$B$13),Dashboard!$D$13:$D$17,,0)</f>
        <v>1</v>
      </c>
      <c r="P379" t="b" cm="1">
        <f t="array" ref="P379">_xlfn.XLOOKUP(Sales_Data[[#This Row],[Stage]],_xlfn.ANCHORARRAY(Dashboard!$B$20),Dashboard!$D$20:$D$25)</f>
        <v>1</v>
      </c>
      <c r="Q379" t="b" cm="1">
        <f t="array" ref="Q379">_xlfn.XLOOKUP(Sales_Data[[#This Row],[Lead Source]],_xlfn.ANCHORARRAY(Dashboard!$B$28),Dashboard!$D$28:$D$32)</f>
        <v>1</v>
      </c>
      <c r="R379">
        <f>Sales_Data[[#This Row],[Date inc]]*Sales_Data[[#This Row],[Team Inc]]*Sales_Data[[#This Row],[Rep Inc]]*Sales_Data[[#This Row],[Stage Inc]]*Sales_Data[[#This Row],[Source Inc]]</f>
        <v>1</v>
      </c>
    </row>
    <row r="380" spans="1:18" x14ac:dyDescent="0.3">
      <c r="A380" t="s">
        <v>387</v>
      </c>
      <c r="B380" s="2">
        <v>45412</v>
      </c>
      <c r="C380" t="s">
        <v>762</v>
      </c>
      <c r="D380" t="s">
        <v>764</v>
      </c>
      <c r="E380" t="s">
        <v>767</v>
      </c>
      <c r="F380" s="5">
        <v>61900</v>
      </c>
      <c r="G380" t="s">
        <v>781</v>
      </c>
      <c r="H380" s="2">
        <v>45477</v>
      </c>
      <c r="I380" t="s">
        <v>778</v>
      </c>
      <c r="J380" t="str">
        <f>IF(Sales_Data[[#This Row],[Close Date]] &lt;&gt; 0,"Closed", "Open")</f>
        <v>Closed</v>
      </c>
      <c r="K380">
        <f>IF(Sales_Data[[#This Row],[Open/Closed]] = "Closed",Sales_Data[[#This Row],[Close Date]]-Sales_Data[[#This Row],[Created Date]],"")</f>
        <v>65</v>
      </c>
      <c r="L380" s="2">
        <f>EOMONTH(Sales_Data[[#This Row],[Created Date]],0)</f>
        <v>45412</v>
      </c>
      <c r="M380" t="b">
        <f>AND(Sales_Data[[#This Row],[EoM Created]]&gt;=Index!$E$5,Sales_Data[[#This Row],[EoM Created]]&lt;=Index!$E$4)</f>
        <v>1</v>
      </c>
      <c r="N380" t="b" cm="1">
        <f t="array" ref="N380">_xlfn.XLOOKUP(Sales_Data[[#This Row],[Sales Team]],_xlfn.ANCHORARRAY(Dashboard!$B$9),Dashboard!$D$9:$D$10,,0)</f>
        <v>1</v>
      </c>
      <c r="O380" t="b" cm="1">
        <f t="array" ref="O380">_xlfn.XLOOKUP(Sales_Data[[#This Row],[Sales Rep]],_xlfn.ANCHORARRAY(Dashboard!$B$13),Dashboard!$D$13:$D$17,,0)</f>
        <v>1</v>
      </c>
      <c r="P380" t="b" cm="1">
        <f t="array" ref="P380">_xlfn.XLOOKUP(Sales_Data[[#This Row],[Stage]],_xlfn.ANCHORARRAY(Dashboard!$B$20),Dashboard!$D$20:$D$25)</f>
        <v>1</v>
      </c>
      <c r="Q380" t="b" cm="1">
        <f t="array" ref="Q380">_xlfn.XLOOKUP(Sales_Data[[#This Row],[Lead Source]],_xlfn.ANCHORARRAY(Dashboard!$B$28),Dashboard!$D$28:$D$32)</f>
        <v>1</v>
      </c>
      <c r="R380">
        <f>Sales_Data[[#This Row],[Date inc]]*Sales_Data[[#This Row],[Team Inc]]*Sales_Data[[#This Row],[Rep Inc]]*Sales_Data[[#This Row],[Stage Inc]]*Sales_Data[[#This Row],[Source Inc]]</f>
        <v>1</v>
      </c>
    </row>
    <row r="381" spans="1:18" x14ac:dyDescent="0.3">
      <c r="A381" t="s">
        <v>388</v>
      </c>
      <c r="B381" s="2">
        <v>45751</v>
      </c>
      <c r="C381" t="s">
        <v>759</v>
      </c>
      <c r="D381" t="s">
        <v>764</v>
      </c>
      <c r="E381" t="s">
        <v>767</v>
      </c>
      <c r="F381" s="5">
        <v>31900</v>
      </c>
      <c r="G381" t="s">
        <v>773</v>
      </c>
      <c r="H381" s="2"/>
      <c r="J381" t="str">
        <f>IF(Sales_Data[[#This Row],[Close Date]] &lt;&gt; 0,"Closed", "Open")</f>
        <v>Open</v>
      </c>
      <c r="K381" t="str">
        <f>IF(Sales_Data[[#This Row],[Open/Closed]] = "Closed",Sales_Data[[#This Row],[Close Date]]-Sales_Data[[#This Row],[Created Date]],"")</f>
        <v/>
      </c>
      <c r="L381" s="2">
        <f>EOMONTH(Sales_Data[[#This Row],[Created Date]],0)</f>
        <v>45777</v>
      </c>
      <c r="M381" t="b">
        <f>AND(Sales_Data[[#This Row],[EoM Created]]&gt;=Index!$E$5,Sales_Data[[#This Row],[EoM Created]]&lt;=Index!$E$4)</f>
        <v>1</v>
      </c>
      <c r="N381" t="b" cm="1">
        <f t="array" ref="N381">_xlfn.XLOOKUP(Sales_Data[[#This Row],[Sales Team]],_xlfn.ANCHORARRAY(Dashboard!$B$9),Dashboard!$D$9:$D$10,,0)</f>
        <v>1</v>
      </c>
      <c r="O381" t="b" cm="1">
        <f t="array" ref="O381">_xlfn.XLOOKUP(Sales_Data[[#This Row],[Sales Rep]],_xlfn.ANCHORARRAY(Dashboard!$B$13),Dashboard!$D$13:$D$17,,0)</f>
        <v>1</v>
      </c>
      <c r="P381" t="b" cm="1">
        <f t="array" ref="P381">_xlfn.XLOOKUP(Sales_Data[[#This Row],[Stage]],_xlfn.ANCHORARRAY(Dashboard!$B$20),Dashboard!$D$20:$D$25)</f>
        <v>1</v>
      </c>
      <c r="Q381" t="b" cm="1">
        <f t="array" ref="Q381">_xlfn.XLOOKUP(Sales_Data[[#This Row],[Lead Source]],_xlfn.ANCHORARRAY(Dashboard!$B$28),Dashboard!$D$28:$D$32)</f>
        <v>1</v>
      </c>
      <c r="R381">
        <f>Sales_Data[[#This Row],[Date inc]]*Sales_Data[[#This Row],[Team Inc]]*Sales_Data[[#This Row],[Rep Inc]]*Sales_Data[[#This Row],[Stage Inc]]*Sales_Data[[#This Row],[Source Inc]]</f>
        <v>1</v>
      </c>
    </row>
    <row r="382" spans="1:18" x14ac:dyDescent="0.3">
      <c r="A382" t="s">
        <v>389</v>
      </c>
      <c r="B382" s="2">
        <v>45392</v>
      </c>
      <c r="C382" t="s">
        <v>760</v>
      </c>
      <c r="D382" t="s">
        <v>764</v>
      </c>
      <c r="E382" t="s">
        <v>767</v>
      </c>
      <c r="F382" s="5">
        <v>31600</v>
      </c>
      <c r="G382" t="s">
        <v>781</v>
      </c>
      <c r="H382" s="2">
        <v>45463</v>
      </c>
      <c r="I382" t="s">
        <v>779</v>
      </c>
      <c r="J382" t="str">
        <f>IF(Sales_Data[[#This Row],[Close Date]] &lt;&gt; 0,"Closed", "Open")</f>
        <v>Closed</v>
      </c>
      <c r="K382">
        <f>IF(Sales_Data[[#This Row],[Open/Closed]] = "Closed",Sales_Data[[#This Row],[Close Date]]-Sales_Data[[#This Row],[Created Date]],"")</f>
        <v>71</v>
      </c>
      <c r="L382" s="2">
        <f>EOMONTH(Sales_Data[[#This Row],[Created Date]],0)</f>
        <v>45412</v>
      </c>
      <c r="M382" t="b">
        <f>AND(Sales_Data[[#This Row],[EoM Created]]&gt;=Index!$E$5,Sales_Data[[#This Row],[EoM Created]]&lt;=Index!$E$4)</f>
        <v>1</v>
      </c>
      <c r="N382" t="b" cm="1">
        <f t="array" ref="N382">_xlfn.XLOOKUP(Sales_Data[[#This Row],[Sales Team]],_xlfn.ANCHORARRAY(Dashboard!$B$9),Dashboard!$D$9:$D$10,,0)</f>
        <v>1</v>
      </c>
      <c r="O382" t="b" cm="1">
        <f t="array" ref="O382">_xlfn.XLOOKUP(Sales_Data[[#This Row],[Sales Rep]],_xlfn.ANCHORARRAY(Dashboard!$B$13),Dashboard!$D$13:$D$17,,0)</f>
        <v>1</v>
      </c>
      <c r="P382" t="b" cm="1">
        <f t="array" ref="P382">_xlfn.XLOOKUP(Sales_Data[[#This Row],[Stage]],_xlfn.ANCHORARRAY(Dashboard!$B$20),Dashboard!$D$20:$D$25)</f>
        <v>1</v>
      </c>
      <c r="Q382" t="b" cm="1">
        <f t="array" ref="Q382">_xlfn.XLOOKUP(Sales_Data[[#This Row],[Lead Source]],_xlfn.ANCHORARRAY(Dashboard!$B$28),Dashboard!$D$28:$D$32)</f>
        <v>1</v>
      </c>
      <c r="R382">
        <f>Sales_Data[[#This Row],[Date inc]]*Sales_Data[[#This Row],[Team Inc]]*Sales_Data[[#This Row],[Rep Inc]]*Sales_Data[[#This Row],[Stage Inc]]*Sales_Data[[#This Row],[Source Inc]]</f>
        <v>1</v>
      </c>
    </row>
    <row r="383" spans="1:18" x14ac:dyDescent="0.3">
      <c r="A383" t="s">
        <v>390</v>
      </c>
      <c r="B383" s="2">
        <v>45392</v>
      </c>
      <c r="C383" t="s">
        <v>763</v>
      </c>
      <c r="D383" t="s">
        <v>765</v>
      </c>
      <c r="E383" t="s">
        <v>770</v>
      </c>
      <c r="F383" s="5">
        <v>34000</v>
      </c>
      <c r="G383" t="s">
        <v>781</v>
      </c>
      <c r="H383" s="2">
        <v>45454</v>
      </c>
      <c r="I383" t="s">
        <v>777</v>
      </c>
      <c r="J383" t="str">
        <f>IF(Sales_Data[[#This Row],[Close Date]] &lt;&gt; 0,"Closed", "Open")</f>
        <v>Closed</v>
      </c>
      <c r="K383">
        <f>IF(Sales_Data[[#This Row],[Open/Closed]] = "Closed",Sales_Data[[#This Row],[Close Date]]-Sales_Data[[#This Row],[Created Date]],"")</f>
        <v>62</v>
      </c>
      <c r="L383" s="2">
        <f>EOMONTH(Sales_Data[[#This Row],[Created Date]],0)</f>
        <v>45412</v>
      </c>
      <c r="M383" t="b">
        <f>AND(Sales_Data[[#This Row],[EoM Created]]&gt;=Index!$E$5,Sales_Data[[#This Row],[EoM Created]]&lt;=Index!$E$4)</f>
        <v>1</v>
      </c>
      <c r="N383" t="b" cm="1">
        <f t="array" ref="N383">_xlfn.XLOOKUP(Sales_Data[[#This Row],[Sales Team]],_xlfn.ANCHORARRAY(Dashboard!$B$9),Dashboard!$D$9:$D$10,,0)</f>
        <v>1</v>
      </c>
      <c r="O383" t="b" cm="1">
        <f t="array" ref="O383">_xlfn.XLOOKUP(Sales_Data[[#This Row],[Sales Rep]],_xlfn.ANCHORARRAY(Dashboard!$B$13),Dashboard!$D$13:$D$17,,0)</f>
        <v>1</v>
      </c>
      <c r="P383" t="b" cm="1">
        <f t="array" ref="P383">_xlfn.XLOOKUP(Sales_Data[[#This Row],[Stage]],_xlfn.ANCHORARRAY(Dashboard!$B$20),Dashboard!$D$20:$D$25)</f>
        <v>1</v>
      </c>
      <c r="Q383" t="b" cm="1">
        <f t="array" ref="Q383">_xlfn.XLOOKUP(Sales_Data[[#This Row],[Lead Source]],_xlfn.ANCHORARRAY(Dashboard!$B$28),Dashboard!$D$28:$D$32)</f>
        <v>1</v>
      </c>
      <c r="R383">
        <f>Sales_Data[[#This Row],[Date inc]]*Sales_Data[[#This Row],[Team Inc]]*Sales_Data[[#This Row],[Rep Inc]]*Sales_Data[[#This Row],[Stage Inc]]*Sales_Data[[#This Row],[Source Inc]]</f>
        <v>1</v>
      </c>
    </row>
    <row r="384" spans="1:18" x14ac:dyDescent="0.3">
      <c r="A384" t="s">
        <v>391</v>
      </c>
      <c r="B384" s="2">
        <v>45442</v>
      </c>
      <c r="C384" t="s">
        <v>759</v>
      </c>
      <c r="D384" t="s">
        <v>764</v>
      </c>
      <c r="E384" t="s">
        <v>766</v>
      </c>
      <c r="F384" s="5">
        <v>18800</v>
      </c>
      <c r="G384" t="s">
        <v>781</v>
      </c>
      <c r="H384" s="2">
        <v>45519</v>
      </c>
      <c r="I384" t="s">
        <v>778</v>
      </c>
      <c r="J384" t="str">
        <f>IF(Sales_Data[[#This Row],[Close Date]] &lt;&gt; 0,"Closed", "Open")</f>
        <v>Closed</v>
      </c>
      <c r="K384">
        <f>IF(Sales_Data[[#This Row],[Open/Closed]] = "Closed",Sales_Data[[#This Row],[Close Date]]-Sales_Data[[#This Row],[Created Date]],"")</f>
        <v>77</v>
      </c>
      <c r="L384" s="2">
        <f>EOMONTH(Sales_Data[[#This Row],[Created Date]],0)</f>
        <v>45443</v>
      </c>
      <c r="M384" t="b">
        <f>AND(Sales_Data[[#This Row],[EoM Created]]&gt;=Index!$E$5,Sales_Data[[#This Row],[EoM Created]]&lt;=Index!$E$4)</f>
        <v>1</v>
      </c>
      <c r="N384" t="b" cm="1">
        <f t="array" ref="N384">_xlfn.XLOOKUP(Sales_Data[[#This Row],[Sales Team]],_xlfn.ANCHORARRAY(Dashboard!$B$9),Dashboard!$D$9:$D$10,,0)</f>
        <v>1</v>
      </c>
      <c r="O384" t="b" cm="1">
        <f t="array" ref="O384">_xlfn.XLOOKUP(Sales_Data[[#This Row],[Sales Rep]],_xlfn.ANCHORARRAY(Dashboard!$B$13),Dashboard!$D$13:$D$17,,0)</f>
        <v>1</v>
      </c>
      <c r="P384" t="b" cm="1">
        <f t="array" ref="P384">_xlfn.XLOOKUP(Sales_Data[[#This Row],[Stage]],_xlfn.ANCHORARRAY(Dashboard!$B$20),Dashboard!$D$20:$D$25)</f>
        <v>1</v>
      </c>
      <c r="Q384" t="b" cm="1">
        <f t="array" ref="Q384">_xlfn.XLOOKUP(Sales_Data[[#This Row],[Lead Source]],_xlfn.ANCHORARRAY(Dashboard!$B$28),Dashboard!$D$28:$D$32)</f>
        <v>1</v>
      </c>
      <c r="R384">
        <f>Sales_Data[[#This Row],[Date inc]]*Sales_Data[[#This Row],[Team Inc]]*Sales_Data[[#This Row],[Rep Inc]]*Sales_Data[[#This Row],[Stage Inc]]*Sales_Data[[#This Row],[Source Inc]]</f>
        <v>1</v>
      </c>
    </row>
    <row r="385" spans="1:18" x14ac:dyDescent="0.3">
      <c r="A385" t="s">
        <v>392</v>
      </c>
      <c r="B385" s="2">
        <v>45184</v>
      </c>
      <c r="C385" t="s">
        <v>759</v>
      </c>
      <c r="D385" t="s">
        <v>764</v>
      </c>
      <c r="E385" t="s">
        <v>766</v>
      </c>
      <c r="F385" s="5">
        <v>34700</v>
      </c>
      <c r="G385" t="s">
        <v>780</v>
      </c>
      <c r="H385" s="2">
        <v>45274</v>
      </c>
      <c r="J385" t="str">
        <f>IF(Sales_Data[[#This Row],[Close Date]] &lt;&gt; 0,"Closed", "Open")</f>
        <v>Closed</v>
      </c>
      <c r="K385">
        <f>IF(Sales_Data[[#This Row],[Open/Closed]] = "Closed",Sales_Data[[#This Row],[Close Date]]-Sales_Data[[#This Row],[Created Date]],"")</f>
        <v>90</v>
      </c>
      <c r="L385" s="2">
        <f>EOMONTH(Sales_Data[[#This Row],[Created Date]],0)</f>
        <v>45199</v>
      </c>
      <c r="M385" t="b">
        <f>AND(Sales_Data[[#This Row],[EoM Created]]&gt;=Index!$E$5,Sales_Data[[#This Row],[EoM Created]]&lt;=Index!$E$4)</f>
        <v>1</v>
      </c>
      <c r="N385" t="b" cm="1">
        <f t="array" ref="N385">_xlfn.XLOOKUP(Sales_Data[[#This Row],[Sales Team]],_xlfn.ANCHORARRAY(Dashboard!$B$9),Dashboard!$D$9:$D$10,,0)</f>
        <v>1</v>
      </c>
      <c r="O385" t="b" cm="1">
        <f t="array" ref="O385">_xlfn.XLOOKUP(Sales_Data[[#This Row],[Sales Rep]],_xlfn.ANCHORARRAY(Dashboard!$B$13),Dashboard!$D$13:$D$17,,0)</f>
        <v>1</v>
      </c>
      <c r="P385" t="b" cm="1">
        <f t="array" ref="P385">_xlfn.XLOOKUP(Sales_Data[[#This Row],[Stage]],_xlfn.ANCHORARRAY(Dashboard!$B$20),Dashboard!$D$20:$D$25)</f>
        <v>1</v>
      </c>
      <c r="Q385" t="b" cm="1">
        <f t="array" ref="Q385">_xlfn.XLOOKUP(Sales_Data[[#This Row],[Lead Source]],_xlfn.ANCHORARRAY(Dashboard!$B$28),Dashboard!$D$28:$D$32)</f>
        <v>1</v>
      </c>
      <c r="R385">
        <f>Sales_Data[[#This Row],[Date inc]]*Sales_Data[[#This Row],[Team Inc]]*Sales_Data[[#This Row],[Rep Inc]]*Sales_Data[[#This Row],[Stage Inc]]*Sales_Data[[#This Row],[Source Inc]]</f>
        <v>1</v>
      </c>
    </row>
    <row r="386" spans="1:18" x14ac:dyDescent="0.3">
      <c r="A386" t="s">
        <v>393</v>
      </c>
      <c r="B386" s="2">
        <v>45099</v>
      </c>
      <c r="C386" t="s">
        <v>760</v>
      </c>
      <c r="D386" t="s">
        <v>764</v>
      </c>
      <c r="E386" t="s">
        <v>766</v>
      </c>
      <c r="F386" s="5">
        <v>32400</v>
      </c>
      <c r="G386" t="s">
        <v>781</v>
      </c>
      <c r="H386" s="2">
        <v>45182</v>
      </c>
      <c r="I386" t="s">
        <v>778</v>
      </c>
      <c r="J386" t="str">
        <f>IF(Sales_Data[[#This Row],[Close Date]] &lt;&gt; 0,"Closed", "Open")</f>
        <v>Closed</v>
      </c>
      <c r="K386">
        <f>IF(Sales_Data[[#This Row],[Open/Closed]] = "Closed",Sales_Data[[#This Row],[Close Date]]-Sales_Data[[#This Row],[Created Date]],"")</f>
        <v>83</v>
      </c>
      <c r="L386" s="2">
        <f>EOMONTH(Sales_Data[[#This Row],[Created Date]],0)</f>
        <v>45107</v>
      </c>
      <c r="M386" t="b">
        <f>AND(Sales_Data[[#This Row],[EoM Created]]&gt;=Index!$E$5,Sales_Data[[#This Row],[EoM Created]]&lt;=Index!$E$4)</f>
        <v>0</v>
      </c>
      <c r="N386" t="b" cm="1">
        <f t="array" ref="N386">_xlfn.XLOOKUP(Sales_Data[[#This Row],[Sales Team]],_xlfn.ANCHORARRAY(Dashboard!$B$9),Dashboard!$D$9:$D$10,,0)</f>
        <v>1</v>
      </c>
      <c r="O386" t="b" cm="1">
        <f t="array" ref="O386">_xlfn.XLOOKUP(Sales_Data[[#This Row],[Sales Rep]],_xlfn.ANCHORARRAY(Dashboard!$B$13),Dashboard!$D$13:$D$17,,0)</f>
        <v>1</v>
      </c>
      <c r="P386" t="b" cm="1">
        <f t="array" ref="P386">_xlfn.XLOOKUP(Sales_Data[[#This Row],[Stage]],_xlfn.ANCHORARRAY(Dashboard!$B$20),Dashboard!$D$20:$D$25)</f>
        <v>1</v>
      </c>
      <c r="Q386" t="b" cm="1">
        <f t="array" ref="Q386">_xlfn.XLOOKUP(Sales_Data[[#This Row],[Lead Source]],_xlfn.ANCHORARRAY(Dashboard!$B$28),Dashboard!$D$28:$D$32)</f>
        <v>1</v>
      </c>
      <c r="R386">
        <f>Sales_Data[[#This Row],[Date inc]]*Sales_Data[[#This Row],[Team Inc]]*Sales_Data[[#This Row],[Rep Inc]]*Sales_Data[[#This Row],[Stage Inc]]*Sales_Data[[#This Row],[Source Inc]]</f>
        <v>0</v>
      </c>
    </row>
    <row r="387" spans="1:18" x14ac:dyDescent="0.3">
      <c r="A387" t="s">
        <v>394</v>
      </c>
      <c r="B387" s="2">
        <v>44972</v>
      </c>
      <c r="C387" t="s">
        <v>762</v>
      </c>
      <c r="D387" t="s">
        <v>764</v>
      </c>
      <c r="E387" t="s">
        <v>767</v>
      </c>
      <c r="F387" s="5">
        <v>41500</v>
      </c>
      <c r="G387" t="s">
        <v>781</v>
      </c>
      <c r="H387" s="2">
        <v>45058</v>
      </c>
      <c r="I387" t="s">
        <v>775</v>
      </c>
      <c r="J387" t="str">
        <f>IF(Sales_Data[[#This Row],[Close Date]] &lt;&gt; 0,"Closed", "Open")</f>
        <v>Closed</v>
      </c>
      <c r="K387">
        <f>IF(Sales_Data[[#This Row],[Open/Closed]] = "Closed",Sales_Data[[#This Row],[Close Date]]-Sales_Data[[#This Row],[Created Date]],"")</f>
        <v>86</v>
      </c>
      <c r="L387" s="2">
        <f>EOMONTH(Sales_Data[[#This Row],[Created Date]],0)</f>
        <v>44985</v>
      </c>
      <c r="M387" t="b">
        <f>AND(Sales_Data[[#This Row],[EoM Created]]&gt;=Index!$E$5,Sales_Data[[#This Row],[EoM Created]]&lt;=Index!$E$4)</f>
        <v>0</v>
      </c>
      <c r="N387" t="b" cm="1">
        <f t="array" ref="N387">_xlfn.XLOOKUP(Sales_Data[[#This Row],[Sales Team]],_xlfn.ANCHORARRAY(Dashboard!$B$9),Dashboard!$D$9:$D$10,,0)</f>
        <v>1</v>
      </c>
      <c r="O387" t="b" cm="1">
        <f t="array" ref="O387">_xlfn.XLOOKUP(Sales_Data[[#This Row],[Sales Rep]],_xlfn.ANCHORARRAY(Dashboard!$B$13),Dashboard!$D$13:$D$17,,0)</f>
        <v>1</v>
      </c>
      <c r="P387" t="b" cm="1">
        <f t="array" ref="P387">_xlfn.XLOOKUP(Sales_Data[[#This Row],[Stage]],_xlfn.ANCHORARRAY(Dashboard!$B$20),Dashboard!$D$20:$D$25)</f>
        <v>1</v>
      </c>
      <c r="Q387" t="b" cm="1">
        <f t="array" ref="Q387">_xlfn.XLOOKUP(Sales_Data[[#This Row],[Lead Source]],_xlfn.ANCHORARRAY(Dashboard!$B$28),Dashboard!$D$28:$D$32)</f>
        <v>1</v>
      </c>
      <c r="R387">
        <f>Sales_Data[[#This Row],[Date inc]]*Sales_Data[[#This Row],[Team Inc]]*Sales_Data[[#This Row],[Rep Inc]]*Sales_Data[[#This Row],[Stage Inc]]*Sales_Data[[#This Row],[Source Inc]]</f>
        <v>0</v>
      </c>
    </row>
    <row r="388" spans="1:18" x14ac:dyDescent="0.3">
      <c r="A388" t="s">
        <v>395</v>
      </c>
      <c r="B388" s="2">
        <v>44955</v>
      </c>
      <c r="C388" t="s">
        <v>761</v>
      </c>
      <c r="D388" t="s">
        <v>765</v>
      </c>
      <c r="E388" t="s">
        <v>769</v>
      </c>
      <c r="F388" s="5">
        <v>43400</v>
      </c>
      <c r="G388" t="s">
        <v>780</v>
      </c>
      <c r="H388" s="2">
        <v>45035</v>
      </c>
      <c r="J388" t="str">
        <f>IF(Sales_Data[[#This Row],[Close Date]] &lt;&gt; 0,"Closed", "Open")</f>
        <v>Closed</v>
      </c>
      <c r="K388">
        <f>IF(Sales_Data[[#This Row],[Open/Closed]] = "Closed",Sales_Data[[#This Row],[Close Date]]-Sales_Data[[#This Row],[Created Date]],"")</f>
        <v>80</v>
      </c>
      <c r="L388" s="2">
        <f>EOMONTH(Sales_Data[[#This Row],[Created Date]],0)</f>
        <v>44957</v>
      </c>
      <c r="M388" t="b">
        <f>AND(Sales_Data[[#This Row],[EoM Created]]&gt;=Index!$E$5,Sales_Data[[#This Row],[EoM Created]]&lt;=Index!$E$4)</f>
        <v>0</v>
      </c>
      <c r="N388" t="b" cm="1">
        <f t="array" ref="N388">_xlfn.XLOOKUP(Sales_Data[[#This Row],[Sales Team]],_xlfn.ANCHORARRAY(Dashboard!$B$9),Dashboard!$D$9:$D$10,,0)</f>
        <v>1</v>
      </c>
      <c r="O388" t="b" cm="1">
        <f t="array" ref="O388">_xlfn.XLOOKUP(Sales_Data[[#This Row],[Sales Rep]],_xlfn.ANCHORARRAY(Dashboard!$B$13),Dashboard!$D$13:$D$17,,0)</f>
        <v>1</v>
      </c>
      <c r="P388" t="b" cm="1">
        <f t="array" ref="P388">_xlfn.XLOOKUP(Sales_Data[[#This Row],[Stage]],_xlfn.ANCHORARRAY(Dashboard!$B$20),Dashboard!$D$20:$D$25)</f>
        <v>1</v>
      </c>
      <c r="Q388" t="b" cm="1">
        <f t="array" ref="Q388">_xlfn.XLOOKUP(Sales_Data[[#This Row],[Lead Source]],_xlfn.ANCHORARRAY(Dashboard!$B$28),Dashboard!$D$28:$D$32)</f>
        <v>1</v>
      </c>
      <c r="R388">
        <f>Sales_Data[[#This Row],[Date inc]]*Sales_Data[[#This Row],[Team Inc]]*Sales_Data[[#This Row],[Rep Inc]]*Sales_Data[[#This Row],[Stage Inc]]*Sales_Data[[#This Row],[Source Inc]]</f>
        <v>0</v>
      </c>
    </row>
    <row r="389" spans="1:18" x14ac:dyDescent="0.3">
      <c r="A389" t="s">
        <v>396</v>
      </c>
      <c r="B389" s="2">
        <v>45567</v>
      </c>
      <c r="C389" t="s">
        <v>763</v>
      </c>
      <c r="D389" t="s">
        <v>765</v>
      </c>
      <c r="E389" t="s">
        <v>768</v>
      </c>
      <c r="F389" s="5">
        <v>58800</v>
      </c>
      <c r="G389" t="s">
        <v>781</v>
      </c>
      <c r="H389" s="2">
        <v>45655</v>
      </c>
      <c r="I389" t="s">
        <v>777</v>
      </c>
      <c r="J389" t="str">
        <f>IF(Sales_Data[[#This Row],[Close Date]] &lt;&gt; 0,"Closed", "Open")</f>
        <v>Closed</v>
      </c>
      <c r="K389">
        <f>IF(Sales_Data[[#This Row],[Open/Closed]] = "Closed",Sales_Data[[#This Row],[Close Date]]-Sales_Data[[#This Row],[Created Date]],"")</f>
        <v>88</v>
      </c>
      <c r="L389" s="2">
        <f>EOMONTH(Sales_Data[[#This Row],[Created Date]],0)</f>
        <v>45596</v>
      </c>
      <c r="M389" t="b">
        <f>AND(Sales_Data[[#This Row],[EoM Created]]&gt;=Index!$E$5,Sales_Data[[#This Row],[EoM Created]]&lt;=Index!$E$4)</f>
        <v>1</v>
      </c>
      <c r="N389" t="b" cm="1">
        <f t="array" ref="N389">_xlfn.XLOOKUP(Sales_Data[[#This Row],[Sales Team]],_xlfn.ANCHORARRAY(Dashboard!$B$9),Dashboard!$D$9:$D$10,,0)</f>
        <v>1</v>
      </c>
      <c r="O389" t="b" cm="1">
        <f t="array" ref="O389">_xlfn.XLOOKUP(Sales_Data[[#This Row],[Sales Rep]],_xlfn.ANCHORARRAY(Dashboard!$B$13),Dashboard!$D$13:$D$17,,0)</f>
        <v>1</v>
      </c>
      <c r="P389" t="b" cm="1">
        <f t="array" ref="P389">_xlfn.XLOOKUP(Sales_Data[[#This Row],[Stage]],_xlfn.ANCHORARRAY(Dashboard!$B$20),Dashboard!$D$20:$D$25)</f>
        <v>1</v>
      </c>
      <c r="Q389" t="b" cm="1">
        <f t="array" ref="Q389">_xlfn.XLOOKUP(Sales_Data[[#This Row],[Lead Source]],_xlfn.ANCHORARRAY(Dashboard!$B$28),Dashboard!$D$28:$D$32)</f>
        <v>1</v>
      </c>
      <c r="R389">
        <f>Sales_Data[[#This Row],[Date inc]]*Sales_Data[[#This Row],[Team Inc]]*Sales_Data[[#This Row],[Rep Inc]]*Sales_Data[[#This Row],[Stage Inc]]*Sales_Data[[#This Row],[Source Inc]]</f>
        <v>1</v>
      </c>
    </row>
    <row r="390" spans="1:18" x14ac:dyDescent="0.3">
      <c r="A390" t="s">
        <v>397</v>
      </c>
      <c r="B390" s="2">
        <v>45085</v>
      </c>
      <c r="C390" t="s">
        <v>760</v>
      </c>
      <c r="D390" t="s">
        <v>764</v>
      </c>
      <c r="E390" t="s">
        <v>766</v>
      </c>
      <c r="F390" s="5">
        <v>49500</v>
      </c>
      <c r="G390" t="s">
        <v>781</v>
      </c>
      <c r="H390" s="2">
        <v>45154</v>
      </c>
      <c r="I390" t="s">
        <v>776</v>
      </c>
      <c r="J390" t="str">
        <f>IF(Sales_Data[[#This Row],[Close Date]] &lt;&gt; 0,"Closed", "Open")</f>
        <v>Closed</v>
      </c>
      <c r="K390">
        <f>IF(Sales_Data[[#This Row],[Open/Closed]] = "Closed",Sales_Data[[#This Row],[Close Date]]-Sales_Data[[#This Row],[Created Date]],"")</f>
        <v>69</v>
      </c>
      <c r="L390" s="2">
        <f>EOMONTH(Sales_Data[[#This Row],[Created Date]],0)</f>
        <v>45107</v>
      </c>
      <c r="M390" t="b">
        <f>AND(Sales_Data[[#This Row],[EoM Created]]&gt;=Index!$E$5,Sales_Data[[#This Row],[EoM Created]]&lt;=Index!$E$4)</f>
        <v>0</v>
      </c>
      <c r="N390" t="b" cm="1">
        <f t="array" ref="N390">_xlfn.XLOOKUP(Sales_Data[[#This Row],[Sales Team]],_xlfn.ANCHORARRAY(Dashboard!$B$9),Dashboard!$D$9:$D$10,,0)</f>
        <v>1</v>
      </c>
      <c r="O390" t="b" cm="1">
        <f t="array" ref="O390">_xlfn.XLOOKUP(Sales_Data[[#This Row],[Sales Rep]],_xlfn.ANCHORARRAY(Dashboard!$B$13),Dashboard!$D$13:$D$17,,0)</f>
        <v>1</v>
      </c>
      <c r="P390" t="b" cm="1">
        <f t="array" ref="P390">_xlfn.XLOOKUP(Sales_Data[[#This Row],[Stage]],_xlfn.ANCHORARRAY(Dashboard!$B$20),Dashboard!$D$20:$D$25)</f>
        <v>1</v>
      </c>
      <c r="Q390" t="b" cm="1">
        <f t="array" ref="Q390">_xlfn.XLOOKUP(Sales_Data[[#This Row],[Lead Source]],_xlfn.ANCHORARRAY(Dashboard!$B$28),Dashboard!$D$28:$D$32)</f>
        <v>1</v>
      </c>
      <c r="R390">
        <f>Sales_Data[[#This Row],[Date inc]]*Sales_Data[[#This Row],[Team Inc]]*Sales_Data[[#This Row],[Rep Inc]]*Sales_Data[[#This Row],[Stage Inc]]*Sales_Data[[#This Row],[Source Inc]]</f>
        <v>0</v>
      </c>
    </row>
    <row r="391" spans="1:18" x14ac:dyDescent="0.3">
      <c r="A391" t="s">
        <v>398</v>
      </c>
      <c r="B391" s="2">
        <v>45602</v>
      </c>
      <c r="C391" t="s">
        <v>762</v>
      </c>
      <c r="D391" t="s">
        <v>764</v>
      </c>
      <c r="E391" t="s">
        <v>767</v>
      </c>
      <c r="F391" s="5">
        <v>34200</v>
      </c>
      <c r="G391" t="s">
        <v>781</v>
      </c>
      <c r="H391" s="2">
        <v>45662</v>
      </c>
      <c r="I391" t="s">
        <v>776</v>
      </c>
      <c r="J391" t="str">
        <f>IF(Sales_Data[[#This Row],[Close Date]] &lt;&gt; 0,"Closed", "Open")</f>
        <v>Closed</v>
      </c>
      <c r="K391">
        <f>IF(Sales_Data[[#This Row],[Open/Closed]] = "Closed",Sales_Data[[#This Row],[Close Date]]-Sales_Data[[#This Row],[Created Date]],"")</f>
        <v>60</v>
      </c>
      <c r="L391" s="2">
        <f>EOMONTH(Sales_Data[[#This Row],[Created Date]],0)</f>
        <v>45626</v>
      </c>
      <c r="M391" t="b">
        <f>AND(Sales_Data[[#This Row],[EoM Created]]&gt;=Index!$E$5,Sales_Data[[#This Row],[EoM Created]]&lt;=Index!$E$4)</f>
        <v>1</v>
      </c>
      <c r="N391" t="b" cm="1">
        <f t="array" ref="N391">_xlfn.XLOOKUP(Sales_Data[[#This Row],[Sales Team]],_xlfn.ANCHORARRAY(Dashboard!$B$9),Dashboard!$D$9:$D$10,,0)</f>
        <v>1</v>
      </c>
      <c r="O391" t="b" cm="1">
        <f t="array" ref="O391">_xlfn.XLOOKUP(Sales_Data[[#This Row],[Sales Rep]],_xlfn.ANCHORARRAY(Dashboard!$B$13),Dashboard!$D$13:$D$17,,0)</f>
        <v>1</v>
      </c>
      <c r="P391" t="b" cm="1">
        <f t="array" ref="P391">_xlfn.XLOOKUP(Sales_Data[[#This Row],[Stage]],_xlfn.ANCHORARRAY(Dashboard!$B$20),Dashboard!$D$20:$D$25)</f>
        <v>1</v>
      </c>
      <c r="Q391" t="b" cm="1">
        <f t="array" ref="Q391">_xlfn.XLOOKUP(Sales_Data[[#This Row],[Lead Source]],_xlfn.ANCHORARRAY(Dashboard!$B$28),Dashboard!$D$28:$D$32)</f>
        <v>1</v>
      </c>
      <c r="R391">
        <f>Sales_Data[[#This Row],[Date inc]]*Sales_Data[[#This Row],[Team Inc]]*Sales_Data[[#This Row],[Rep Inc]]*Sales_Data[[#This Row],[Stage Inc]]*Sales_Data[[#This Row],[Source Inc]]</f>
        <v>1</v>
      </c>
    </row>
    <row r="392" spans="1:18" x14ac:dyDescent="0.3">
      <c r="A392" t="s">
        <v>399</v>
      </c>
      <c r="B392" s="2">
        <v>45136</v>
      </c>
      <c r="C392" t="s">
        <v>762</v>
      </c>
      <c r="D392" t="s">
        <v>764</v>
      </c>
      <c r="E392" t="s">
        <v>766</v>
      </c>
      <c r="F392" s="5">
        <v>31000</v>
      </c>
      <c r="G392" t="s">
        <v>780</v>
      </c>
      <c r="H392" s="2">
        <v>45210</v>
      </c>
      <c r="J392" t="str">
        <f>IF(Sales_Data[[#This Row],[Close Date]] &lt;&gt; 0,"Closed", "Open")</f>
        <v>Closed</v>
      </c>
      <c r="K392">
        <f>IF(Sales_Data[[#This Row],[Open/Closed]] = "Closed",Sales_Data[[#This Row],[Close Date]]-Sales_Data[[#This Row],[Created Date]],"")</f>
        <v>74</v>
      </c>
      <c r="L392" s="2">
        <f>EOMONTH(Sales_Data[[#This Row],[Created Date]],0)</f>
        <v>45138</v>
      </c>
      <c r="M392" t="b">
        <f>AND(Sales_Data[[#This Row],[EoM Created]]&gt;=Index!$E$5,Sales_Data[[#This Row],[EoM Created]]&lt;=Index!$E$4)</f>
        <v>1</v>
      </c>
      <c r="N392" t="b" cm="1">
        <f t="array" ref="N392">_xlfn.XLOOKUP(Sales_Data[[#This Row],[Sales Team]],_xlfn.ANCHORARRAY(Dashboard!$B$9),Dashboard!$D$9:$D$10,,0)</f>
        <v>1</v>
      </c>
      <c r="O392" t="b" cm="1">
        <f t="array" ref="O392">_xlfn.XLOOKUP(Sales_Data[[#This Row],[Sales Rep]],_xlfn.ANCHORARRAY(Dashboard!$B$13),Dashboard!$D$13:$D$17,,0)</f>
        <v>1</v>
      </c>
      <c r="P392" t="b" cm="1">
        <f t="array" ref="P392">_xlfn.XLOOKUP(Sales_Data[[#This Row],[Stage]],_xlfn.ANCHORARRAY(Dashboard!$B$20),Dashboard!$D$20:$D$25)</f>
        <v>1</v>
      </c>
      <c r="Q392" t="b" cm="1">
        <f t="array" ref="Q392">_xlfn.XLOOKUP(Sales_Data[[#This Row],[Lead Source]],_xlfn.ANCHORARRAY(Dashboard!$B$28),Dashboard!$D$28:$D$32)</f>
        <v>1</v>
      </c>
      <c r="R392">
        <f>Sales_Data[[#This Row],[Date inc]]*Sales_Data[[#This Row],[Team Inc]]*Sales_Data[[#This Row],[Rep Inc]]*Sales_Data[[#This Row],[Stage Inc]]*Sales_Data[[#This Row],[Source Inc]]</f>
        <v>1</v>
      </c>
    </row>
    <row r="393" spans="1:18" x14ac:dyDescent="0.3">
      <c r="A393" t="s">
        <v>400</v>
      </c>
      <c r="B393" s="2">
        <v>44941</v>
      </c>
      <c r="C393" t="s">
        <v>759</v>
      </c>
      <c r="D393" t="s">
        <v>764</v>
      </c>
      <c r="E393" t="s">
        <v>766</v>
      </c>
      <c r="F393" s="5">
        <v>44900</v>
      </c>
      <c r="G393" t="s">
        <v>781</v>
      </c>
      <c r="H393" s="2">
        <v>45027</v>
      </c>
      <c r="I393" t="s">
        <v>775</v>
      </c>
      <c r="J393" t="str">
        <f>IF(Sales_Data[[#This Row],[Close Date]] &lt;&gt; 0,"Closed", "Open")</f>
        <v>Closed</v>
      </c>
      <c r="K393">
        <f>IF(Sales_Data[[#This Row],[Open/Closed]] = "Closed",Sales_Data[[#This Row],[Close Date]]-Sales_Data[[#This Row],[Created Date]],"")</f>
        <v>86</v>
      </c>
      <c r="L393" s="2">
        <f>EOMONTH(Sales_Data[[#This Row],[Created Date]],0)</f>
        <v>44957</v>
      </c>
      <c r="M393" t="b">
        <f>AND(Sales_Data[[#This Row],[EoM Created]]&gt;=Index!$E$5,Sales_Data[[#This Row],[EoM Created]]&lt;=Index!$E$4)</f>
        <v>0</v>
      </c>
      <c r="N393" t="b" cm="1">
        <f t="array" ref="N393">_xlfn.XLOOKUP(Sales_Data[[#This Row],[Sales Team]],_xlfn.ANCHORARRAY(Dashboard!$B$9),Dashboard!$D$9:$D$10,,0)</f>
        <v>1</v>
      </c>
      <c r="O393" t="b" cm="1">
        <f t="array" ref="O393">_xlfn.XLOOKUP(Sales_Data[[#This Row],[Sales Rep]],_xlfn.ANCHORARRAY(Dashboard!$B$13),Dashboard!$D$13:$D$17,,0)</f>
        <v>1</v>
      </c>
      <c r="P393" t="b" cm="1">
        <f t="array" ref="P393">_xlfn.XLOOKUP(Sales_Data[[#This Row],[Stage]],_xlfn.ANCHORARRAY(Dashboard!$B$20),Dashboard!$D$20:$D$25)</f>
        <v>1</v>
      </c>
      <c r="Q393" t="b" cm="1">
        <f t="array" ref="Q393">_xlfn.XLOOKUP(Sales_Data[[#This Row],[Lead Source]],_xlfn.ANCHORARRAY(Dashboard!$B$28),Dashboard!$D$28:$D$32)</f>
        <v>1</v>
      </c>
      <c r="R393">
        <f>Sales_Data[[#This Row],[Date inc]]*Sales_Data[[#This Row],[Team Inc]]*Sales_Data[[#This Row],[Rep Inc]]*Sales_Data[[#This Row],[Stage Inc]]*Sales_Data[[#This Row],[Source Inc]]</f>
        <v>0</v>
      </c>
    </row>
    <row r="394" spans="1:18" x14ac:dyDescent="0.3">
      <c r="A394" t="s">
        <v>401</v>
      </c>
      <c r="B394" s="2">
        <v>45114</v>
      </c>
      <c r="C394" t="s">
        <v>763</v>
      </c>
      <c r="D394" t="s">
        <v>765</v>
      </c>
      <c r="E394" t="s">
        <v>768</v>
      </c>
      <c r="F394" s="5">
        <v>26800</v>
      </c>
      <c r="G394" t="s">
        <v>781</v>
      </c>
      <c r="H394" s="2">
        <v>45195</v>
      </c>
      <c r="I394" t="s">
        <v>776</v>
      </c>
      <c r="J394" t="str">
        <f>IF(Sales_Data[[#This Row],[Close Date]] &lt;&gt; 0,"Closed", "Open")</f>
        <v>Closed</v>
      </c>
      <c r="K394">
        <f>IF(Sales_Data[[#This Row],[Open/Closed]] = "Closed",Sales_Data[[#This Row],[Close Date]]-Sales_Data[[#This Row],[Created Date]],"")</f>
        <v>81</v>
      </c>
      <c r="L394" s="2">
        <f>EOMONTH(Sales_Data[[#This Row],[Created Date]],0)</f>
        <v>45138</v>
      </c>
      <c r="M394" t="b">
        <f>AND(Sales_Data[[#This Row],[EoM Created]]&gt;=Index!$E$5,Sales_Data[[#This Row],[EoM Created]]&lt;=Index!$E$4)</f>
        <v>1</v>
      </c>
      <c r="N394" t="b" cm="1">
        <f t="array" ref="N394">_xlfn.XLOOKUP(Sales_Data[[#This Row],[Sales Team]],_xlfn.ANCHORARRAY(Dashboard!$B$9),Dashboard!$D$9:$D$10,,0)</f>
        <v>1</v>
      </c>
      <c r="O394" t="b" cm="1">
        <f t="array" ref="O394">_xlfn.XLOOKUP(Sales_Data[[#This Row],[Sales Rep]],_xlfn.ANCHORARRAY(Dashboard!$B$13),Dashboard!$D$13:$D$17,,0)</f>
        <v>1</v>
      </c>
      <c r="P394" t="b" cm="1">
        <f t="array" ref="P394">_xlfn.XLOOKUP(Sales_Data[[#This Row],[Stage]],_xlfn.ANCHORARRAY(Dashboard!$B$20),Dashboard!$D$20:$D$25)</f>
        <v>1</v>
      </c>
      <c r="Q394" t="b" cm="1">
        <f t="array" ref="Q394">_xlfn.XLOOKUP(Sales_Data[[#This Row],[Lead Source]],_xlfn.ANCHORARRAY(Dashboard!$B$28),Dashboard!$D$28:$D$32)</f>
        <v>1</v>
      </c>
      <c r="R394">
        <f>Sales_Data[[#This Row],[Date inc]]*Sales_Data[[#This Row],[Team Inc]]*Sales_Data[[#This Row],[Rep Inc]]*Sales_Data[[#This Row],[Stage Inc]]*Sales_Data[[#This Row],[Source Inc]]</f>
        <v>1</v>
      </c>
    </row>
    <row r="395" spans="1:18" x14ac:dyDescent="0.3">
      <c r="A395" t="s">
        <v>402</v>
      </c>
      <c r="B395" s="2">
        <v>45760</v>
      </c>
      <c r="C395" t="s">
        <v>759</v>
      </c>
      <c r="D395" t="s">
        <v>764</v>
      </c>
      <c r="E395" t="s">
        <v>766</v>
      </c>
      <c r="F395" s="5">
        <v>58300</v>
      </c>
      <c r="G395" t="s">
        <v>780</v>
      </c>
      <c r="H395" s="2">
        <v>45841</v>
      </c>
      <c r="J395" t="str">
        <f>IF(Sales_Data[[#This Row],[Close Date]] &lt;&gt; 0,"Closed", "Open")</f>
        <v>Closed</v>
      </c>
      <c r="K395">
        <f>IF(Sales_Data[[#This Row],[Open/Closed]] = "Closed",Sales_Data[[#This Row],[Close Date]]-Sales_Data[[#This Row],[Created Date]],"")</f>
        <v>81</v>
      </c>
      <c r="L395" s="2">
        <f>EOMONTH(Sales_Data[[#This Row],[Created Date]],0)</f>
        <v>45777</v>
      </c>
      <c r="M395" t="b">
        <f>AND(Sales_Data[[#This Row],[EoM Created]]&gt;=Index!$E$5,Sales_Data[[#This Row],[EoM Created]]&lt;=Index!$E$4)</f>
        <v>1</v>
      </c>
      <c r="N395" t="b" cm="1">
        <f t="array" ref="N395">_xlfn.XLOOKUP(Sales_Data[[#This Row],[Sales Team]],_xlfn.ANCHORARRAY(Dashboard!$B$9),Dashboard!$D$9:$D$10,,0)</f>
        <v>1</v>
      </c>
      <c r="O395" t="b" cm="1">
        <f t="array" ref="O395">_xlfn.XLOOKUP(Sales_Data[[#This Row],[Sales Rep]],_xlfn.ANCHORARRAY(Dashboard!$B$13),Dashboard!$D$13:$D$17,,0)</f>
        <v>1</v>
      </c>
      <c r="P395" t="b" cm="1">
        <f t="array" ref="P395">_xlfn.XLOOKUP(Sales_Data[[#This Row],[Stage]],_xlfn.ANCHORARRAY(Dashboard!$B$20),Dashboard!$D$20:$D$25)</f>
        <v>1</v>
      </c>
      <c r="Q395" t="b" cm="1">
        <f t="array" ref="Q395">_xlfn.XLOOKUP(Sales_Data[[#This Row],[Lead Source]],_xlfn.ANCHORARRAY(Dashboard!$B$28),Dashboard!$D$28:$D$32)</f>
        <v>1</v>
      </c>
      <c r="R395">
        <f>Sales_Data[[#This Row],[Date inc]]*Sales_Data[[#This Row],[Team Inc]]*Sales_Data[[#This Row],[Rep Inc]]*Sales_Data[[#This Row],[Stage Inc]]*Sales_Data[[#This Row],[Source Inc]]</f>
        <v>1</v>
      </c>
    </row>
    <row r="396" spans="1:18" x14ac:dyDescent="0.3">
      <c r="A396" t="s">
        <v>403</v>
      </c>
      <c r="B396" s="2">
        <v>45513</v>
      </c>
      <c r="C396" t="s">
        <v>761</v>
      </c>
      <c r="D396" t="s">
        <v>765</v>
      </c>
      <c r="E396" t="s">
        <v>769</v>
      </c>
      <c r="F396" s="5">
        <v>51800</v>
      </c>
      <c r="G396" t="s">
        <v>781</v>
      </c>
      <c r="H396" s="2">
        <v>45575</v>
      </c>
      <c r="I396" t="s">
        <v>776</v>
      </c>
      <c r="J396" t="str">
        <f>IF(Sales_Data[[#This Row],[Close Date]] &lt;&gt; 0,"Closed", "Open")</f>
        <v>Closed</v>
      </c>
      <c r="K396">
        <f>IF(Sales_Data[[#This Row],[Open/Closed]] = "Closed",Sales_Data[[#This Row],[Close Date]]-Sales_Data[[#This Row],[Created Date]],"")</f>
        <v>62</v>
      </c>
      <c r="L396" s="2">
        <f>EOMONTH(Sales_Data[[#This Row],[Created Date]],0)</f>
        <v>45535</v>
      </c>
      <c r="M396" t="b">
        <f>AND(Sales_Data[[#This Row],[EoM Created]]&gt;=Index!$E$5,Sales_Data[[#This Row],[EoM Created]]&lt;=Index!$E$4)</f>
        <v>1</v>
      </c>
      <c r="N396" t="b" cm="1">
        <f t="array" ref="N396">_xlfn.XLOOKUP(Sales_Data[[#This Row],[Sales Team]],_xlfn.ANCHORARRAY(Dashboard!$B$9),Dashboard!$D$9:$D$10,,0)</f>
        <v>1</v>
      </c>
      <c r="O396" t="b" cm="1">
        <f t="array" ref="O396">_xlfn.XLOOKUP(Sales_Data[[#This Row],[Sales Rep]],_xlfn.ANCHORARRAY(Dashboard!$B$13),Dashboard!$D$13:$D$17,,0)</f>
        <v>1</v>
      </c>
      <c r="P396" t="b" cm="1">
        <f t="array" ref="P396">_xlfn.XLOOKUP(Sales_Data[[#This Row],[Stage]],_xlfn.ANCHORARRAY(Dashboard!$B$20),Dashboard!$D$20:$D$25)</f>
        <v>1</v>
      </c>
      <c r="Q396" t="b" cm="1">
        <f t="array" ref="Q396">_xlfn.XLOOKUP(Sales_Data[[#This Row],[Lead Source]],_xlfn.ANCHORARRAY(Dashboard!$B$28),Dashboard!$D$28:$D$32)</f>
        <v>1</v>
      </c>
      <c r="R396">
        <f>Sales_Data[[#This Row],[Date inc]]*Sales_Data[[#This Row],[Team Inc]]*Sales_Data[[#This Row],[Rep Inc]]*Sales_Data[[#This Row],[Stage Inc]]*Sales_Data[[#This Row],[Source Inc]]</f>
        <v>1</v>
      </c>
    </row>
    <row r="397" spans="1:18" x14ac:dyDescent="0.3">
      <c r="A397" t="s">
        <v>404</v>
      </c>
      <c r="B397" s="2">
        <v>45819</v>
      </c>
      <c r="C397" t="s">
        <v>763</v>
      </c>
      <c r="D397" t="s">
        <v>765</v>
      </c>
      <c r="E397" t="s">
        <v>770</v>
      </c>
      <c r="F397" s="5">
        <v>35300</v>
      </c>
      <c r="G397" t="s">
        <v>781</v>
      </c>
      <c r="H397" s="2">
        <v>45883</v>
      </c>
      <c r="I397" t="s">
        <v>777</v>
      </c>
      <c r="J397" t="str">
        <f>IF(Sales_Data[[#This Row],[Close Date]] &lt;&gt; 0,"Closed", "Open")</f>
        <v>Closed</v>
      </c>
      <c r="K397">
        <f>IF(Sales_Data[[#This Row],[Open/Closed]] = "Closed",Sales_Data[[#This Row],[Close Date]]-Sales_Data[[#This Row],[Created Date]],"")</f>
        <v>64</v>
      </c>
      <c r="L397" s="2">
        <f>EOMONTH(Sales_Data[[#This Row],[Created Date]],0)</f>
        <v>45838</v>
      </c>
      <c r="M397" t="b">
        <f>AND(Sales_Data[[#This Row],[EoM Created]]&gt;=Index!$E$5,Sales_Data[[#This Row],[EoM Created]]&lt;=Index!$E$4)</f>
        <v>1</v>
      </c>
      <c r="N397" t="b" cm="1">
        <f t="array" ref="N397">_xlfn.XLOOKUP(Sales_Data[[#This Row],[Sales Team]],_xlfn.ANCHORARRAY(Dashboard!$B$9),Dashboard!$D$9:$D$10,,0)</f>
        <v>1</v>
      </c>
      <c r="O397" t="b" cm="1">
        <f t="array" ref="O397">_xlfn.XLOOKUP(Sales_Data[[#This Row],[Sales Rep]],_xlfn.ANCHORARRAY(Dashboard!$B$13),Dashboard!$D$13:$D$17,,0)</f>
        <v>1</v>
      </c>
      <c r="P397" t="b" cm="1">
        <f t="array" ref="P397">_xlfn.XLOOKUP(Sales_Data[[#This Row],[Stage]],_xlfn.ANCHORARRAY(Dashboard!$B$20),Dashboard!$D$20:$D$25)</f>
        <v>1</v>
      </c>
      <c r="Q397" t="b" cm="1">
        <f t="array" ref="Q397">_xlfn.XLOOKUP(Sales_Data[[#This Row],[Lead Source]],_xlfn.ANCHORARRAY(Dashboard!$B$28),Dashboard!$D$28:$D$32)</f>
        <v>1</v>
      </c>
      <c r="R397">
        <f>Sales_Data[[#This Row],[Date inc]]*Sales_Data[[#This Row],[Team Inc]]*Sales_Data[[#This Row],[Rep Inc]]*Sales_Data[[#This Row],[Stage Inc]]*Sales_Data[[#This Row],[Source Inc]]</f>
        <v>1</v>
      </c>
    </row>
    <row r="398" spans="1:18" x14ac:dyDescent="0.3">
      <c r="A398" t="s">
        <v>405</v>
      </c>
      <c r="B398" s="2">
        <v>45667</v>
      </c>
      <c r="C398" t="s">
        <v>759</v>
      </c>
      <c r="D398" t="s">
        <v>764</v>
      </c>
      <c r="E398" t="s">
        <v>766</v>
      </c>
      <c r="F398" s="5">
        <v>22900</v>
      </c>
      <c r="G398" t="s">
        <v>781</v>
      </c>
      <c r="H398" s="2">
        <v>45744</v>
      </c>
      <c r="I398" t="s">
        <v>778</v>
      </c>
      <c r="J398" t="str">
        <f>IF(Sales_Data[[#This Row],[Close Date]] &lt;&gt; 0,"Closed", "Open")</f>
        <v>Closed</v>
      </c>
      <c r="K398">
        <f>IF(Sales_Data[[#This Row],[Open/Closed]] = "Closed",Sales_Data[[#This Row],[Close Date]]-Sales_Data[[#This Row],[Created Date]],"")</f>
        <v>77</v>
      </c>
      <c r="L398" s="2">
        <f>EOMONTH(Sales_Data[[#This Row],[Created Date]],0)</f>
        <v>45688</v>
      </c>
      <c r="M398" t="b">
        <f>AND(Sales_Data[[#This Row],[EoM Created]]&gt;=Index!$E$5,Sales_Data[[#This Row],[EoM Created]]&lt;=Index!$E$4)</f>
        <v>1</v>
      </c>
      <c r="N398" t="b" cm="1">
        <f t="array" ref="N398">_xlfn.XLOOKUP(Sales_Data[[#This Row],[Sales Team]],_xlfn.ANCHORARRAY(Dashboard!$B$9),Dashboard!$D$9:$D$10,,0)</f>
        <v>1</v>
      </c>
      <c r="O398" t="b" cm="1">
        <f t="array" ref="O398">_xlfn.XLOOKUP(Sales_Data[[#This Row],[Sales Rep]],_xlfn.ANCHORARRAY(Dashboard!$B$13),Dashboard!$D$13:$D$17,,0)</f>
        <v>1</v>
      </c>
      <c r="P398" t="b" cm="1">
        <f t="array" ref="P398">_xlfn.XLOOKUP(Sales_Data[[#This Row],[Stage]],_xlfn.ANCHORARRAY(Dashboard!$B$20),Dashboard!$D$20:$D$25)</f>
        <v>1</v>
      </c>
      <c r="Q398" t="b" cm="1">
        <f t="array" ref="Q398">_xlfn.XLOOKUP(Sales_Data[[#This Row],[Lead Source]],_xlfn.ANCHORARRAY(Dashboard!$B$28),Dashboard!$D$28:$D$32)</f>
        <v>1</v>
      </c>
      <c r="R398">
        <f>Sales_Data[[#This Row],[Date inc]]*Sales_Data[[#This Row],[Team Inc]]*Sales_Data[[#This Row],[Rep Inc]]*Sales_Data[[#This Row],[Stage Inc]]*Sales_Data[[#This Row],[Source Inc]]</f>
        <v>1</v>
      </c>
    </row>
    <row r="399" spans="1:18" x14ac:dyDescent="0.3">
      <c r="A399" t="s">
        <v>406</v>
      </c>
      <c r="B399" s="2">
        <v>45317</v>
      </c>
      <c r="C399" t="s">
        <v>759</v>
      </c>
      <c r="D399" t="s">
        <v>764</v>
      </c>
      <c r="E399" t="s">
        <v>767</v>
      </c>
      <c r="F399" s="5">
        <v>53500</v>
      </c>
      <c r="G399" t="s">
        <v>780</v>
      </c>
      <c r="H399" s="2">
        <v>45395</v>
      </c>
      <c r="J399" t="str">
        <f>IF(Sales_Data[[#This Row],[Close Date]] &lt;&gt; 0,"Closed", "Open")</f>
        <v>Closed</v>
      </c>
      <c r="K399">
        <f>IF(Sales_Data[[#This Row],[Open/Closed]] = "Closed",Sales_Data[[#This Row],[Close Date]]-Sales_Data[[#This Row],[Created Date]],"")</f>
        <v>78</v>
      </c>
      <c r="L399" s="2">
        <f>EOMONTH(Sales_Data[[#This Row],[Created Date]],0)</f>
        <v>45322</v>
      </c>
      <c r="M399" t="b">
        <f>AND(Sales_Data[[#This Row],[EoM Created]]&gt;=Index!$E$5,Sales_Data[[#This Row],[EoM Created]]&lt;=Index!$E$4)</f>
        <v>1</v>
      </c>
      <c r="N399" t="b" cm="1">
        <f t="array" ref="N399">_xlfn.XLOOKUP(Sales_Data[[#This Row],[Sales Team]],_xlfn.ANCHORARRAY(Dashboard!$B$9),Dashboard!$D$9:$D$10,,0)</f>
        <v>1</v>
      </c>
      <c r="O399" t="b" cm="1">
        <f t="array" ref="O399">_xlfn.XLOOKUP(Sales_Data[[#This Row],[Sales Rep]],_xlfn.ANCHORARRAY(Dashboard!$B$13),Dashboard!$D$13:$D$17,,0)</f>
        <v>1</v>
      </c>
      <c r="P399" t="b" cm="1">
        <f t="array" ref="P399">_xlfn.XLOOKUP(Sales_Data[[#This Row],[Stage]],_xlfn.ANCHORARRAY(Dashboard!$B$20),Dashboard!$D$20:$D$25)</f>
        <v>1</v>
      </c>
      <c r="Q399" t="b" cm="1">
        <f t="array" ref="Q399">_xlfn.XLOOKUP(Sales_Data[[#This Row],[Lead Source]],_xlfn.ANCHORARRAY(Dashboard!$B$28),Dashboard!$D$28:$D$32)</f>
        <v>1</v>
      </c>
      <c r="R399">
        <f>Sales_Data[[#This Row],[Date inc]]*Sales_Data[[#This Row],[Team Inc]]*Sales_Data[[#This Row],[Rep Inc]]*Sales_Data[[#This Row],[Stage Inc]]*Sales_Data[[#This Row],[Source Inc]]</f>
        <v>1</v>
      </c>
    </row>
    <row r="400" spans="1:18" x14ac:dyDescent="0.3">
      <c r="A400" t="s">
        <v>407</v>
      </c>
      <c r="B400" s="2">
        <v>45757</v>
      </c>
      <c r="C400" t="s">
        <v>762</v>
      </c>
      <c r="D400" t="s">
        <v>764</v>
      </c>
      <c r="E400" t="s">
        <v>767</v>
      </c>
      <c r="F400" s="5">
        <v>38900</v>
      </c>
      <c r="G400" t="s">
        <v>773</v>
      </c>
      <c r="H400" s="2"/>
      <c r="J400" t="str">
        <f>IF(Sales_Data[[#This Row],[Close Date]] &lt;&gt; 0,"Closed", "Open")</f>
        <v>Open</v>
      </c>
      <c r="K400" t="str">
        <f>IF(Sales_Data[[#This Row],[Open/Closed]] = "Closed",Sales_Data[[#This Row],[Close Date]]-Sales_Data[[#This Row],[Created Date]],"")</f>
        <v/>
      </c>
      <c r="L400" s="2">
        <f>EOMONTH(Sales_Data[[#This Row],[Created Date]],0)</f>
        <v>45777</v>
      </c>
      <c r="M400" t="b">
        <f>AND(Sales_Data[[#This Row],[EoM Created]]&gt;=Index!$E$5,Sales_Data[[#This Row],[EoM Created]]&lt;=Index!$E$4)</f>
        <v>1</v>
      </c>
      <c r="N400" t="b" cm="1">
        <f t="array" ref="N400">_xlfn.XLOOKUP(Sales_Data[[#This Row],[Sales Team]],_xlfn.ANCHORARRAY(Dashboard!$B$9),Dashboard!$D$9:$D$10,,0)</f>
        <v>1</v>
      </c>
      <c r="O400" t="b" cm="1">
        <f t="array" ref="O400">_xlfn.XLOOKUP(Sales_Data[[#This Row],[Sales Rep]],_xlfn.ANCHORARRAY(Dashboard!$B$13),Dashboard!$D$13:$D$17,,0)</f>
        <v>1</v>
      </c>
      <c r="P400" t="b" cm="1">
        <f t="array" ref="P400">_xlfn.XLOOKUP(Sales_Data[[#This Row],[Stage]],_xlfn.ANCHORARRAY(Dashboard!$B$20),Dashboard!$D$20:$D$25)</f>
        <v>1</v>
      </c>
      <c r="Q400" t="b" cm="1">
        <f t="array" ref="Q400">_xlfn.XLOOKUP(Sales_Data[[#This Row],[Lead Source]],_xlfn.ANCHORARRAY(Dashboard!$B$28),Dashboard!$D$28:$D$32)</f>
        <v>1</v>
      </c>
      <c r="R400">
        <f>Sales_Data[[#This Row],[Date inc]]*Sales_Data[[#This Row],[Team Inc]]*Sales_Data[[#This Row],[Rep Inc]]*Sales_Data[[#This Row],[Stage Inc]]*Sales_Data[[#This Row],[Source Inc]]</f>
        <v>1</v>
      </c>
    </row>
    <row r="401" spans="1:18" x14ac:dyDescent="0.3">
      <c r="A401" t="s">
        <v>408</v>
      </c>
      <c r="B401" s="2">
        <v>45624</v>
      </c>
      <c r="C401" t="s">
        <v>763</v>
      </c>
      <c r="D401" t="s">
        <v>765</v>
      </c>
      <c r="E401" t="s">
        <v>769</v>
      </c>
      <c r="F401" s="5">
        <v>52400</v>
      </c>
      <c r="G401" t="s">
        <v>781</v>
      </c>
      <c r="H401" s="2">
        <v>45700</v>
      </c>
      <c r="I401" t="s">
        <v>776</v>
      </c>
      <c r="J401" t="str">
        <f>IF(Sales_Data[[#This Row],[Close Date]] &lt;&gt; 0,"Closed", "Open")</f>
        <v>Closed</v>
      </c>
      <c r="K401">
        <f>IF(Sales_Data[[#This Row],[Open/Closed]] = "Closed",Sales_Data[[#This Row],[Close Date]]-Sales_Data[[#This Row],[Created Date]],"")</f>
        <v>76</v>
      </c>
      <c r="L401" s="2">
        <f>EOMONTH(Sales_Data[[#This Row],[Created Date]],0)</f>
        <v>45626</v>
      </c>
      <c r="M401" t="b">
        <f>AND(Sales_Data[[#This Row],[EoM Created]]&gt;=Index!$E$5,Sales_Data[[#This Row],[EoM Created]]&lt;=Index!$E$4)</f>
        <v>1</v>
      </c>
      <c r="N401" t="b" cm="1">
        <f t="array" ref="N401">_xlfn.XLOOKUP(Sales_Data[[#This Row],[Sales Team]],_xlfn.ANCHORARRAY(Dashboard!$B$9),Dashboard!$D$9:$D$10,,0)</f>
        <v>1</v>
      </c>
      <c r="O401" t="b" cm="1">
        <f t="array" ref="O401">_xlfn.XLOOKUP(Sales_Data[[#This Row],[Sales Rep]],_xlfn.ANCHORARRAY(Dashboard!$B$13),Dashboard!$D$13:$D$17,,0)</f>
        <v>1</v>
      </c>
      <c r="P401" t="b" cm="1">
        <f t="array" ref="P401">_xlfn.XLOOKUP(Sales_Data[[#This Row],[Stage]],_xlfn.ANCHORARRAY(Dashboard!$B$20),Dashboard!$D$20:$D$25)</f>
        <v>1</v>
      </c>
      <c r="Q401" t="b" cm="1">
        <f t="array" ref="Q401">_xlfn.XLOOKUP(Sales_Data[[#This Row],[Lead Source]],_xlfn.ANCHORARRAY(Dashboard!$B$28),Dashboard!$D$28:$D$32)</f>
        <v>1</v>
      </c>
      <c r="R401">
        <f>Sales_Data[[#This Row],[Date inc]]*Sales_Data[[#This Row],[Team Inc]]*Sales_Data[[#This Row],[Rep Inc]]*Sales_Data[[#This Row],[Stage Inc]]*Sales_Data[[#This Row],[Source Inc]]</f>
        <v>1</v>
      </c>
    </row>
    <row r="402" spans="1:18" x14ac:dyDescent="0.3">
      <c r="A402" t="s">
        <v>409</v>
      </c>
      <c r="B402" s="2">
        <v>44951</v>
      </c>
      <c r="C402" t="s">
        <v>763</v>
      </c>
      <c r="D402" t="s">
        <v>765</v>
      </c>
      <c r="E402" t="s">
        <v>768</v>
      </c>
      <c r="F402" s="5">
        <v>24100</v>
      </c>
      <c r="G402" t="s">
        <v>781</v>
      </c>
      <c r="H402" s="2">
        <v>45032</v>
      </c>
      <c r="I402" t="s">
        <v>778</v>
      </c>
      <c r="J402" t="str">
        <f>IF(Sales_Data[[#This Row],[Close Date]] &lt;&gt; 0,"Closed", "Open")</f>
        <v>Closed</v>
      </c>
      <c r="K402">
        <f>IF(Sales_Data[[#This Row],[Open/Closed]] = "Closed",Sales_Data[[#This Row],[Close Date]]-Sales_Data[[#This Row],[Created Date]],"")</f>
        <v>81</v>
      </c>
      <c r="L402" s="2">
        <f>EOMONTH(Sales_Data[[#This Row],[Created Date]],0)</f>
        <v>44957</v>
      </c>
      <c r="M402" t="b">
        <f>AND(Sales_Data[[#This Row],[EoM Created]]&gt;=Index!$E$5,Sales_Data[[#This Row],[EoM Created]]&lt;=Index!$E$4)</f>
        <v>0</v>
      </c>
      <c r="N402" t="b" cm="1">
        <f t="array" ref="N402">_xlfn.XLOOKUP(Sales_Data[[#This Row],[Sales Team]],_xlfn.ANCHORARRAY(Dashboard!$B$9),Dashboard!$D$9:$D$10,,0)</f>
        <v>1</v>
      </c>
      <c r="O402" t="b" cm="1">
        <f t="array" ref="O402">_xlfn.XLOOKUP(Sales_Data[[#This Row],[Sales Rep]],_xlfn.ANCHORARRAY(Dashboard!$B$13),Dashboard!$D$13:$D$17,,0)</f>
        <v>1</v>
      </c>
      <c r="P402" t="b" cm="1">
        <f t="array" ref="P402">_xlfn.XLOOKUP(Sales_Data[[#This Row],[Stage]],_xlfn.ANCHORARRAY(Dashboard!$B$20),Dashboard!$D$20:$D$25)</f>
        <v>1</v>
      </c>
      <c r="Q402" t="b" cm="1">
        <f t="array" ref="Q402">_xlfn.XLOOKUP(Sales_Data[[#This Row],[Lead Source]],_xlfn.ANCHORARRAY(Dashboard!$B$28),Dashboard!$D$28:$D$32)</f>
        <v>1</v>
      </c>
      <c r="R402">
        <f>Sales_Data[[#This Row],[Date inc]]*Sales_Data[[#This Row],[Team Inc]]*Sales_Data[[#This Row],[Rep Inc]]*Sales_Data[[#This Row],[Stage Inc]]*Sales_Data[[#This Row],[Source Inc]]</f>
        <v>0</v>
      </c>
    </row>
    <row r="403" spans="1:18" x14ac:dyDescent="0.3">
      <c r="A403" t="s">
        <v>410</v>
      </c>
      <c r="B403" s="2">
        <v>45751</v>
      </c>
      <c r="C403" t="s">
        <v>763</v>
      </c>
      <c r="D403" t="s">
        <v>765</v>
      </c>
      <c r="E403" t="s">
        <v>770</v>
      </c>
      <c r="F403" s="5">
        <v>34000</v>
      </c>
      <c r="G403" t="s">
        <v>771</v>
      </c>
      <c r="H403" s="2"/>
      <c r="J403" t="str">
        <f>IF(Sales_Data[[#This Row],[Close Date]] &lt;&gt; 0,"Closed", "Open")</f>
        <v>Open</v>
      </c>
      <c r="K403" t="str">
        <f>IF(Sales_Data[[#This Row],[Open/Closed]] = "Closed",Sales_Data[[#This Row],[Close Date]]-Sales_Data[[#This Row],[Created Date]],"")</f>
        <v/>
      </c>
      <c r="L403" s="2">
        <f>EOMONTH(Sales_Data[[#This Row],[Created Date]],0)</f>
        <v>45777</v>
      </c>
      <c r="M403" t="b">
        <f>AND(Sales_Data[[#This Row],[EoM Created]]&gt;=Index!$E$5,Sales_Data[[#This Row],[EoM Created]]&lt;=Index!$E$4)</f>
        <v>1</v>
      </c>
      <c r="N403" t="b" cm="1">
        <f t="array" ref="N403">_xlfn.XLOOKUP(Sales_Data[[#This Row],[Sales Team]],_xlfn.ANCHORARRAY(Dashboard!$B$9),Dashboard!$D$9:$D$10,,0)</f>
        <v>1</v>
      </c>
      <c r="O403" t="b" cm="1">
        <f t="array" ref="O403">_xlfn.XLOOKUP(Sales_Data[[#This Row],[Sales Rep]],_xlfn.ANCHORARRAY(Dashboard!$B$13),Dashboard!$D$13:$D$17,,0)</f>
        <v>1</v>
      </c>
      <c r="P403" t="b" cm="1">
        <f t="array" ref="P403">_xlfn.XLOOKUP(Sales_Data[[#This Row],[Stage]],_xlfn.ANCHORARRAY(Dashboard!$B$20),Dashboard!$D$20:$D$25)</f>
        <v>1</v>
      </c>
      <c r="Q403" t="b" cm="1">
        <f t="array" ref="Q403">_xlfn.XLOOKUP(Sales_Data[[#This Row],[Lead Source]],_xlfn.ANCHORARRAY(Dashboard!$B$28),Dashboard!$D$28:$D$32)</f>
        <v>1</v>
      </c>
      <c r="R403">
        <f>Sales_Data[[#This Row],[Date inc]]*Sales_Data[[#This Row],[Team Inc]]*Sales_Data[[#This Row],[Rep Inc]]*Sales_Data[[#This Row],[Stage Inc]]*Sales_Data[[#This Row],[Source Inc]]</f>
        <v>1</v>
      </c>
    </row>
    <row r="404" spans="1:18" x14ac:dyDescent="0.3">
      <c r="A404" t="s">
        <v>411</v>
      </c>
      <c r="B404" s="2">
        <v>45344</v>
      </c>
      <c r="C404" t="s">
        <v>763</v>
      </c>
      <c r="D404" t="s">
        <v>765</v>
      </c>
      <c r="E404" t="s">
        <v>768</v>
      </c>
      <c r="F404" s="5">
        <v>40100</v>
      </c>
      <c r="G404" t="s">
        <v>781</v>
      </c>
      <c r="H404" s="2">
        <v>45411</v>
      </c>
      <c r="I404" t="s">
        <v>779</v>
      </c>
      <c r="J404" t="str">
        <f>IF(Sales_Data[[#This Row],[Close Date]] &lt;&gt; 0,"Closed", "Open")</f>
        <v>Closed</v>
      </c>
      <c r="K404">
        <f>IF(Sales_Data[[#This Row],[Open/Closed]] = "Closed",Sales_Data[[#This Row],[Close Date]]-Sales_Data[[#This Row],[Created Date]],"")</f>
        <v>67</v>
      </c>
      <c r="L404" s="2">
        <f>EOMONTH(Sales_Data[[#This Row],[Created Date]],0)</f>
        <v>45351</v>
      </c>
      <c r="M404" t="b">
        <f>AND(Sales_Data[[#This Row],[EoM Created]]&gt;=Index!$E$5,Sales_Data[[#This Row],[EoM Created]]&lt;=Index!$E$4)</f>
        <v>1</v>
      </c>
      <c r="N404" t="b" cm="1">
        <f t="array" ref="N404">_xlfn.XLOOKUP(Sales_Data[[#This Row],[Sales Team]],_xlfn.ANCHORARRAY(Dashboard!$B$9),Dashboard!$D$9:$D$10,,0)</f>
        <v>1</v>
      </c>
      <c r="O404" t="b" cm="1">
        <f t="array" ref="O404">_xlfn.XLOOKUP(Sales_Data[[#This Row],[Sales Rep]],_xlfn.ANCHORARRAY(Dashboard!$B$13),Dashboard!$D$13:$D$17,,0)</f>
        <v>1</v>
      </c>
      <c r="P404" t="b" cm="1">
        <f t="array" ref="P404">_xlfn.XLOOKUP(Sales_Data[[#This Row],[Stage]],_xlfn.ANCHORARRAY(Dashboard!$B$20),Dashboard!$D$20:$D$25)</f>
        <v>1</v>
      </c>
      <c r="Q404" t="b" cm="1">
        <f t="array" ref="Q404">_xlfn.XLOOKUP(Sales_Data[[#This Row],[Lead Source]],_xlfn.ANCHORARRAY(Dashboard!$B$28),Dashboard!$D$28:$D$32)</f>
        <v>1</v>
      </c>
      <c r="R404">
        <f>Sales_Data[[#This Row],[Date inc]]*Sales_Data[[#This Row],[Team Inc]]*Sales_Data[[#This Row],[Rep Inc]]*Sales_Data[[#This Row],[Stage Inc]]*Sales_Data[[#This Row],[Source Inc]]</f>
        <v>1</v>
      </c>
    </row>
    <row r="405" spans="1:18" x14ac:dyDescent="0.3">
      <c r="A405" t="s">
        <v>412</v>
      </c>
      <c r="B405" s="2">
        <v>45815</v>
      </c>
      <c r="C405" t="s">
        <v>762</v>
      </c>
      <c r="D405" t="s">
        <v>764</v>
      </c>
      <c r="E405" t="s">
        <v>767</v>
      </c>
      <c r="F405" s="5">
        <v>40500</v>
      </c>
      <c r="G405" t="s">
        <v>781</v>
      </c>
      <c r="H405" s="2">
        <v>45879</v>
      </c>
      <c r="I405" t="s">
        <v>779</v>
      </c>
      <c r="J405" t="str">
        <f>IF(Sales_Data[[#This Row],[Close Date]] &lt;&gt; 0,"Closed", "Open")</f>
        <v>Closed</v>
      </c>
      <c r="K405">
        <f>IF(Sales_Data[[#This Row],[Open/Closed]] = "Closed",Sales_Data[[#This Row],[Close Date]]-Sales_Data[[#This Row],[Created Date]],"")</f>
        <v>64</v>
      </c>
      <c r="L405" s="2">
        <f>EOMONTH(Sales_Data[[#This Row],[Created Date]],0)</f>
        <v>45838</v>
      </c>
      <c r="M405" t="b">
        <f>AND(Sales_Data[[#This Row],[EoM Created]]&gt;=Index!$E$5,Sales_Data[[#This Row],[EoM Created]]&lt;=Index!$E$4)</f>
        <v>1</v>
      </c>
      <c r="N405" t="b" cm="1">
        <f t="array" ref="N405">_xlfn.XLOOKUP(Sales_Data[[#This Row],[Sales Team]],_xlfn.ANCHORARRAY(Dashboard!$B$9),Dashboard!$D$9:$D$10,,0)</f>
        <v>1</v>
      </c>
      <c r="O405" t="b" cm="1">
        <f t="array" ref="O405">_xlfn.XLOOKUP(Sales_Data[[#This Row],[Sales Rep]],_xlfn.ANCHORARRAY(Dashboard!$B$13),Dashboard!$D$13:$D$17,,0)</f>
        <v>1</v>
      </c>
      <c r="P405" t="b" cm="1">
        <f t="array" ref="P405">_xlfn.XLOOKUP(Sales_Data[[#This Row],[Stage]],_xlfn.ANCHORARRAY(Dashboard!$B$20),Dashboard!$D$20:$D$25)</f>
        <v>1</v>
      </c>
      <c r="Q405" t="b" cm="1">
        <f t="array" ref="Q405">_xlfn.XLOOKUP(Sales_Data[[#This Row],[Lead Source]],_xlfn.ANCHORARRAY(Dashboard!$B$28),Dashboard!$D$28:$D$32)</f>
        <v>1</v>
      </c>
      <c r="R405">
        <f>Sales_Data[[#This Row],[Date inc]]*Sales_Data[[#This Row],[Team Inc]]*Sales_Data[[#This Row],[Rep Inc]]*Sales_Data[[#This Row],[Stage Inc]]*Sales_Data[[#This Row],[Source Inc]]</f>
        <v>1</v>
      </c>
    </row>
    <row r="406" spans="1:18" x14ac:dyDescent="0.3">
      <c r="A406" t="s">
        <v>413</v>
      </c>
      <c r="B406" s="2">
        <v>45016</v>
      </c>
      <c r="C406" t="s">
        <v>761</v>
      </c>
      <c r="D406" t="s">
        <v>765</v>
      </c>
      <c r="E406" t="s">
        <v>768</v>
      </c>
      <c r="F406" s="5">
        <v>35500</v>
      </c>
      <c r="G406" t="s">
        <v>781</v>
      </c>
      <c r="H406" s="2">
        <v>45094</v>
      </c>
      <c r="I406" t="s">
        <v>777</v>
      </c>
      <c r="J406" t="str">
        <f>IF(Sales_Data[[#This Row],[Close Date]] &lt;&gt; 0,"Closed", "Open")</f>
        <v>Closed</v>
      </c>
      <c r="K406">
        <f>IF(Sales_Data[[#This Row],[Open/Closed]] = "Closed",Sales_Data[[#This Row],[Close Date]]-Sales_Data[[#This Row],[Created Date]],"")</f>
        <v>78</v>
      </c>
      <c r="L406" s="2">
        <f>EOMONTH(Sales_Data[[#This Row],[Created Date]],0)</f>
        <v>45016</v>
      </c>
      <c r="M406" t="b">
        <f>AND(Sales_Data[[#This Row],[EoM Created]]&gt;=Index!$E$5,Sales_Data[[#This Row],[EoM Created]]&lt;=Index!$E$4)</f>
        <v>0</v>
      </c>
      <c r="N406" t="b" cm="1">
        <f t="array" ref="N406">_xlfn.XLOOKUP(Sales_Data[[#This Row],[Sales Team]],_xlfn.ANCHORARRAY(Dashboard!$B$9),Dashboard!$D$9:$D$10,,0)</f>
        <v>1</v>
      </c>
      <c r="O406" t="b" cm="1">
        <f t="array" ref="O406">_xlfn.XLOOKUP(Sales_Data[[#This Row],[Sales Rep]],_xlfn.ANCHORARRAY(Dashboard!$B$13),Dashboard!$D$13:$D$17,,0)</f>
        <v>1</v>
      </c>
      <c r="P406" t="b" cm="1">
        <f t="array" ref="P406">_xlfn.XLOOKUP(Sales_Data[[#This Row],[Stage]],_xlfn.ANCHORARRAY(Dashboard!$B$20),Dashboard!$D$20:$D$25)</f>
        <v>1</v>
      </c>
      <c r="Q406" t="b" cm="1">
        <f t="array" ref="Q406">_xlfn.XLOOKUP(Sales_Data[[#This Row],[Lead Source]],_xlfn.ANCHORARRAY(Dashboard!$B$28),Dashboard!$D$28:$D$32)</f>
        <v>1</v>
      </c>
      <c r="R406">
        <f>Sales_Data[[#This Row],[Date inc]]*Sales_Data[[#This Row],[Team Inc]]*Sales_Data[[#This Row],[Rep Inc]]*Sales_Data[[#This Row],[Stage Inc]]*Sales_Data[[#This Row],[Source Inc]]</f>
        <v>0</v>
      </c>
    </row>
    <row r="407" spans="1:18" x14ac:dyDescent="0.3">
      <c r="A407" t="s">
        <v>414</v>
      </c>
      <c r="B407" s="2">
        <v>45006</v>
      </c>
      <c r="C407" t="s">
        <v>760</v>
      </c>
      <c r="D407" t="s">
        <v>764</v>
      </c>
      <c r="E407" t="s">
        <v>766</v>
      </c>
      <c r="F407" s="5">
        <v>46200</v>
      </c>
      <c r="G407" t="s">
        <v>780</v>
      </c>
      <c r="H407" s="2">
        <v>45066</v>
      </c>
      <c r="J407" t="str">
        <f>IF(Sales_Data[[#This Row],[Close Date]] &lt;&gt; 0,"Closed", "Open")</f>
        <v>Closed</v>
      </c>
      <c r="K407">
        <f>IF(Sales_Data[[#This Row],[Open/Closed]] = "Closed",Sales_Data[[#This Row],[Close Date]]-Sales_Data[[#This Row],[Created Date]],"")</f>
        <v>60</v>
      </c>
      <c r="L407" s="2">
        <f>EOMONTH(Sales_Data[[#This Row],[Created Date]],0)</f>
        <v>45016</v>
      </c>
      <c r="M407" t="b">
        <f>AND(Sales_Data[[#This Row],[EoM Created]]&gt;=Index!$E$5,Sales_Data[[#This Row],[EoM Created]]&lt;=Index!$E$4)</f>
        <v>0</v>
      </c>
      <c r="N407" t="b" cm="1">
        <f t="array" ref="N407">_xlfn.XLOOKUP(Sales_Data[[#This Row],[Sales Team]],_xlfn.ANCHORARRAY(Dashboard!$B$9),Dashboard!$D$9:$D$10,,0)</f>
        <v>1</v>
      </c>
      <c r="O407" t="b" cm="1">
        <f t="array" ref="O407">_xlfn.XLOOKUP(Sales_Data[[#This Row],[Sales Rep]],_xlfn.ANCHORARRAY(Dashboard!$B$13),Dashboard!$D$13:$D$17,,0)</f>
        <v>1</v>
      </c>
      <c r="P407" t="b" cm="1">
        <f t="array" ref="P407">_xlfn.XLOOKUP(Sales_Data[[#This Row],[Stage]],_xlfn.ANCHORARRAY(Dashboard!$B$20),Dashboard!$D$20:$D$25)</f>
        <v>1</v>
      </c>
      <c r="Q407" t="b" cm="1">
        <f t="array" ref="Q407">_xlfn.XLOOKUP(Sales_Data[[#This Row],[Lead Source]],_xlfn.ANCHORARRAY(Dashboard!$B$28),Dashboard!$D$28:$D$32)</f>
        <v>1</v>
      </c>
      <c r="R407">
        <f>Sales_Data[[#This Row],[Date inc]]*Sales_Data[[#This Row],[Team Inc]]*Sales_Data[[#This Row],[Rep Inc]]*Sales_Data[[#This Row],[Stage Inc]]*Sales_Data[[#This Row],[Source Inc]]</f>
        <v>0</v>
      </c>
    </row>
    <row r="408" spans="1:18" x14ac:dyDescent="0.3">
      <c r="A408" t="s">
        <v>415</v>
      </c>
      <c r="B408" s="2">
        <v>45289</v>
      </c>
      <c r="C408" t="s">
        <v>761</v>
      </c>
      <c r="D408" t="s">
        <v>765</v>
      </c>
      <c r="E408" t="s">
        <v>770</v>
      </c>
      <c r="F408" s="5">
        <v>29300</v>
      </c>
      <c r="G408" t="s">
        <v>781</v>
      </c>
      <c r="H408" s="2">
        <v>45369</v>
      </c>
      <c r="I408" t="s">
        <v>778</v>
      </c>
      <c r="J408" t="str">
        <f>IF(Sales_Data[[#This Row],[Close Date]] &lt;&gt; 0,"Closed", "Open")</f>
        <v>Closed</v>
      </c>
      <c r="K408">
        <f>IF(Sales_Data[[#This Row],[Open/Closed]] = "Closed",Sales_Data[[#This Row],[Close Date]]-Sales_Data[[#This Row],[Created Date]],"")</f>
        <v>80</v>
      </c>
      <c r="L408" s="2">
        <f>EOMONTH(Sales_Data[[#This Row],[Created Date]],0)</f>
        <v>45291</v>
      </c>
      <c r="M408" t="b">
        <f>AND(Sales_Data[[#This Row],[EoM Created]]&gt;=Index!$E$5,Sales_Data[[#This Row],[EoM Created]]&lt;=Index!$E$4)</f>
        <v>1</v>
      </c>
      <c r="N408" t="b" cm="1">
        <f t="array" ref="N408">_xlfn.XLOOKUP(Sales_Data[[#This Row],[Sales Team]],_xlfn.ANCHORARRAY(Dashboard!$B$9),Dashboard!$D$9:$D$10,,0)</f>
        <v>1</v>
      </c>
      <c r="O408" t="b" cm="1">
        <f t="array" ref="O408">_xlfn.XLOOKUP(Sales_Data[[#This Row],[Sales Rep]],_xlfn.ANCHORARRAY(Dashboard!$B$13),Dashboard!$D$13:$D$17,,0)</f>
        <v>1</v>
      </c>
      <c r="P408" t="b" cm="1">
        <f t="array" ref="P408">_xlfn.XLOOKUP(Sales_Data[[#This Row],[Stage]],_xlfn.ANCHORARRAY(Dashboard!$B$20),Dashboard!$D$20:$D$25)</f>
        <v>1</v>
      </c>
      <c r="Q408" t="b" cm="1">
        <f t="array" ref="Q408">_xlfn.XLOOKUP(Sales_Data[[#This Row],[Lead Source]],_xlfn.ANCHORARRAY(Dashboard!$B$28),Dashboard!$D$28:$D$32)</f>
        <v>1</v>
      </c>
      <c r="R408">
        <f>Sales_Data[[#This Row],[Date inc]]*Sales_Data[[#This Row],[Team Inc]]*Sales_Data[[#This Row],[Rep Inc]]*Sales_Data[[#This Row],[Stage Inc]]*Sales_Data[[#This Row],[Source Inc]]</f>
        <v>1</v>
      </c>
    </row>
    <row r="409" spans="1:18" x14ac:dyDescent="0.3">
      <c r="A409" t="s">
        <v>416</v>
      </c>
      <c r="B409" s="2">
        <v>45349</v>
      </c>
      <c r="C409" t="s">
        <v>763</v>
      </c>
      <c r="D409" t="s">
        <v>765</v>
      </c>
      <c r="E409" t="s">
        <v>768</v>
      </c>
      <c r="F409" s="5">
        <v>38600</v>
      </c>
      <c r="G409" t="s">
        <v>780</v>
      </c>
      <c r="H409" s="2">
        <v>45412</v>
      </c>
      <c r="J409" t="str">
        <f>IF(Sales_Data[[#This Row],[Close Date]] &lt;&gt; 0,"Closed", "Open")</f>
        <v>Closed</v>
      </c>
      <c r="K409">
        <f>IF(Sales_Data[[#This Row],[Open/Closed]] = "Closed",Sales_Data[[#This Row],[Close Date]]-Sales_Data[[#This Row],[Created Date]],"")</f>
        <v>63</v>
      </c>
      <c r="L409" s="2">
        <f>EOMONTH(Sales_Data[[#This Row],[Created Date]],0)</f>
        <v>45351</v>
      </c>
      <c r="M409" t="b">
        <f>AND(Sales_Data[[#This Row],[EoM Created]]&gt;=Index!$E$5,Sales_Data[[#This Row],[EoM Created]]&lt;=Index!$E$4)</f>
        <v>1</v>
      </c>
      <c r="N409" t="b" cm="1">
        <f t="array" ref="N409">_xlfn.XLOOKUP(Sales_Data[[#This Row],[Sales Team]],_xlfn.ANCHORARRAY(Dashboard!$B$9),Dashboard!$D$9:$D$10,,0)</f>
        <v>1</v>
      </c>
      <c r="O409" t="b" cm="1">
        <f t="array" ref="O409">_xlfn.XLOOKUP(Sales_Data[[#This Row],[Sales Rep]],_xlfn.ANCHORARRAY(Dashboard!$B$13),Dashboard!$D$13:$D$17,,0)</f>
        <v>1</v>
      </c>
      <c r="P409" t="b" cm="1">
        <f t="array" ref="P409">_xlfn.XLOOKUP(Sales_Data[[#This Row],[Stage]],_xlfn.ANCHORARRAY(Dashboard!$B$20),Dashboard!$D$20:$D$25)</f>
        <v>1</v>
      </c>
      <c r="Q409" t="b" cm="1">
        <f t="array" ref="Q409">_xlfn.XLOOKUP(Sales_Data[[#This Row],[Lead Source]],_xlfn.ANCHORARRAY(Dashboard!$B$28),Dashboard!$D$28:$D$32)</f>
        <v>1</v>
      </c>
      <c r="R409">
        <f>Sales_Data[[#This Row],[Date inc]]*Sales_Data[[#This Row],[Team Inc]]*Sales_Data[[#This Row],[Rep Inc]]*Sales_Data[[#This Row],[Stage Inc]]*Sales_Data[[#This Row],[Source Inc]]</f>
        <v>1</v>
      </c>
    </row>
    <row r="410" spans="1:18" x14ac:dyDescent="0.3">
      <c r="A410" t="s">
        <v>417</v>
      </c>
      <c r="B410" s="2">
        <v>45711</v>
      </c>
      <c r="C410" t="s">
        <v>761</v>
      </c>
      <c r="D410" t="s">
        <v>765</v>
      </c>
      <c r="E410" t="s">
        <v>768</v>
      </c>
      <c r="F410" s="5">
        <v>41200</v>
      </c>
      <c r="G410" t="s">
        <v>781</v>
      </c>
      <c r="H410" s="2">
        <v>45776</v>
      </c>
      <c r="I410" t="s">
        <v>779</v>
      </c>
      <c r="J410" t="str">
        <f>IF(Sales_Data[[#This Row],[Close Date]] &lt;&gt; 0,"Closed", "Open")</f>
        <v>Closed</v>
      </c>
      <c r="K410">
        <f>IF(Sales_Data[[#This Row],[Open/Closed]] = "Closed",Sales_Data[[#This Row],[Close Date]]-Sales_Data[[#This Row],[Created Date]],"")</f>
        <v>65</v>
      </c>
      <c r="L410" s="2">
        <f>EOMONTH(Sales_Data[[#This Row],[Created Date]],0)</f>
        <v>45716</v>
      </c>
      <c r="M410" t="b">
        <f>AND(Sales_Data[[#This Row],[EoM Created]]&gt;=Index!$E$5,Sales_Data[[#This Row],[EoM Created]]&lt;=Index!$E$4)</f>
        <v>1</v>
      </c>
      <c r="N410" t="b" cm="1">
        <f t="array" ref="N410">_xlfn.XLOOKUP(Sales_Data[[#This Row],[Sales Team]],_xlfn.ANCHORARRAY(Dashboard!$B$9),Dashboard!$D$9:$D$10,,0)</f>
        <v>1</v>
      </c>
      <c r="O410" t="b" cm="1">
        <f t="array" ref="O410">_xlfn.XLOOKUP(Sales_Data[[#This Row],[Sales Rep]],_xlfn.ANCHORARRAY(Dashboard!$B$13),Dashboard!$D$13:$D$17,,0)</f>
        <v>1</v>
      </c>
      <c r="P410" t="b" cm="1">
        <f t="array" ref="P410">_xlfn.XLOOKUP(Sales_Data[[#This Row],[Stage]],_xlfn.ANCHORARRAY(Dashboard!$B$20),Dashboard!$D$20:$D$25)</f>
        <v>1</v>
      </c>
      <c r="Q410" t="b" cm="1">
        <f t="array" ref="Q410">_xlfn.XLOOKUP(Sales_Data[[#This Row],[Lead Source]],_xlfn.ANCHORARRAY(Dashboard!$B$28),Dashboard!$D$28:$D$32)</f>
        <v>1</v>
      </c>
      <c r="R410">
        <f>Sales_Data[[#This Row],[Date inc]]*Sales_Data[[#This Row],[Team Inc]]*Sales_Data[[#This Row],[Rep Inc]]*Sales_Data[[#This Row],[Stage Inc]]*Sales_Data[[#This Row],[Source Inc]]</f>
        <v>1</v>
      </c>
    </row>
    <row r="411" spans="1:18" x14ac:dyDescent="0.3">
      <c r="A411" t="s">
        <v>418</v>
      </c>
      <c r="B411" s="2">
        <v>45646</v>
      </c>
      <c r="C411" t="s">
        <v>760</v>
      </c>
      <c r="D411" t="s">
        <v>764</v>
      </c>
      <c r="E411" t="s">
        <v>767</v>
      </c>
      <c r="F411" s="5">
        <v>45100</v>
      </c>
      <c r="G411" t="s">
        <v>780</v>
      </c>
      <c r="H411" s="2">
        <v>45729</v>
      </c>
      <c r="J411" t="str">
        <f>IF(Sales_Data[[#This Row],[Close Date]] &lt;&gt; 0,"Closed", "Open")</f>
        <v>Closed</v>
      </c>
      <c r="K411">
        <f>IF(Sales_Data[[#This Row],[Open/Closed]] = "Closed",Sales_Data[[#This Row],[Close Date]]-Sales_Data[[#This Row],[Created Date]],"")</f>
        <v>83</v>
      </c>
      <c r="L411" s="2">
        <f>EOMONTH(Sales_Data[[#This Row],[Created Date]],0)</f>
        <v>45657</v>
      </c>
      <c r="M411" t="b">
        <f>AND(Sales_Data[[#This Row],[EoM Created]]&gt;=Index!$E$5,Sales_Data[[#This Row],[EoM Created]]&lt;=Index!$E$4)</f>
        <v>1</v>
      </c>
      <c r="N411" t="b" cm="1">
        <f t="array" ref="N411">_xlfn.XLOOKUP(Sales_Data[[#This Row],[Sales Team]],_xlfn.ANCHORARRAY(Dashboard!$B$9),Dashboard!$D$9:$D$10,,0)</f>
        <v>1</v>
      </c>
      <c r="O411" t="b" cm="1">
        <f t="array" ref="O411">_xlfn.XLOOKUP(Sales_Data[[#This Row],[Sales Rep]],_xlfn.ANCHORARRAY(Dashboard!$B$13),Dashboard!$D$13:$D$17,,0)</f>
        <v>1</v>
      </c>
      <c r="P411" t="b" cm="1">
        <f t="array" ref="P411">_xlfn.XLOOKUP(Sales_Data[[#This Row],[Stage]],_xlfn.ANCHORARRAY(Dashboard!$B$20),Dashboard!$D$20:$D$25)</f>
        <v>1</v>
      </c>
      <c r="Q411" t="b" cm="1">
        <f t="array" ref="Q411">_xlfn.XLOOKUP(Sales_Data[[#This Row],[Lead Source]],_xlfn.ANCHORARRAY(Dashboard!$B$28),Dashboard!$D$28:$D$32)</f>
        <v>1</v>
      </c>
      <c r="R411">
        <f>Sales_Data[[#This Row],[Date inc]]*Sales_Data[[#This Row],[Team Inc]]*Sales_Data[[#This Row],[Rep Inc]]*Sales_Data[[#This Row],[Stage Inc]]*Sales_Data[[#This Row],[Source Inc]]</f>
        <v>1</v>
      </c>
    </row>
    <row r="412" spans="1:18" x14ac:dyDescent="0.3">
      <c r="A412" t="s">
        <v>419</v>
      </c>
      <c r="B412" s="2">
        <v>45364</v>
      </c>
      <c r="C412" t="s">
        <v>760</v>
      </c>
      <c r="D412" t="s">
        <v>764</v>
      </c>
      <c r="E412" t="s">
        <v>766</v>
      </c>
      <c r="F412" s="5">
        <v>47100</v>
      </c>
      <c r="G412" t="s">
        <v>781</v>
      </c>
      <c r="H412" s="2">
        <v>45441</v>
      </c>
      <c r="I412" t="s">
        <v>778</v>
      </c>
      <c r="J412" t="str">
        <f>IF(Sales_Data[[#This Row],[Close Date]] &lt;&gt; 0,"Closed", "Open")</f>
        <v>Closed</v>
      </c>
      <c r="K412">
        <f>IF(Sales_Data[[#This Row],[Open/Closed]] = "Closed",Sales_Data[[#This Row],[Close Date]]-Sales_Data[[#This Row],[Created Date]],"")</f>
        <v>77</v>
      </c>
      <c r="L412" s="2">
        <f>EOMONTH(Sales_Data[[#This Row],[Created Date]],0)</f>
        <v>45382</v>
      </c>
      <c r="M412" t="b">
        <f>AND(Sales_Data[[#This Row],[EoM Created]]&gt;=Index!$E$5,Sales_Data[[#This Row],[EoM Created]]&lt;=Index!$E$4)</f>
        <v>1</v>
      </c>
      <c r="N412" t="b" cm="1">
        <f t="array" ref="N412">_xlfn.XLOOKUP(Sales_Data[[#This Row],[Sales Team]],_xlfn.ANCHORARRAY(Dashboard!$B$9),Dashboard!$D$9:$D$10,,0)</f>
        <v>1</v>
      </c>
      <c r="O412" t="b" cm="1">
        <f t="array" ref="O412">_xlfn.XLOOKUP(Sales_Data[[#This Row],[Sales Rep]],_xlfn.ANCHORARRAY(Dashboard!$B$13),Dashboard!$D$13:$D$17,,0)</f>
        <v>1</v>
      </c>
      <c r="P412" t="b" cm="1">
        <f t="array" ref="P412">_xlfn.XLOOKUP(Sales_Data[[#This Row],[Stage]],_xlfn.ANCHORARRAY(Dashboard!$B$20),Dashboard!$D$20:$D$25)</f>
        <v>1</v>
      </c>
      <c r="Q412" t="b" cm="1">
        <f t="array" ref="Q412">_xlfn.XLOOKUP(Sales_Data[[#This Row],[Lead Source]],_xlfn.ANCHORARRAY(Dashboard!$B$28),Dashboard!$D$28:$D$32)</f>
        <v>1</v>
      </c>
      <c r="R412">
        <f>Sales_Data[[#This Row],[Date inc]]*Sales_Data[[#This Row],[Team Inc]]*Sales_Data[[#This Row],[Rep Inc]]*Sales_Data[[#This Row],[Stage Inc]]*Sales_Data[[#This Row],[Source Inc]]</f>
        <v>1</v>
      </c>
    </row>
    <row r="413" spans="1:18" x14ac:dyDescent="0.3">
      <c r="A413" t="s">
        <v>420</v>
      </c>
      <c r="B413" s="2">
        <v>44971</v>
      </c>
      <c r="C413" t="s">
        <v>759</v>
      </c>
      <c r="D413" t="s">
        <v>764</v>
      </c>
      <c r="E413" t="s">
        <v>767</v>
      </c>
      <c r="F413" s="5">
        <v>28800</v>
      </c>
      <c r="G413" t="s">
        <v>781</v>
      </c>
      <c r="H413" s="2">
        <v>45049</v>
      </c>
      <c r="I413" t="s">
        <v>775</v>
      </c>
      <c r="J413" t="str">
        <f>IF(Sales_Data[[#This Row],[Close Date]] &lt;&gt; 0,"Closed", "Open")</f>
        <v>Closed</v>
      </c>
      <c r="K413">
        <f>IF(Sales_Data[[#This Row],[Open/Closed]] = "Closed",Sales_Data[[#This Row],[Close Date]]-Sales_Data[[#This Row],[Created Date]],"")</f>
        <v>78</v>
      </c>
      <c r="L413" s="2">
        <f>EOMONTH(Sales_Data[[#This Row],[Created Date]],0)</f>
        <v>44985</v>
      </c>
      <c r="M413" t="b">
        <f>AND(Sales_Data[[#This Row],[EoM Created]]&gt;=Index!$E$5,Sales_Data[[#This Row],[EoM Created]]&lt;=Index!$E$4)</f>
        <v>0</v>
      </c>
      <c r="N413" t="b" cm="1">
        <f t="array" ref="N413">_xlfn.XLOOKUP(Sales_Data[[#This Row],[Sales Team]],_xlfn.ANCHORARRAY(Dashboard!$B$9),Dashboard!$D$9:$D$10,,0)</f>
        <v>1</v>
      </c>
      <c r="O413" t="b" cm="1">
        <f t="array" ref="O413">_xlfn.XLOOKUP(Sales_Data[[#This Row],[Sales Rep]],_xlfn.ANCHORARRAY(Dashboard!$B$13),Dashboard!$D$13:$D$17,,0)</f>
        <v>1</v>
      </c>
      <c r="P413" t="b" cm="1">
        <f t="array" ref="P413">_xlfn.XLOOKUP(Sales_Data[[#This Row],[Stage]],_xlfn.ANCHORARRAY(Dashboard!$B$20),Dashboard!$D$20:$D$25)</f>
        <v>1</v>
      </c>
      <c r="Q413" t="b" cm="1">
        <f t="array" ref="Q413">_xlfn.XLOOKUP(Sales_Data[[#This Row],[Lead Source]],_xlfn.ANCHORARRAY(Dashboard!$B$28),Dashboard!$D$28:$D$32)</f>
        <v>1</v>
      </c>
      <c r="R413">
        <f>Sales_Data[[#This Row],[Date inc]]*Sales_Data[[#This Row],[Team Inc]]*Sales_Data[[#This Row],[Rep Inc]]*Sales_Data[[#This Row],[Stage Inc]]*Sales_Data[[#This Row],[Source Inc]]</f>
        <v>0</v>
      </c>
    </row>
    <row r="414" spans="1:18" x14ac:dyDescent="0.3">
      <c r="A414" t="s">
        <v>421</v>
      </c>
      <c r="B414" s="2">
        <v>45034</v>
      </c>
      <c r="C414" t="s">
        <v>762</v>
      </c>
      <c r="D414" t="s">
        <v>764</v>
      </c>
      <c r="E414" t="s">
        <v>766</v>
      </c>
      <c r="F414" s="5">
        <v>24700</v>
      </c>
      <c r="G414" t="s">
        <v>780</v>
      </c>
      <c r="H414" s="2">
        <v>45101</v>
      </c>
      <c r="J414" t="str">
        <f>IF(Sales_Data[[#This Row],[Close Date]] &lt;&gt; 0,"Closed", "Open")</f>
        <v>Closed</v>
      </c>
      <c r="K414">
        <f>IF(Sales_Data[[#This Row],[Open/Closed]] = "Closed",Sales_Data[[#This Row],[Close Date]]-Sales_Data[[#This Row],[Created Date]],"")</f>
        <v>67</v>
      </c>
      <c r="L414" s="2">
        <f>EOMONTH(Sales_Data[[#This Row],[Created Date]],0)</f>
        <v>45046</v>
      </c>
      <c r="M414" t="b">
        <f>AND(Sales_Data[[#This Row],[EoM Created]]&gt;=Index!$E$5,Sales_Data[[#This Row],[EoM Created]]&lt;=Index!$E$4)</f>
        <v>0</v>
      </c>
      <c r="N414" t="b" cm="1">
        <f t="array" ref="N414">_xlfn.XLOOKUP(Sales_Data[[#This Row],[Sales Team]],_xlfn.ANCHORARRAY(Dashboard!$B$9),Dashboard!$D$9:$D$10,,0)</f>
        <v>1</v>
      </c>
      <c r="O414" t="b" cm="1">
        <f t="array" ref="O414">_xlfn.XLOOKUP(Sales_Data[[#This Row],[Sales Rep]],_xlfn.ANCHORARRAY(Dashboard!$B$13),Dashboard!$D$13:$D$17,,0)</f>
        <v>1</v>
      </c>
      <c r="P414" t="b" cm="1">
        <f t="array" ref="P414">_xlfn.XLOOKUP(Sales_Data[[#This Row],[Stage]],_xlfn.ANCHORARRAY(Dashboard!$B$20),Dashboard!$D$20:$D$25)</f>
        <v>1</v>
      </c>
      <c r="Q414" t="b" cm="1">
        <f t="array" ref="Q414">_xlfn.XLOOKUP(Sales_Data[[#This Row],[Lead Source]],_xlfn.ANCHORARRAY(Dashboard!$B$28),Dashboard!$D$28:$D$32)</f>
        <v>1</v>
      </c>
      <c r="R414">
        <f>Sales_Data[[#This Row],[Date inc]]*Sales_Data[[#This Row],[Team Inc]]*Sales_Data[[#This Row],[Rep Inc]]*Sales_Data[[#This Row],[Stage Inc]]*Sales_Data[[#This Row],[Source Inc]]</f>
        <v>0</v>
      </c>
    </row>
    <row r="415" spans="1:18" x14ac:dyDescent="0.3">
      <c r="A415" t="s">
        <v>422</v>
      </c>
      <c r="B415" s="2">
        <v>45325</v>
      </c>
      <c r="C415" t="s">
        <v>763</v>
      </c>
      <c r="D415" t="s">
        <v>765</v>
      </c>
      <c r="E415" t="s">
        <v>769</v>
      </c>
      <c r="F415" s="5">
        <v>52800</v>
      </c>
      <c r="G415" t="s">
        <v>780</v>
      </c>
      <c r="H415" s="2">
        <v>45390</v>
      </c>
      <c r="J415" t="str">
        <f>IF(Sales_Data[[#This Row],[Close Date]] &lt;&gt; 0,"Closed", "Open")</f>
        <v>Closed</v>
      </c>
      <c r="K415">
        <f>IF(Sales_Data[[#This Row],[Open/Closed]] = "Closed",Sales_Data[[#This Row],[Close Date]]-Sales_Data[[#This Row],[Created Date]],"")</f>
        <v>65</v>
      </c>
      <c r="L415" s="2">
        <f>EOMONTH(Sales_Data[[#This Row],[Created Date]],0)</f>
        <v>45351</v>
      </c>
      <c r="M415" t="b">
        <f>AND(Sales_Data[[#This Row],[EoM Created]]&gt;=Index!$E$5,Sales_Data[[#This Row],[EoM Created]]&lt;=Index!$E$4)</f>
        <v>1</v>
      </c>
      <c r="N415" t="b" cm="1">
        <f t="array" ref="N415">_xlfn.XLOOKUP(Sales_Data[[#This Row],[Sales Team]],_xlfn.ANCHORARRAY(Dashboard!$B$9),Dashboard!$D$9:$D$10,,0)</f>
        <v>1</v>
      </c>
      <c r="O415" t="b" cm="1">
        <f t="array" ref="O415">_xlfn.XLOOKUP(Sales_Data[[#This Row],[Sales Rep]],_xlfn.ANCHORARRAY(Dashboard!$B$13),Dashboard!$D$13:$D$17,,0)</f>
        <v>1</v>
      </c>
      <c r="P415" t="b" cm="1">
        <f t="array" ref="P415">_xlfn.XLOOKUP(Sales_Data[[#This Row],[Stage]],_xlfn.ANCHORARRAY(Dashboard!$B$20),Dashboard!$D$20:$D$25)</f>
        <v>1</v>
      </c>
      <c r="Q415" t="b" cm="1">
        <f t="array" ref="Q415">_xlfn.XLOOKUP(Sales_Data[[#This Row],[Lead Source]],_xlfn.ANCHORARRAY(Dashboard!$B$28),Dashboard!$D$28:$D$32)</f>
        <v>1</v>
      </c>
      <c r="R415">
        <f>Sales_Data[[#This Row],[Date inc]]*Sales_Data[[#This Row],[Team Inc]]*Sales_Data[[#This Row],[Rep Inc]]*Sales_Data[[#This Row],[Stage Inc]]*Sales_Data[[#This Row],[Source Inc]]</f>
        <v>1</v>
      </c>
    </row>
    <row r="416" spans="1:18" x14ac:dyDescent="0.3">
      <c r="A416" t="s">
        <v>423</v>
      </c>
      <c r="B416" s="2">
        <v>45142</v>
      </c>
      <c r="C416" t="s">
        <v>761</v>
      </c>
      <c r="D416" t="s">
        <v>765</v>
      </c>
      <c r="E416" t="s">
        <v>770</v>
      </c>
      <c r="F416" s="5">
        <v>43300</v>
      </c>
      <c r="G416" t="s">
        <v>780</v>
      </c>
      <c r="H416" s="2">
        <v>45208</v>
      </c>
      <c r="J416" t="str">
        <f>IF(Sales_Data[[#This Row],[Close Date]] &lt;&gt; 0,"Closed", "Open")</f>
        <v>Closed</v>
      </c>
      <c r="K416">
        <f>IF(Sales_Data[[#This Row],[Open/Closed]] = "Closed",Sales_Data[[#This Row],[Close Date]]-Sales_Data[[#This Row],[Created Date]],"")</f>
        <v>66</v>
      </c>
      <c r="L416" s="2">
        <f>EOMONTH(Sales_Data[[#This Row],[Created Date]],0)</f>
        <v>45169</v>
      </c>
      <c r="M416" t="b">
        <f>AND(Sales_Data[[#This Row],[EoM Created]]&gt;=Index!$E$5,Sales_Data[[#This Row],[EoM Created]]&lt;=Index!$E$4)</f>
        <v>1</v>
      </c>
      <c r="N416" t="b" cm="1">
        <f t="array" ref="N416">_xlfn.XLOOKUP(Sales_Data[[#This Row],[Sales Team]],_xlfn.ANCHORARRAY(Dashboard!$B$9),Dashboard!$D$9:$D$10,,0)</f>
        <v>1</v>
      </c>
      <c r="O416" t="b" cm="1">
        <f t="array" ref="O416">_xlfn.XLOOKUP(Sales_Data[[#This Row],[Sales Rep]],_xlfn.ANCHORARRAY(Dashboard!$B$13),Dashboard!$D$13:$D$17,,0)</f>
        <v>1</v>
      </c>
      <c r="P416" t="b" cm="1">
        <f t="array" ref="P416">_xlfn.XLOOKUP(Sales_Data[[#This Row],[Stage]],_xlfn.ANCHORARRAY(Dashboard!$B$20),Dashboard!$D$20:$D$25)</f>
        <v>1</v>
      </c>
      <c r="Q416" t="b" cm="1">
        <f t="array" ref="Q416">_xlfn.XLOOKUP(Sales_Data[[#This Row],[Lead Source]],_xlfn.ANCHORARRAY(Dashboard!$B$28),Dashboard!$D$28:$D$32)</f>
        <v>1</v>
      </c>
      <c r="R416">
        <f>Sales_Data[[#This Row],[Date inc]]*Sales_Data[[#This Row],[Team Inc]]*Sales_Data[[#This Row],[Rep Inc]]*Sales_Data[[#This Row],[Stage Inc]]*Sales_Data[[#This Row],[Source Inc]]</f>
        <v>1</v>
      </c>
    </row>
    <row r="417" spans="1:18" x14ac:dyDescent="0.3">
      <c r="A417" t="s">
        <v>424</v>
      </c>
      <c r="B417" s="2">
        <v>45827</v>
      </c>
      <c r="C417" t="s">
        <v>759</v>
      </c>
      <c r="D417" t="s">
        <v>764</v>
      </c>
      <c r="E417" t="s">
        <v>766</v>
      </c>
      <c r="F417" s="5">
        <v>32500</v>
      </c>
      <c r="G417" t="s">
        <v>774</v>
      </c>
      <c r="H417" s="2"/>
      <c r="J417" t="str">
        <f>IF(Sales_Data[[#This Row],[Close Date]] &lt;&gt; 0,"Closed", "Open")</f>
        <v>Open</v>
      </c>
      <c r="K417" t="str">
        <f>IF(Sales_Data[[#This Row],[Open/Closed]] = "Closed",Sales_Data[[#This Row],[Close Date]]-Sales_Data[[#This Row],[Created Date]],"")</f>
        <v/>
      </c>
      <c r="L417" s="2">
        <f>EOMONTH(Sales_Data[[#This Row],[Created Date]],0)</f>
        <v>45838</v>
      </c>
      <c r="M417" t="b">
        <f>AND(Sales_Data[[#This Row],[EoM Created]]&gt;=Index!$E$5,Sales_Data[[#This Row],[EoM Created]]&lt;=Index!$E$4)</f>
        <v>1</v>
      </c>
      <c r="N417" t="b" cm="1">
        <f t="array" ref="N417">_xlfn.XLOOKUP(Sales_Data[[#This Row],[Sales Team]],_xlfn.ANCHORARRAY(Dashboard!$B$9),Dashboard!$D$9:$D$10,,0)</f>
        <v>1</v>
      </c>
      <c r="O417" t="b" cm="1">
        <f t="array" ref="O417">_xlfn.XLOOKUP(Sales_Data[[#This Row],[Sales Rep]],_xlfn.ANCHORARRAY(Dashboard!$B$13),Dashboard!$D$13:$D$17,,0)</f>
        <v>1</v>
      </c>
      <c r="P417" t="b" cm="1">
        <f t="array" ref="P417">_xlfn.XLOOKUP(Sales_Data[[#This Row],[Stage]],_xlfn.ANCHORARRAY(Dashboard!$B$20),Dashboard!$D$20:$D$25)</f>
        <v>1</v>
      </c>
      <c r="Q417" t="b" cm="1">
        <f t="array" ref="Q417">_xlfn.XLOOKUP(Sales_Data[[#This Row],[Lead Source]],_xlfn.ANCHORARRAY(Dashboard!$B$28),Dashboard!$D$28:$D$32)</f>
        <v>1</v>
      </c>
      <c r="R417">
        <f>Sales_Data[[#This Row],[Date inc]]*Sales_Data[[#This Row],[Team Inc]]*Sales_Data[[#This Row],[Rep Inc]]*Sales_Data[[#This Row],[Stage Inc]]*Sales_Data[[#This Row],[Source Inc]]</f>
        <v>1</v>
      </c>
    </row>
    <row r="418" spans="1:18" x14ac:dyDescent="0.3">
      <c r="A418" t="s">
        <v>425</v>
      </c>
      <c r="B418" s="2">
        <v>45093</v>
      </c>
      <c r="C418" t="s">
        <v>763</v>
      </c>
      <c r="D418" t="s">
        <v>765</v>
      </c>
      <c r="E418" t="s">
        <v>768</v>
      </c>
      <c r="F418" s="5">
        <v>55500</v>
      </c>
      <c r="G418" t="s">
        <v>780</v>
      </c>
      <c r="H418" s="2">
        <v>45165</v>
      </c>
      <c r="J418" t="str">
        <f>IF(Sales_Data[[#This Row],[Close Date]] &lt;&gt; 0,"Closed", "Open")</f>
        <v>Closed</v>
      </c>
      <c r="K418">
        <f>IF(Sales_Data[[#This Row],[Open/Closed]] = "Closed",Sales_Data[[#This Row],[Close Date]]-Sales_Data[[#This Row],[Created Date]],"")</f>
        <v>72</v>
      </c>
      <c r="L418" s="2">
        <f>EOMONTH(Sales_Data[[#This Row],[Created Date]],0)</f>
        <v>45107</v>
      </c>
      <c r="M418" t="b">
        <f>AND(Sales_Data[[#This Row],[EoM Created]]&gt;=Index!$E$5,Sales_Data[[#This Row],[EoM Created]]&lt;=Index!$E$4)</f>
        <v>0</v>
      </c>
      <c r="N418" t="b" cm="1">
        <f t="array" ref="N418">_xlfn.XLOOKUP(Sales_Data[[#This Row],[Sales Team]],_xlfn.ANCHORARRAY(Dashboard!$B$9),Dashboard!$D$9:$D$10,,0)</f>
        <v>1</v>
      </c>
      <c r="O418" t="b" cm="1">
        <f t="array" ref="O418">_xlfn.XLOOKUP(Sales_Data[[#This Row],[Sales Rep]],_xlfn.ANCHORARRAY(Dashboard!$B$13),Dashboard!$D$13:$D$17,,0)</f>
        <v>1</v>
      </c>
      <c r="P418" t="b" cm="1">
        <f t="array" ref="P418">_xlfn.XLOOKUP(Sales_Data[[#This Row],[Stage]],_xlfn.ANCHORARRAY(Dashboard!$B$20),Dashboard!$D$20:$D$25)</f>
        <v>1</v>
      </c>
      <c r="Q418" t="b" cm="1">
        <f t="array" ref="Q418">_xlfn.XLOOKUP(Sales_Data[[#This Row],[Lead Source]],_xlfn.ANCHORARRAY(Dashboard!$B$28),Dashboard!$D$28:$D$32)</f>
        <v>1</v>
      </c>
      <c r="R418">
        <f>Sales_Data[[#This Row],[Date inc]]*Sales_Data[[#This Row],[Team Inc]]*Sales_Data[[#This Row],[Rep Inc]]*Sales_Data[[#This Row],[Stage Inc]]*Sales_Data[[#This Row],[Source Inc]]</f>
        <v>0</v>
      </c>
    </row>
    <row r="419" spans="1:18" x14ac:dyDescent="0.3">
      <c r="A419" t="s">
        <v>426</v>
      </c>
      <c r="B419" s="2">
        <v>45562</v>
      </c>
      <c r="C419" t="s">
        <v>761</v>
      </c>
      <c r="D419" t="s">
        <v>765</v>
      </c>
      <c r="E419" t="s">
        <v>769</v>
      </c>
      <c r="F419" s="5">
        <v>41200</v>
      </c>
      <c r="G419" t="s">
        <v>781</v>
      </c>
      <c r="H419" s="2">
        <v>45648</v>
      </c>
      <c r="I419" t="s">
        <v>779</v>
      </c>
      <c r="J419" t="str">
        <f>IF(Sales_Data[[#This Row],[Close Date]] &lt;&gt; 0,"Closed", "Open")</f>
        <v>Closed</v>
      </c>
      <c r="K419">
        <f>IF(Sales_Data[[#This Row],[Open/Closed]] = "Closed",Sales_Data[[#This Row],[Close Date]]-Sales_Data[[#This Row],[Created Date]],"")</f>
        <v>86</v>
      </c>
      <c r="L419" s="2">
        <f>EOMONTH(Sales_Data[[#This Row],[Created Date]],0)</f>
        <v>45565</v>
      </c>
      <c r="M419" t="b">
        <f>AND(Sales_Data[[#This Row],[EoM Created]]&gt;=Index!$E$5,Sales_Data[[#This Row],[EoM Created]]&lt;=Index!$E$4)</f>
        <v>1</v>
      </c>
      <c r="N419" t="b" cm="1">
        <f t="array" ref="N419">_xlfn.XLOOKUP(Sales_Data[[#This Row],[Sales Team]],_xlfn.ANCHORARRAY(Dashboard!$B$9),Dashboard!$D$9:$D$10,,0)</f>
        <v>1</v>
      </c>
      <c r="O419" t="b" cm="1">
        <f t="array" ref="O419">_xlfn.XLOOKUP(Sales_Data[[#This Row],[Sales Rep]],_xlfn.ANCHORARRAY(Dashboard!$B$13),Dashboard!$D$13:$D$17,,0)</f>
        <v>1</v>
      </c>
      <c r="P419" t="b" cm="1">
        <f t="array" ref="P419">_xlfn.XLOOKUP(Sales_Data[[#This Row],[Stage]],_xlfn.ANCHORARRAY(Dashboard!$B$20),Dashboard!$D$20:$D$25)</f>
        <v>1</v>
      </c>
      <c r="Q419" t="b" cm="1">
        <f t="array" ref="Q419">_xlfn.XLOOKUP(Sales_Data[[#This Row],[Lead Source]],_xlfn.ANCHORARRAY(Dashboard!$B$28),Dashboard!$D$28:$D$32)</f>
        <v>1</v>
      </c>
      <c r="R419">
        <f>Sales_Data[[#This Row],[Date inc]]*Sales_Data[[#This Row],[Team Inc]]*Sales_Data[[#This Row],[Rep Inc]]*Sales_Data[[#This Row],[Stage Inc]]*Sales_Data[[#This Row],[Source Inc]]</f>
        <v>1</v>
      </c>
    </row>
    <row r="420" spans="1:18" x14ac:dyDescent="0.3">
      <c r="A420" t="s">
        <v>427</v>
      </c>
      <c r="B420" s="2">
        <v>45021</v>
      </c>
      <c r="C420" t="s">
        <v>763</v>
      </c>
      <c r="D420" t="s">
        <v>765</v>
      </c>
      <c r="E420" t="s">
        <v>770</v>
      </c>
      <c r="F420" s="5">
        <v>51800</v>
      </c>
      <c r="G420" t="s">
        <v>781</v>
      </c>
      <c r="H420" s="2">
        <v>45084</v>
      </c>
      <c r="I420" t="s">
        <v>779</v>
      </c>
      <c r="J420" t="str">
        <f>IF(Sales_Data[[#This Row],[Close Date]] &lt;&gt; 0,"Closed", "Open")</f>
        <v>Closed</v>
      </c>
      <c r="K420">
        <f>IF(Sales_Data[[#This Row],[Open/Closed]] = "Closed",Sales_Data[[#This Row],[Close Date]]-Sales_Data[[#This Row],[Created Date]],"")</f>
        <v>63</v>
      </c>
      <c r="L420" s="2">
        <f>EOMONTH(Sales_Data[[#This Row],[Created Date]],0)</f>
        <v>45046</v>
      </c>
      <c r="M420" t="b">
        <f>AND(Sales_Data[[#This Row],[EoM Created]]&gt;=Index!$E$5,Sales_Data[[#This Row],[EoM Created]]&lt;=Index!$E$4)</f>
        <v>0</v>
      </c>
      <c r="N420" t="b" cm="1">
        <f t="array" ref="N420">_xlfn.XLOOKUP(Sales_Data[[#This Row],[Sales Team]],_xlfn.ANCHORARRAY(Dashboard!$B$9),Dashboard!$D$9:$D$10,,0)</f>
        <v>1</v>
      </c>
      <c r="O420" t="b" cm="1">
        <f t="array" ref="O420">_xlfn.XLOOKUP(Sales_Data[[#This Row],[Sales Rep]],_xlfn.ANCHORARRAY(Dashboard!$B$13),Dashboard!$D$13:$D$17,,0)</f>
        <v>1</v>
      </c>
      <c r="P420" t="b" cm="1">
        <f t="array" ref="P420">_xlfn.XLOOKUP(Sales_Data[[#This Row],[Stage]],_xlfn.ANCHORARRAY(Dashboard!$B$20),Dashboard!$D$20:$D$25)</f>
        <v>1</v>
      </c>
      <c r="Q420" t="b" cm="1">
        <f t="array" ref="Q420">_xlfn.XLOOKUP(Sales_Data[[#This Row],[Lead Source]],_xlfn.ANCHORARRAY(Dashboard!$B$28),Dashboard!$D$28:$D$32)</f>
        <v>1</v>
      </c>
      <c r="R420">
        <f>Sales_Data[[#This Row],[Date inc]]*Sales_Data[[#This Row],[Team Inc]]*Sales_Data[[#This Row],[Rep Inc]]*Sales_Data[[#This Row],[Stage Inc]]*Sales_Data[[#This Row],[Source Inc]]</f>
        <v>0</v>
      </c>
    </row>
    <row r="421" spans="1:18" x14ac:dyDescent="0.3">
      <c r="A421" t="s">
        <v>428</v>
      </c>
      <c r="B421" s="2">
        <v>45684</v>
      </c>
      <c r="C421" t="s">
        <v>763</v>
      </c>
      <c r="D421" t="s">
        <v>765</v>
      </c>
      <c r="E421" t="s">
        <v>770</v>
      </c>
      <c r="F421" s="5">
        <v>40700</v>
      </c>
      <c r="G421" t="s">
        <v>780</v>
      </c>
      <c r="H421" s="2">
        <v>45751</v>
      </c>
      <c r="J421" t="str">
        <f>IF(Sales_Data[[#This Row],[Close Date]] &lt;&gt; 0,"Closed", "Open")</f>
        <v>Closed</v>
      </c>
      <c r="K421">
        <f>IF(Sales_Data[[#This Row],[Open/Closed]] = "Closed",Sales_Data[[#This Row],[Close Date]]-Sales_Data[[#This Row],[Created Date]],"")</f>
        <v>67</v>
      </c>
      <c r="L421" s="2">
        <f>EOMONTH(Sales_Data[[#This Row],[Created Date]],0)</f>
        <v>45688</v>
      </c>
      <c r="M421" t="b">
        <f>AND(Sales_Data[[#This Row],[EoM Created]]&gt;=Index!$E$5,Sales_Data[[#This Row],[EoM Created]]&lt;=Index!$E$4)</f>
        <v>1</v>
      </c>
      <c r="N421" t="b" cm="1">
        <f t="array" ref="N421">_xlfn.XLOOKUP(Sales_Data[[#This Row],[Sales Team]],_xlfn.ANCHORARRAY(Dashboard!$B$9),Dashboard!$D$9:$D$10,,0)</f>
        <v>1</v>
      </c>
      <c r="O421" t="b" cm="1">
        <f t="array" ref="O421">_xlfn.XLOOKUP(Sales_Data[[#This Row],[Sales Rep]],_xlfn.ANCHORARRAY(Dashboard!$B$13),Dashboard!$D$13:$D$17,,0)</f>
        <v>1</v>
      </c>
      <c r="P421" t="b" cm="1">
        <f t="array" ref="P421">_xlfn.XLOOKUP(Sales_Data[[#This Row],[Stage]],_xlfn.ANCHORARRAY(Dashboard!$B$20),Dashboard!$D$20:$D$25)</f>
        <v>1</v>
      </c>
      <c r="Q421" t="b" cm="1">
        <f t="array" ref="Q421">_xlfn.XLOOKUP(Sales_Data[[#This Row],[Lead Source]],_xlfn.ANCHORARRAY(Dashboard!$B$28),Dashboard!$D$28:$D$32)</f>
        <v>1</v>
      </c>
      <c r="R421">
        <f>Sales_Data[[#This Row],[Date inc]]*Sales_Data[[#This Row],[Team Inc]]*Sales_Data[[#This Row],[Rep Inc]]*Sales_Data[[#This Row],[Stage Inc]]*Sales_Data[[#This Row],[Source Inc]]</f>
        <v>1</v>
      </c>
    </row>
    <row r="422" spans="1:18" x14ac:dyDescent="0.3">
      <c r="A422" t="s">
        <v>429</v>
      </c>
      <c r="B422" s="2">
        <v>45035</v>
      </c>
      <c r="C422" t="s">
        <v>761</v>
      </c>
      <c r="D422" t="s">
        <v>765</v>
      </c>
      <c r="E422" t="s">
        <v>768</v>
      </c>
      <c r="F422" s="5">
        <v>60600</v>
      </c>
      <c r="G422" t="s">
        <v>781</v>
      </c>
      <c r="H422" s="2">
        <v>45106</v>
      </c>
      <c r="I422" t="s">
        <v>776</v>
      </c>
      <c r="J422" t="str">
        <f>IF(Sales_Data[[#This Row],[Close Date]] &lt;&gt; 0,"Closed", "Open")</f>
        <v>Closed</v>
      </c>
      <c r="K422">
        <f>IF(Sales_Data[[#This Row],[Open/Closed]] = "Closed",Sales_Data[[#This Row],[Close Date]]-Sales_Data[[#This Row],[Created Date]],"")</f>
        <v>71</v>
      </c>
      <c r="L422" s="2">
        <f>EOMONTH(Sales_Data[[#This Row],[Created Date]],0)</f>
        <v>45046</v>
      </c>
      <c r="M422" t="b">
        <f>AND(Sales_Data[[#This Row],[EoM Created]]&gt;=Index!$E$5,Sales_Data[[#This Row],[EoM Created]]&lt;=Index!$E$4)</f>
        <v>0</v>
      </c>
      <c r="N422" t="b" cm="1">
        <f t="array" ref="N422">_xlfn.XLOOKUP(Sales_Data[[#This Row],[Sales Team]],_xlfn.ANCHORARRAY(Dashboard!$B$9),Dashboard!$D$9:$D$10,,0)</f>
        <v>1</v>
      </c>
      <c r="O422" t="b" cm="1">
        <f t="array" ref="O422">_xlfn.XLOOKUP(Sales_Data[[#This Row],[Sales Rep]],_xlfn.ANCHORARRAY(Dashboard!$B$13),Dashboard!$D$13:$D$17,,0)</f>
        <v>1</v>
      </c>
      <c r="P422" t="b" cm="1">
        <f t="array" ref="P422">_xlfn.XLOOKUP(Sales_Data[[#This Row],[Stage]],_xlfn.ANCHORARRAY(Dashboard!$B$20),Dashboard!$D$20:$D$25)</f>
        <v>1</v>
      </c>
      <c r="Q422" t="b" cm="1">
        <f t="array" ref="Q422">_xlfn.XLOOKUP(Sales_Data[[#This Row],[Lead Source]],_xlfn.ANCHORARRAY(Dashboard!$B$28),Dashboard!$D$28:$D$32)</f>
        <v>1</v>
      </c>
      <c r="R422">
        <f>Sales_Data[[#This Row],[Date inc]]*Sales_Data[[#This Row],[Team Inc]]*Sales_Data[[#This Row],[Rep Inc]]*Sales_Data[[#This Row],[Stage Inc]]*Sales_Data[[#This Row],[Source Inc]]</f>
        <v>0</v>
      </c>
    </row>
    <row r="423" spans="1:18" x14ac:dyDescent="0.3">
      <c r="A423" t="s">
        <v>430</v>
      </c>
      <c r="B423" s="2">
        <v>44945</v>
      </c>
      <c r="C423" t="s">
        <v>762</v>
      </c>
      <c r="D423" t="s">
        <v>764</v>
      </c>
      <c r="E423" t="s">
        <v>766</v>
      </c>
      <c r="F423" s="5">
        <v>57600</v>
      </c>
      <c r="G423" t="s">
        <v>781</v>
      </c>
      <c r="H423" s="2">
        <v>45016</v>
      </c>
      <c r="I423" t="s">
        <v>777</v>
      </c>
      <c r="J423" t="str">
        <f>IF(Sales_Data[[#This Row],[Close Date]] &lt;&gt; 0,"Closed", "Open")</f>
        <v>Closed</v>
      </c>
      <c r="K423">
        <f>IF(Sales_Data[[#This Row],[Open/Closed]] = "Closed",Sales_Data[[#This Row],[Close Date]]-Sales_Data[[#This Row],[Created Date]],"")</f>
        <v>71</v>
      </c>
      <c r="L423" s="2">
        <f>EOMONTH(Sales_Data[[#This Row],[Created Date]],0)</f>
        <v>44957</v>
      </c>
      <c r="M423" t="b">
        <f>AND(Sales_Data[[#This Row],[EoM Created]]&gt;=Index!$E$5,Sales_Data[[#This Row],[EoM Created]]&lt;=Index!$E$4)</f>
        <v>0</v>
      </c>
      <c r="N423" t="b" cm="1">
        <f t="array" ref="N423">_xlfn.XLOOKUP(Sales_Data[[#This Row],[Sales Team]],_xlfn.ANCHORARRAY(Dashboard!$B$9),Dashboard!$D$9:$D$10,,0)</f>
        <v>1</v>
      </c>
      <c r="O423" t="b" cm="1">
        <f t="array" ref="O423">_xlfn.XLOOKUP(Sales_Data[[#This Row],[Sales Rep]],_xlfn.ANCHORARRAY(Dashboard!$B$13),Dashboard!$D$13:$D$17,,0)</f>
        <v>1</v>
      </c>
      <c r="P423" t="b" cm="1">
        <f t="array" ref="P423">_xlfn.XLOOKUP(Sales_Data[[#This Row],[Stage]],_xlfn.ANCHORARRAY(Dashboard!$B$20),Dashboard!$D$20:$D$25)</f>
        <v>1</v>
      </c>
      <c r="Q423" t="b" cm="1">
        <f t="array" ref="Q423">_xlfn.XLOOKUP(Sales_Data[[#This Row],[Lead Source]],_xlfn.ANCHORARRAY(Dashboard!$B$28),Dashboard!$D$28:$D$32)</f>
        <v>1</v>
      </c>
      <c r="R423">
        <f>Sales_Data[[#This Row],[Date inc]]*Sales_Data[[#This Row],[Team Inc]]*Sales_Data[[#This Row],[Rep Inc]]*Sales_Data[[#This Row],[Stage Inc]]*Sales_Data[[#This Row],[Source Inc]]</f>
        <v>0</v>
      </c>
    </row>
    <row r="424" spans="1:18" x14ac:dyDescent="0.3">
      <c r="A424" t="s">
        <v>431</v>
      </c>
      <c r="B424" s="2">
        <v>44972</v>
      </c>
      <c r="C424" t="s">
        <v>760</v>
      </c>
      <c r="D424" t="s">
        <v>764</v>
      </c>
      <c r="E424" t="s">
        <v>767</v>
      </c>
      <c r="F424" s="5">
        <v>37500</v>
      </c>
      <c r="G424" t="s">
        <v>780</v>
      </c>
      <c r="H424" s="2">
        <v>45036</v>
      </c>
      <c r="J424" t="str">
        <f>IF(Sales_Data[[#This Row],[Close Date]] &lt;&gt; 0,"Closed", "Open")</f>
        <v>Closed</v>
      </c>
      <c r="K424">
        <f>IF(Sales_Data[[#This Row],[Open/Closed]] = "Closed",Sales_Data[[#This Row],[Close Date]]-Sales_Data[[#This Row],[Created Date]],"")</f>
        <v>64</v>
      </c>
      <c r="L424" s="2">
        <f>EOMONTH(Sales_Data[[#This Row],[Created Date]],0)</f>
        <v>44985</v>
      </c>
      <c r="M424" t="b">
        <f>AND(Sales_Data[[#This Row],[EoM Created]]&gt;=Index!$E$5,Sales_Data[[#This Row],[EoM Created]]&lt;=Index!$E$4)</f>
        <v>0</v>
      </c>
      <c r="N424" t="b" cm="1">
        <f t="array" ref="N424">_xlfn.XLOOKUP(Sales_Data[[#This Row],[Sales Team]],_xlfn.ANCHORARRAY(Dashboard!$B$9),Dashboard!$D$9:$D$10,,0)</f>
        <v>1</v>
      </c>
      <c r="O424" t="b" cm="1">
        <f t="array" ref="O424">_xlfn.XLOOKUP(Sales_Data[[#This Row],[Sales Rep]],_xlfn.ANCHORARRAY(Dashboard!$B$13),Dashboard!$D$13:$D$17,,0)</f>
        <v>1</v>
      </c>
      <c r="P424" t="b" cm="1">
        <f t="array" ref="P424">_xlfn.XLOOKUP(Sales_Data[[#This Row],[Stage]],_xlfn.ANCHORARRAY(Dashboard!$B$20),Dashboard!$D$20:$D$25)</f>
        <v>1</v>
      </c>
      <c r="Q424" t="b" cm="1">
        <f t="array" ref="Q424">_xlfn.XLOOKUP(Sales_Data[[#This Row],[Lead Source]],_xlfn.ANCHORARRAY(Dashboard!$B$28),Dashboard!$D$28:$D$32)</f>
        <v>1</v>
      </c>
      <c r="R424">
        <f>Sales_Data[[#This Row],[Date inc]]*Sales_Data[[#This Row],[Team Inc]]*Sales_Data[[#This Row],[Rep Inc]]*Sales_Data[[#This Row],[Stage Inc]]*Sales_Data[[#This Row],[Source Inc]]</f>
        <v>0</v>
      </c>
    </row>
    <row r="425" spans="1:18" x14ac:dyDescent="0.3">
      <c r="A425" t="s">
        <v>432</v>
      </c>
      <c r="B425" s="2">
        <v>45439</v>
      </c>
      <c r="C425" t="s">
        <v>760</v>
      </c>
      <c r="D425" t="s">
        <v>764</v>
      </c>
      <c r="E425" t="s">
        <v>766</v>
      </c>
      <c r="F425" s="5">
        <v>49700</v>
      </c>
      <c r="G425" t="s">
        <v>780</v>
      </c>
      <c r="H425" s="2">
        <v>45505</v>
      </c>
      <c r="J425" t="str">
        <f>IF(Sales_Data[[#This Row],[Close Date]] &lt;&gt; 0,"Closed", "Open")</f>
        <v>Closed</v>
      </c>
      <c r="K425">
        <f>IF(Sales_Data[[#This Row],[Open/Closed]] = "Closed",Sales_Data[[#This Row],[Close Date]]-Sales_Data[[#This Row],[Created Date]],"")</f>
        <v>66</v>
      </c>
      <c r="L425" s="2">
        <f>EOMONTH(Sales_Data[[#This Row],[Created Date]],0)</f>
        <v>45443</v>
      </c>
      <c r="M425" t="b">
        <f>AND(Sales_Data[[#This Row],[EoM Created]]&gt;=Index!$E$5,Sales_Data[[#This Row],[EoM Created]]&lt;=Index!$E$4)</f>
        <v>1</v>
      </c>
      <c r="N425" t="b" cm="1">
        <f t="array" ref="N425">_xlfn.XLOOKUP(Sales_Data[[#This Row],[Sales Team]],_xlfn.ANCHORARRAY(Dashboard!$B$9),Dashboard!$D$9:$D$10,,0)</f>
        <v>1</v>
      </c>
      <c r="O425" t="b" cm="1">
        <f t="array" ref="O425">_xlfn.XLOOKUP(Sales_Data[[#This Row],[Sales Rep]],_xlfn.ANCHORARRAY(Dashboard!$B$13),Dashboard!$D$13:$D$17,,0)</f>
        <v>1</v>
      </c>
      <c r="P425" t="b" cm="1">
        <f t="array" ref="P425">_xlfn.XLOOKUP(Sales_Data[[#This Row],[Stage]],_xlfn.ANCHORARRAY(Dashboard!$B$20),Dashboard!$D$20:$D$25)</f>
        <v>1</v>
      </c>
      <c r="Q425" t="b" cm="1">
        <f t="array" ref="Q425">_xlfn.XLOOKUP(Sales_Data[[#This Row],[Lead Source]],_xlfn.ANCHORARRAY(Dashboard!$B$28),Dashboard!$D$28:$D$32)</f>
        <v>1</v>
      </c>
      <c r="R425">
        <f>Sales_Data[[#This Row],[Date inc]]*Sales_Data[[#This Row],[Team Inc]]*Sales_Data[[#This Row],[Rep Inc]]*Sales_Data[[#This Row],[Stage Inc]]*Sales_Data[[#This Row],[Source Inc]]</f>
        <v>1</v>
      </c>
    </row>
    <row r="426" spans="1:18" x14ac:dyDescent="0.3">
      <c r="A426" t="s">
        <v>433</v>
      </c>
      <c r="B426" s="2">
        <v>45791</v>
      </c>
      <c r="C426" t="s">
        <v>761</v>
      </c>
      <c r="D426" t="s">
        <v>765</v>
      </c>
      <c r="E426" t="s">
        <v>769</v>
      </c>
      <c r="F426" s="5">
        <v>46500</v>
      </c>
      <c r="G426" t="s">
        <v>781</v>
      </c>
      <c r="H426" s="2">
        <v>45879</v>
      </c>
      <c r="I426" t="s">
        <v>779</v>
      </c>
      <c r="J426" t="str">
        <f>IF(Sales_Data[[#This Row],[Close Date]] &lt;&gt; 0,"Closed", "Open")</f>
        <v>Closed</v>
      </c>
      <c r="K426">
        <f>IF(Sales_Data[[#This Row],[Open/Closed]] = "Closed",Sales_Data[[#This Row],[Close Date]]-Sales_Data[[#This Row],[Created Date]],"")</f>
        <v>88</v>
      </c>
      <c r="L426" s="2">
        <f>EOMONTH(Sales_Data[[#This Row],[Created Date]],0)</f>
        <v>45808</v>
      </c>
      <c r="M426" t="b">
        <f>AND(Sales_Data[[#This Row],[EoM Created]]&gt;=Index!$E$5,Sales_Data[[#This Row],[EoM Created]]&lt;=Index!$E$4)</f>
        <v>1</v>
      </c>
      <c r="N426" t="b" cm="1">
        <f t="array" ref="N426">_xlfn.XLOOKUP(Sales_Data[[#This Row],[Sales Team]],_xlfn.ANCHORARRAY(Dashboard!$B$9),Dashboard!$D$9:$D$10,,0)</f>
        <v>1</v>
      </c>
      <c r="O426" t="b" cm="1">
        <f t="array" ref="O426">_xlfn.XLOOKUP(Sales_Data[[#This Row],[Sales Rep]],_xlfn.ANCHORARRAY(Dashboard!$B$13),Dashboard!$D$13:$D$17,,0)</f>
        <v>1</v>
      </c>
      <c r="P426" t="b" cm="1">
        <f t="array" ref="P426">_xlfn.XLOOKUP(Sales_Data[[#This Row],[Stage]],_xlfn.ANCHORARRAY(Dashboard!$B$20),Dashboard!$D$20:$D$25)</f>
        <v>1</v>
      </c>
      <c r="Q426" t="b" cm="1">
        <f t="array" ref="Q426">_xlfn.XLOOKUP(Sales_Data[[#This Row],[Lead Source]],_xlfn.ANCHORARRAY(Dashboard!$B$28),Dashboard!$D$28:$D$32)</f>
        <v>1</v>
      </c>
      <c r="R426">
        <f>Sales_Data[[#This Row],[Date inc]]*Sales_Data[[#This Row],[Team Inc]]*Sales_Data[[#This Row],[Rep Inc]]*Sales_Data[[#This Row],[Stage Inc]]*Sales_Data[[#This Row],[Source Inc]]</f>
        <v>1</v>
      </c>
    </row>
    <row r="427" spans="1:18" x14ac:dyDescent="0.3">
      <c r="A427" t="s">
        <v>434</v>
      </c>
      <c r="B427" s="2">
        <v>45239</v>
      </c>
      <c r="C427" t="s">
        <v>763</v>
      </c>
      <c r="D427" t="s">
        <v>765</v>
      </c>
      <c r="E427" t="s">
        <v>769</v>
      </c>
      <c r="F427" s="5">
        <v>53700</v>
      </c>
      <c r="G427" t="s">
        <v>781</v>
      </c>
      <c r="H427" s="2">
        <v>45329</v>
      </c>
      <c r="I427" t="s">
        <v>775</v>
      </c>
      <c r="J427" t="str">
        <f>IF(Sales_Data[[#This Row],[Close Date]] &lt;&gt; 0,"Closed", "Open")</f>
        <v>Closed</v>
      </c>
      <c r="K427">
        <f>IF(Sales_Data[[#This Row],[Open/Closed]] = "Closed",Sales_Data[[#This Row],[Close Date]]-Sales_Data[[#This Row],[Created Date]],"")</f>
        <v>90</v>
      </c>
      <c r="L427" s="2">
        <f>EOMONTH(Sales_Data[[#This Row],[Created Date]],0)</f>
        <v>45260</v>
      </c>
      <c r="M427" t="b">
        <f>AND(Sales_Data[[#This Row],[EoM Created]]&gt;=Index!$E$5,Sales_Data[[#This Row],[EoM Created]]&lt;=Index!$E$4)</f>
        <v>1</v>
      </c>
      <c r="N427" t="b" cm="1">
        <f t="array" ref="N427">_xlfn.XLOOKUP(Sales_Data[[#This Row],[Sales Team]],_xlfn.ANCHORARRAY(Dashboard!$B$9),Dashboard!$D$9:$D$10,,0)</f>
        <v>1</v>
      </c>
      <c r="O427" t="b" cm="1">
        <f t="array" ref="O427">_xlfn.XLOOKUP(Sales_Data[[#This Row],[Sales Rep]],_xlfn.ANCHORARRAY(Dashboard!$B$13),Dashboard!$D$13:$D$17,,0)</f>
        <v>1</v>
      </c>
      <c r="P427" t="b" cm="1">
        <f t="array" ref="P427">_xlfn.XLOOKUP(Sales_Data[[#This Row],[Stage]],_xlfn.ANCHORARRAY(Dashboard!$B$20),Dashboard!$D$20:$D$25)</f>
        <v>1</v>
      </c>
      <c r="Q427" t="b" cm="1">
        <f t="array" ref="Q427">_xlfn.XLOOKUP(Sales_Data[[#This Row],[Lead Source]],_xlfn.ANCHORARRAY(Dashboard!$B$28),Dashboard!$D$28:$D$32)</f>
        <v>1</v>
      </c>
      <c r="R427">
        <f>Sales_Data[[#This Row],[Date inc]]*Sales_Data[[#This Row],[Team Inc]]*Sales_Data[[#This Row],[Rep Inc]]*Sales_Data[[#This Row],[Stage Inc]]*Sales_Data[[#This Row],[Source Inc]]</f>
        <v>1</v>
      </c>
    </row>
    <row r="428" spans="1:18" x14ac:dyDescent="0.3">
      <c r="A428" t="s">
        <v>435</v>
      </c>
      <c r="B428" s="2">
        <v>45619</v>
      </c>
      <c r="C428" t="s">
        <v>763</v>
      </c>
      <c r="D428" t="s">
        <v>765</v>
      </c>
      <c r="E428" t="s">
        <v>770</v>
      </c>
      <c r="F428" s="5">
        <v>30400</v>
      </c>
      <c r="G428" t="s">
        <v>781</v>
      </c>
      <c r="H428" s="2">
        <v>45680</v>
      </c>
      <c r="I428" t="s">
        <v>777</v>
      </c>
      <c r="J428" t="str">
        <f>IF(Sales_Data[[#This Row],[Close Date]] &lt;&gt; 0,"Closed", "Open")</f>
        <v>Closed</v>
      </c>
      <c r="K428">
        <f>IF(Sales_Data[[#This Row],[Open/Closed]] = "Closed",Sales_Data[[#This Row],[Close Date]]-Sales_Data[[#This Row],[Created Date]],"")</f>
        <v>61</v>
      </c>
      <c r="L428" s="2">
        <f>EOMONTH(Sales_Data[[#This Row],[Created Date]],0)</f>
        <v>45626</v>
      </c>
      <c r="M428" t="b">
        <f>AND(Sales_Data[[#This Row],[EoM Created]]&gt;=Index!$E$5,Sales_Data[[#This Row],[EoM Created]]&lt;=Index!$E$4)</f>
        <v>1</v>
      </c>
      <c r="N428" t="b" cm="1">
        <f t="array" ref="N428">_xlfn.XLOOKUP(Sales_Data[[#This Row],[Sales Team]],_xlfn.ANCHORARRAY(Dashboard!$B$9),Dashboard!$D$9:$D$10,,0)</f>
        <v>1</v>
      </c>
      <c r="O428" t="b" cm="1">
        <f t="array" ref="O428">_xlfn.XLOOKUP(Sales_Data[[#This Row],[Sales Rep]],_xlfn.ANCHORARRAY(Dashboard!$B$13),Dashboard!$D$13:$D$17,,0)</f>
        <v>1</v>
      </c>
      <c r="P428" t="b" cm="1">
        <f t="array" ref="P428">_xlfn.XLOOKUP(Sales_Data[[#This Row],[Stage]],_xlfn.ANCHORARRAY(Dashboard!$B$20),Dashboard!$D$20:$D$25)</f>
        <v>1</v>
      </c>
      <c r="Q428" t="b" cm="1">
        <f t="array" ref="Q428">_xlfn.XLOOKUP(Sales_Data[[#This Row],[Lead Source]],_xlfn.ANCHORARRAY(Dashboard!$B$28),Dashboard!$D$28:$D$32)</f>
        <v>1</v>
      </c>
      <c r="R428">
        <f>Sales_Data[[#This Row],[Date inc]]*Sales_Data[[#This Row],[Team Inc]]*Sales_Data[[#This Row],[Rep Inc]]*Sales_Data[[#This Row],[Stage Inc]]*Sales_Data[[#This Row],[Source Inc]]</f>
        <v>1</v>
      </c>
    </row>
    <row r="429" spans="1:18" x14ac:dyDescent="0.3">
      <c r="A429" t="s">
        <v>436</v>
      </c>
      <c r="B429" s="2">
        <v>45718</v>
      </c>
      <c r="C429" t="s">
        <v>763</v>
      </c>
      <c r="D429" t="s">
        <v>765</v>
      </c>
      <c r="E429" t="s">
        <v>770</v>
      </c>
      <c r="F429" s="5">
        <v>46900</v>
      </c>
      <c r="G429" t="s">
        <v>781</v>
      </c>
      <c r="H429" s="2">
        <v>45806</v>
      </c>
      <c r="I429" t="s">
        <v>775</v>
      </c>
      <c r="J429" t="str">
        <f>IF(Sales_Data[[#This Row],[Close Date]] &lt;&gt; 0,"Closed", "Open")</f>
        <v>Closed</v>
      </c>
      <c r="K429">
        <f>IF(Sales_Data[[#This Row],[Open/Closed]] = "Closed",Sales_Data[[#This Row],[Close Date]]-Sales_Data[[#This Row],[Created Date]],"")</f>
        <v>88</v>
      </c>
      <c r="L429" s="2">
        <f>EOMONTH(Sales_Data[[#This Row],[Created Date]],0)</f>
        <v>45747</v>
      </c>
      <c r="M429" t="b">
        <f>AND(Sales_Data[[#This Row],[EoM Created]]&gt;=Index!$E$5,Sales_Data[[#This Row],[EoM Created]]&lt;=Index!$E$4)</f>
        <v>1</v>
      </c>
      <c r="N429" t="b" cm="1">
        <f t="array" ref="N429">_xlfn.XLOOKUP(Sales_Data[[#This Row],[Sales Team]],_xlfn.ANCHORARRAY(Dashboard!$B$9),Dashboard!$D$9:$D$10,,0)</f>
        <v>1</v>
      </c>
      <c r="O429" t="b" cm="1">
        <f t="array" ref="O429">_xlfn.XLOOKUP(Sales_Data[[#This Row],[Sales Rep]],_xlfn.ANCHORARRAY(Dashboard!$B$13),Dashboard!$D$13:$D$17,,0)</f>
        <v>1</v>
      </c>
      <c r="P429" t="b" cm="1">
        <f t="array" ref="P429">_xlfn.XLOOKUP(Sales_Data[[#This Row],[Stage]],_xlfn.ANCHORARRAY(Dashboard!$B$20),Dashboard!$D$20:$D$25)</f>
        <v>1</v>
      </c>
      <c r="Q429" t="b" cm="1">
        <f t="array" ref="Q429">_xlfn.XLOOKUP(Sales_Data[[#This Row],[Lead Source]],_xlfn.ANCHORARRAY(Dashboard!$B$28),Dashboard!$D$28:$D$32)</f>
        <v>1</v>
      </c>
      <c r="R429">
        <f>Sales_Data[[#This Row],[Date inc]]*Sales_Data[[#This Row],[Team Inc]]*Sales_Data[[#This Row],[Rep Inc]]*Sales_Data[[#This Row],[Stage Inc]]*Sales_Data[[#This Row],[Source Inc]]</f>
        <v>1</v>
      </c>
    </row>
    <row r="430" spans="1:18" x14ac:dyDescent="0.3">
      <c r="A430" t="s">
        <v>437</v>
      </c>
      <c r="B430" s="2">
        <v>45310</v>
      </c>
      <c r="C430" t="s">
        <v>760</v>
      </c>
      <c r="D430" t="s">
        <v>764</v>
      </c>
      <c r="E430" t="s">
        <v>766</v>
      </c>
      <c r="F430" s="5">
        <v>50600</v>
      </c>
      <c r="G430" t="s">
        <v>781</v>
      </c>
      <c r="H430" s="2">
        <v>45377</v>
      </c>
      <c r="I430" t="s">
        <v>775</v>
      </c>
      <c r="J430" t="str">
        <f>IF(Sales_Data[[#This Row],[Close Date]] &lt;&gt; 0,"Closed", "Open")</f>
        <v>Closed</v>
      </c>
      <c r="K430">
        <f>IF(Sales_Data[[#This Row],[Open/Closed]] = "Closed",Sales_Data[[#This Row],[Close Date]]-Sales_Data[[#This Row],[Created Date]],"")</f>
        <v>67</v>
      </c>
      <c r="L430" s="2">
        <f>EOMONTH(Sales_Data[[#This Row],[Created Date]],0)</f>
        <v>45322</v>
      </c>
      <c r="M430" t="b">
        <f>AND(Sales_Data[[#This Row],[EoM Created]]&gt;=Index!$E$5,Sales_Data[[#This Row],[EoM Created]]&lt;=Index!$E$4)</f>
        <v>1</v>
      </c>
      <c r="N430" t="b" cm="1">
        <f t="array" ref="N430">_xlfn.XLOOKUP(Sales_Data[[#This Row],[Sales Team]],_xlfn.ANCHORARRAY(Dashboard!$B$9),Dashboard!$D$9:$D$10,,0)</f>
        <v>1</v>
      </c>
      <c r="O430" t="b" cm="1">
        <f t="array" ref="O430">_xlfn.XLOOKUP(Sales_Data[[#This Row],[Sales Rep]],_xlfn.ANCHORARRAY(Dashboard!$B$13),Dashboard!$D$13:$D$17,,0)</f>
        <v>1</v>
      </c>
      <c r="P430" t="b" cm="1">
        <f t="array" ref="P430">_xlfn.XLOOKUP(Sales_Data[[#This Row],[Stage]],_xlfn.ANCHORARRAY(Dashboard!$B$20),Dashboard!$D$20:$D$25)</f>
        <v>1</v>
      </c>
      <c r="Q430" t="b" cm="1">
        <f t="array" ref="Q430">_xlfn.XLOOKUP(Sales_Data[[#This Row],[Lead Source]],_xlfn.ANCHORARRAY(Dashboard!$B$28),Dashboard!$D$28:$D$32)</f>
        <v>1</v>
      </c>
      <c r="R430">
        <f>Sales_Data[[#This Row],[Date inc]]*Sales_Data[[#This Row],[Team Inc]]*Sales_Data[[#This Row],[Rep Inc]]*Sales_Data[[#This Row],[Stage Inc]]*Sales_Data[[#This Row],[Source Inc]]</f>
        <v>1</v>
      </c>
    </row>
    <row r="431" spans="1:18" x14ac:dyDescent="0.3">
      <c r="A431" t="s">
        <v>438</v>
      </c>
      <c r="B431" s="2">
        <v>45506</v>
      </c>
      <c r="C431" t="s">
        <v>763</v>
      </c>
      <c r="D431" t="s">
        <v>765</v>
      </c>
      <c r="E431" t="s">
        <v>769</v>
      </c>
      <c r="F431" s="5">
        <v>22400</v>
      </c>
      <c r="G431" t="s">
        <v>781</v>
      </c>
      <c r="H431" s="2">
        <v>45590</v>
      </c>
      <c r="I431" t="s">
        <v>777</v>
      </c>
      <c r="J431" t="str">
        <f>IF(Sales_Data[[#This Row],[Close Date]] &lt;&gt; 0,"Closed", "Open")</f>
        <v>Closed</v>
      </c>
      <c r="K431">
        <f>IF(Sales_Data[[#This Row],[Open/Closed]] = "Closed",Sales_Data[[#This Row],[Close Date]]-Sales_Data[[#This Row],[Created Date]],"")</f>
        <v>84</v>
      </c>
      <c r="L431" s="2">
        <f>EOMONTH(Sales_Data[[#This Row],[Created Date]],0)</f>
        <v>45535</v>
      </c>
      <c r="M431" t="b">
        <f>AND(Sales_Data[[#This Row],[EoM Created]]&gt;=Index!$E$5,Sales_Data[[#This Row],[EoM Created]]&lt;=Index!$E$4)</f>
        <v>1</v>
      </c>
      <c r="N431" t="b" cm="1">
        <f t="array" ref="N431">_xlfn.XLOOKUP(Sales_Data[[#This Row],[Sales Team]],_xlfn.ANCHORARRAY(Dashboard!$B$9),Dashboard!$D$9:$D$10,,0)</f>
        <v>1</v>
      </c>
      <c r="O431" t="b" cm="1">
        <f t="array" ref="O431">_xlfn.XLOOKUP(Sales_Data[[#This Row],[Sales Rep]],_xlfn.ANCHORARRAY(Dashboard!$B$13),Dashboard!$D$13:$D$17,,0)</f>
        <v>1</v>
      </c>
      <c r="P431" t="b" cm="1">
        <f t="array" ref="P431">_xlfn.XLOOKUP(Sales_Data[[#This Row],[Stage]],_xlfn.ANCHORARRAY(Dashboard!$B$20),Dashboard!$D$20:$D$25)</f>
        <v>1</v>
      </c>
      <c r="Q431" t="b" cm="1">
        <f t="array" ref="Q431">_xlfn.XLOOKUP(Sales_Data[[#This Row],[Lead Source]],_xlfn.ANCHORARRAY(Dashboard!$B$28),Dashboard!$D$28:$D$32)</f>
        <v>1</v>
      </c>
      <c r="R431">
        <f>Sales_Data[[#This Row],[Date inc]]*Sales_Data[[#This Row],[Team Inc]]*Sales_Data[[#This Row],[Rep Inc]]*Sales_Data[[#This Row],[Stage Inc]]*Sales_Data[[#This Row],[Source Inc]]</f>
        <v>1</v>
      </c>
    </row>
    <row r="432" spans="1:18" x14ac:dyDescent="0.3">
      <c r="A432" t="s">
        <v>439</v>
      </c>
      <c r="B432" s="2">
        <v>45055</v>
      </c>
      <c r="C432" t="s">
        <v>762</v>
      </c>
      <c r="D432" t="s">
        <v>764</v>
      </c>
      <c r="E432" t="s">
        <v>767</v>
      </c>
      <c r="F432" s="5">
        <v>28200</v>
      </c>
      <c r="G432" t="s">
        <v>781</v>
      </c>
      <c r="H432" s="2">
        <v>45115</v>
      </c>
      <c r="I432" t="s">
        <v>779</v>
      </c>
      <c r="J432" t="str">
        <f>IF(Sales_Data[[#This Row],[Close Date]] &lt;&gt; 0,"Closed", "Open")</f>
        <v>Closed</v>
      </c>
      <c r="K432">
        <f>IF(Sales_Data[[#This Row],[Open/Closed]] = "Closed",Sales_Data[[#This Row],[Close Date]]-Sales_Data[[#This Row],[Created Date]],"")</f>
        <v>60</v>
      </c>
      <c r="L432" s="2">
        <f>EOMONTH(Sales_Data[[#This Row],[Created Date]],0)</f>
        <v>45077</v>
      </c>
      <c r="M432" t="b">
        <f>AND(Sales_Data[[#This Row],[EoM Created]]&gt;=Index!$E$5,Sales_Data[[#This Row],[EoM Created]]&lt;=Index!$E$4)</f>
        <v>0</v>
      </c>
      <c r="N432" t="b" cm="1">
        <f t="array" ref="N432">_xlfn.XLOOKUP(Sales_Data[[#This Row],[Sales Team]],_xlfn.ANCHORARRAY(Dashboard!$B$9),Dashboard!$D$9:$D$10,,0)</f>
        <v>1</v>
      </c>
      <c r="O432" t="b" cm="1">
        <f t="array" ref="O432">_xlfn.XLOOKUP(Sales_Data[[#This Row],[Sales Rep]],_xlfn.ANCHORARRAY(Dashboard!$B$13),Dashboard!$D$13:$D$17,,0)</f>
        <v>1</v>
      </c>
      <c r="P432" t="b" cm="1">
        <f t="array" ref="P432">_xlfn.XLOOKUP(Sales_Data[[#This Row],[Stage]],_xlfn.ANCHORARRAY(Dashboard!$B$20),Dashboard!$D$20:$D$25)</f>
        <v>1</v>
      </c>
      <c r="Q432" t="b" cm="1">
        <f t="array" ref="Q432">_xlfn.XLOOKUP(Sales_Data[[#This Row],[Lead Source]],_xlfn.ANCHORARRAY(Dashboard!$B$28),Dashboard!$D$28:$D$32)</f>
        <v>1</v>
      </c>
      <c r="R432">
        <f>Sales_Data[[#This Row],[Date inc]]*Sales_Data[[#This Row],[Team Inc]]*Sales_Data[[#This Row],[Rep Inc]]*Sales_Data[[#This Row],[Stage Inc]]*Sales_Data[[#This Row],[Source Inc]]</f>
        <v>0</v>
      </c>
    </row>
    <row r="433" spans="1:18" x14ac:dyDescent="0.3">
      <c r="A433" t="s">
        <v>440</v>
      </c>
      <c r="B433" s="2">
        <v>45625</v>
      </c>
      <c r="C433" t="s">
        <v>760</v>
      </c>
      <c r="D433" t="s">
        <v>764</v>
      </c>
      <c r="E433" t="s">
        <v>767</v>
      </c>
      <c r="F433" s="5">
        <v>19600</v>
      </c>
      <c r="G433" t="s">
        <v>780</v>
      </c>
      <c r="H433" s="2">
        <v>45709</v>
      </c>
      <c r="J433" t="str">
        <f>IF(Sales_Data[[#This Row],[Close Date]] &lt;&gt; 0,"Closed", "Open")</f>
        <v>Closed</v>
      </c>
      <c r="K433">
        <f>IF(Sales_Data[[#This Row],[Open/Closed]] = "Closed",Sales_Data[[#This Row],[Close Date]]-Sales_Data[[#This Row],[Created Date]],"")</f>
        <v>84</v>
      </c>
      <c r="L433" s="2">
        <f>EOMONTH(Sales_Data[[#This Row],[Created Date]],0)</f>
        <v>45626</v>
      </c>
      <c r="M433" t="b">
        <f>AND(Sales_Data[[#This Row],[EoM Created]]&gt;=Index!$E$5,Sales_Data[[#This Row],[EoM Created]]&lt;=Index!$E$4)</f>
        <v>1</v>
      </c>
      <c r="N433" t="b" cm="1">
        <f t="array" ref="N433">_xlfn.XLOOKUP(Sales_Data[[#This Row],[Sales Team]],_xlfn.ANCHORARRAY(Dashboard!$B$9),Dashboard!$D$9:$D$10,,0)</f>
        <v>1</v>
      </c>
      <c r="O433" t="b" cm="1">
        <f t="array" ref="O433">_xlfn.XLOOKUP(Sales_Data[[#This Row],[Sales Rep]],_xlfn.ANCHORARRAY(Dashboard!$B$13),Dashboard!$D$13:$D$17,,0)</f>
        <v>1</v>
      </c>
      <c r="P433" t="b" cm="1">
        <f t="array" ref="P433">_xlfn.XLOOKUP(Sales_Data[[#This Row],[Stage]],_xlfn.ANCHORARRAY(Dashboard!$B$20),Dashboard!$D$20:$D$25)</f>
        <v>1</v>
      </c>
      <c r="Q433" t="b" cm="1">
        <f t="array" ref="Q433">_xlfn.XLOOKUP(Sales_Data[[#This Row],[Lead Source]],_xlfn.ANCHORARRAY(Dashboard!$B$28),Dashboard!$D$28:$D$32)</f>
        <v>1</v>
      </c>
      <c r="R433">
        <f>Sales_Data[[#This Row],[Date inc]]*Sales_Data[[#This Row],[Team Inc]]*Sales_Data[[#This Row],[Rep Inc]]*Sales_Data[[#This Row],[Stage Inc]]*Sales_Data[[#This Row],[Source Inc]]</f>
        <v>1</v>
      </c>
    </row>
    <row r="434" spans="1:18" x14ac:dyDescent="0.3">
      <c r="A434" t="s">
        <v>441</v>
      </c>
      <c r="B434" s="2">
        <v>45205</v>
      </c>
      <c r="C434" t="s">
        <v>761</v>
      </c>
      <c r="D434" t="s">
        <v>765</v>
      </c>
      <c r="E434" t="s">
        <v>768</v>
      </c>
      <c r="F434" s="5">
        <v>37300</v>
      </c>
      <c r="G434" t="s">
        <v>780</v>
      </c>
      <c r="H434" s="2">
        <v>45279</v>
      </c>
      <c r="J434" t="str">
        <f>IF(Sales_Data[[#This Row],[Close Date]] &lt;&gt; 0,"Closed", "Open")</f>
        <v>Closed</v>
      </c>
      <c r="K434">
        <f>IF(Sales_Data[[#This Row],[Open/Closed]] = "Closed",Sales_Data[[#This Row],[Close Date]]-Sales_Data[[#This Row],[Created Date]],"")</f>
        <v>74</v>
      </c>
      <c r="L434" s="2">
        <f>EOMONTH(Sales_Data[[#This Row],[Created Date]],0)</f>
        <v>45230</v>
      </c>
      <c r="M434" t="b">
        <f>AND(Sales_Data[[#This Row],[EoM Created]]&gt;=Index!$E$5,Sales_Data[[#This Row],[EoM Created]]&lt;=Index!$E$4)</f>
        <v>1</v>
      </c>
      <c r="N434" t="b" cm="1">
        <f t="array" ref="N434">_xlfn.XLOOKUP(Sales_Data[[#This Row],[Sales Team]],_xlfn.ANCHORARRAY(Dashboard!$B$9),Dashboard!$D$9:$D$10,,0)</f>
        <v>1</v>
      </c>
      <c r="O434" t="b" cm="1">
        <f t="array" ref="O434">_xlfn.XLOOKUP(Sales_Data[[#This Row],[Sales Rep]],_xlfn.ANCHORARRAY(Dashboard!$B$13),Dashboard!$D$13:$D$17,,0)</f>
        <v>1</v>
      </c>
      <c r="P434" t="b" cm="1">
        <f t="array" ref="P434">_xlfn.XLOOKUP(Sales_Data[[#This Row],[Stage]],_xlfn.ANCHORARRAY(Dashboard!$B$20),Dashboard!$D$20:$D$25)</f>
        <v>1</v>
      </c>
      <c r="Q434" t="b" cm="1">
        <f t="array" ref="Q434">_xlfn.XLOOKUP(Sales_Data[[#This Row],[Lead Source]],_xlfn.ANCHORARRAY(Dashboard!$B$28),Dashboard!$D$28:$D$32)</f>
        <v>1</v>
      </c>
      <c r="R434">
        <f>Sales_Data[[#This Row],[Date inc]]*Sales_Data[[#This Row],[Team Inc]]*Sales_Data[[#This Row],[Rep Inc]]*Sales_Data[[#This Row],[Stage Inc]]*Sales_Data[[#This Row],[Source Inc]]</f>
        <v>1</v>
      </c>
    </row>
    <row r="435" spans="1:18" x14ac:dyDescent="0.3">
      <c r="A435" t="s">
        <v>442</v>
      </c>
      <c r="B435" s="2">
        <v>45689</v>
      </c>
      <c r="C435" t="s">
        <v>761</v>
      </c>
      <c r="D435" t="s">
        <v>765</v>
      </c>
      <c r="E435" t="s">
        <v>770</v>
      </c>
      <c r="F435" s="5">
        <v>47200</v>
      </c>
      <c r="G435" t="s">
        <v>780</v>
      </c>
      <c r="H435" s="2">
        <v>45765</v>
      </c>
      <c r="J435" t="str">
        <f>IF(Sales_Data[[#This Row],[Close Date]] &lt;&gt; 0,"Closed", "Open")</f>
        <v>Closed</v>
      </c>
      <c r="K435">
        <f>IF(Sales_Data[[#This Row],[Open/Closed]] = "Closed",Sales_Data[[#This Row],[Close Date]]-Sales_Data[[#This Row],[Created Date]],"")</f>
        <v>76</v>
      </c>
      <c r="L435" s="2">
        <f>EOMONTH(Sales_Data[[#This Row],[Created Date]],0)</f>
        <v>45716</v>
      </c>
      <c r="M435" t="b">
        <f>AND(Sales_Data[[#This Row],[EoM Created]]&gt;=Index!$E$5,Sales_Data[[#This Row],[EoM Created]]&lt;=Index!$E$4)</f>
        <v>1</v>
      </c>
      <c r="N435" t="b" cm="1">
        <f t="array" ref="N435">_xlfn.XLOOKUP(Sales_Data[[#This Row],[Sales Team]],_xlfn.ANCHORARRAY(Dashboard!$B$9),Dashboard!$D$9:$D$10,,0)</f>
        <v>1</v>
      </c>
      <c r="O435" t="b" cm="1">
        <f t="array" ref="O435">_xlfn.XLOOKUP(Sales_Data[[#This Row],[Sales Rep]],_xlfn.ANCHORARRAY(Dashboard!$B$13),Dashboard!$D$13:$D$17,,0)</f>
        <v>1</v>
      </c>
      <c r="P435" t="b" cm="1">
        <f t="array" ref="P435">_xlfn.XLOOKUP(Sales_Data[[#This Row],[Stage]],_xlfn.ANCHORARRAY(Dashboard!$B$20),Dashboard!$D$20:$D$25)</f>
        <v>1</v>
      </c>
      <c r="Q435" t="b" cm="1">
        <f t="array" ref="Q435">_xlfn.XLOOKUP(Sales_Data[[#This Row],[Lead Source]],_xlfn.ANCHORARRAY(Dashboard!$B$28),Dashboard!$D$28:$D$32)</f>
        <v>1</v>
      </c>
      <c r="R435">
        <f>Sales_Data[[#This Row],[Date inc]]*Sales_Data[[#This Row],[Team Inc]]*Sales_Data[[#This Row],[Rep Inc]]*Sales_Data[[#This Row],[Stage Inc]]*Sales_Data[[#This Row],[Source Inc]]</f>
        <v>1</v>
      </c>
    </row>
    <row r="436" spans="1:18" x14ac:dyDescent="0.3">
      <c r="A436" t="s">
        <v>443</v>
      </c>
      <c r="B436" s="2">
        <v>45651</v>
      </c>
      <c r="C436" t="s">
        <v>761</v>
      </c>
      <c r="D436" t="s">
        <v>765</v>
      </c>
      <c r="E436" t="s">
        <v>770</v>
      </c>
      <c r="F436" s="5">
        <v>55000</v>
      </c>
      <c r="G436" t="s">
        <v>780</v>
      </c>
      <c r="H436" s="2">
        <v>45714</v>
      </c>
      <c r="J436" t="str">
        <f>IF(Sales_Data[[#This Row],[Close Date]] &lt;&gt; 0,"Closed", "Open")</f>
        <v>Closed</v>
      </c>
      <c r="K436">
        <f>IF(Sales_Data[[#This Row],[Open/Closed]] = "Closed",Sales_Data[[#This Row],[Close Date]]-Sales_Data[[#This Row],[Created Date]],"")</f>
        <v>63</v>
      </c>
      <c r="L436" s="2">
        <f>EOMONTH(Sales_Data[[#This Row],[Created Date]],0)</f>
        <v>45657</v>
      </c>
      <c r="M436" t="b">
        <f>AND(Sales_Data[[#This Row],[EoM Created]]&gt;=Index!$E$5,Sales_Data[[#This Row],[EoM Created]]&lt;=Index!$E$4)</f>
        <v>1</v>
      </c>
      <c r="N436" t="b" cm="1">
        <f t="array" ref="N436">_xlfn.XLOOKUP(Sales_Data[[#This Row],[Sales Team]],_xlfn.ANCHORARRAY(Dashboard!$B$9),Dashboard!$D$9:$D$10,,0)</f>
        <v>1</v>
      </c>
      <c r="O436" t="b" cm="1">
        <f t="array" ref="O436">_xlfn.XLOOKUP(Sales_Data[[#This Row],[Sales Rep]],_xlfn.ANCHORARRAY(Dashboard!$B$13),Dashboard!$D$13:$D$17,,0)</f>
        <v>1</v>
      </c>
      <c r="P436" t="b" cm="1">
        <f t="array" ref="P436">_xlfn.XLOOKUP(Sales_Data[[#This Row],[Stage]],_xlfn.ANCHORARRAY(Dashboard!$B$20),Dashboard!$D$20:$D$25)</f>
        <v>1</v>
      </c>
      <c r="Q436" t="b" cm="1">
        <f t="array" ref="Q436">_xlfn.XLOOKUP(Sales_Data[[#This Row],[Lead Source]],_xlfn.ANCHORARRAY(Dashboard!$B$28),Dashboard!$D$28:$D$32)</f>
        <v>1</v>
      </c>
      <c r="R436">
        <f>Sales_Data[[#This Row],[Date inc]]*Sales_Data[[#This Row],[Team Inc]]*Sales_Data[[#This Row],[Rep Inc]]*Sales_Data[[#This Row],[Stage Inc]]*Sales_Data[[#This Row],[Source Inc]]</f>
        <v>1</v>
      </c>
    </row>
    <row r="437" spans="1:18" x14ac:dyDescent="0.3">
      <c r="A437" t="s">
        <v>444</v>
      </c>
      <c r="B437" s="2">
        <v>45387</v>
      </c>
      <c r="C437" t="s">
        <v>762</v>
      </c>
      <c r="D437" t="s">
        <v>764</v>
      </c>
      <c r="E437" t="s">
        <v>766</v>
      </c>
      <c r="F437" s="5">
        <v>40700</v>
      </c>
      <c r="G437" t="s">
        <v>781</v>
      </c>
      <c r="H437" s="2">
        <v>45476</v>
      </c>
      <c r="I437" t="s">
        <v>776</v>
      </c>
      <c r="J437" t="str">
        <f>IF(Sales_Data[[#This Row],[Close Date]] &lt;&gt; 0,"Closed", "Open")</f>
        <v>Closed</v>
      </c>
      <c r="K437">
        <f>IF(Sales_Data[[#This Row],[Open/Closed]] = "Closed",Sales_Data[[#This Row],[Close Date]]-Sales_Data[[#This Row],[Created Date]],"")</f>
        <v>89</v>
      </c>
      <c r="L437" s="2">
        <f>EOMONTH(Sales_Data[[#This Row],[Created Date]],0)</f>
        <v>45412</v>
      </c>
      <c r="M437" t="b">
        <f>AND(Sales_Data[[#This Row],[EoM Created]]&gt;=Index!$E$5,Sales_Data[[#This Row],[EoM Created]]&lt;=Index!$E$4)</f>
        <v>1</v>
      </c>
      <c r="N437" t="b" cm="1">
        <f t="array" ref="N437">_xlfn.XLOOKUP(Sales_Data[[#This Row],[Sales Team]],_xlfn.ANCHORARRAY(Dashboard!$B$9),Dashboard!$D$9:$D$10,,0)</f>
        <v>1</v>
      </c>
      <c r="O437" t="b" cm="1">
        <f t="array" ref="O437">_xlfn.XLOOKUP(Sales_Data[[#This Row],[Sales Rep]],_xlfn.ANCHORARRAY(Dashboard!$B$13),Dashboard!$D$13:$D$17,,0)</f>
        <v>1</v>
      </c>
      <c r="P437" t="b" cm="1">
        <f t="array" ref="P437">_xlfn.XLOOKUP(Sales_Data[[#This Row],[Stage]],_xlfn.ANCHORARRAY(Dashboard!$B$20),Dashboard!$D$20:$D$25)</f>
        <v>1</v>
      </c>
      <c r="Q437" t="b" cm="1">
        <f t="array" ref="Q437">_xlfn.XLOOKUP(Sales_Data[[#This Row],[Lead Source]],_xlfn.ANCHORARRAY(Dashboard!$B$28),Dashboard!$D$28:$D$32)</f>
        <v>1</v>
      </c>
      <c r="R437">
        <f>Sales_Data[[#This Row],[Date inc]]*Sales_Data[[#This Row],[Team Inc]]*Sales_Data[[#This Row],[Rep Inc]]*Sales_Data[[#This Row],[Stage Inc]]*Sales_Data[[#This Row],[Source Inc]]</f>
        <v>1</v>
      </c>
    </row>
    <row r="438" spans="1:18" x14ac:dyDescent="0.3">
      <c r="A438" t="s">
        <v>445</v>
      </c>
      <c r="B438" s="2">
        <v>45597</v>
      </c>
      <c r="C438" t="s">
        <v>761</v>
      </c>
      <c r="D438" t="s">
        <v>765</v>
      </c>
      <c r="E438" t="s">
        <v>768</v>
      </c>
      <c r="F438" s="5">
        <v>56300</v>
      </c>
      <c r="G438" t="s">
        <v>781</v>
      </c>
      <c r="H438" s="2">
        <v>45663</v>
      </c>
      <c r="I438" t="s">
        <v>779</v>
      </c>
      <c r="J438" t="str">
        <f>IF(Sales_Data[[#This Row],[Close Date]] &lt;&gt; 0,"Closed", "Open")</f>
        <v>Closed</v>
      </c>
      <c r="K438">
        <f>IF(Sales_Data[[#This Row],[Open/Closed]] = "Closed",Sales_Data[[#This Row],[Close Date]]-Sales_Data[[#This Row],[Created Date]],"")</f>
        <v>66</v>
      </c>
      <c r="L438" s="2">
        <f>EOMONTH(Sales_Data[[#This Row],[Created Date]],0)</f>
        <v>45626</v>
      </c>
      <c r="M438" t="b">
        <f>AND(Sales_Data[[#This Row],[EoM Created]]&gt;=Index!$E$5,Sales_Data[[#This Row],[EoM Created]]&lt;=Index!$E$4)</f>
        <v>1</v>
      </c>
      <c r="N438" t="b" cm="1">
        <f t="array" ref="N438">_xlfn.XLOOKUP(Sales_Data[[#This Row],[Sales Team]],_xlfn.ANCHORARRAY(Dashboard!$B$9),Dashboard!$D$9:$D$10,,0)</f>
        <v>1</v>
      </c>
      <c r="O438" t="b" cm="1">
        <f t="array" ref="O438">_xlfn.XLOOKUP(Sales_Data[[#This Row],[Sales Rep]],_xlfn.ANCHORARRAY(Dashboard!$B$13),Dashboard!$D$13:$D$17,,0)</f>
        <v>1</v>
      </c>
      <c r="P438" t="b" cm="1">
        <f t="array" ref="P438">_xlfn.XLOOKUP(Sales_Data[[#This Row],[Stage]],_xlfn.ANCHORARRAY(Dashboard!$B$20),Dashboard!$D$20:$D$25)</f>
        <v>1</v>
      </c>
      <c r="Q438" t="b" cm="1">
        <f t="array" ref="Q438">_xlfn.XLOOKUP(Sales_Data[[#This Row],[Lead Source]],_xlfn.ANCHORARRAY(Dashboard!$B$28),Dashboard!$D$28:$D$32)</f>
        <v>1</v>
      </c>
      <c r="R438">
        <f>Sales_Data[[#This Row],[Date inc]]*Sales_Data[[#This Row],[Team Inc]]*Sales_Data[[#This Row],[Rep Inc]]*Sales_Data[[#This Row],[Stage Inc]]*Sales_Data[[#This Row],[Source Inc]]</f>
        <v>1</v>
      </c>
    </row>
    <row r="439" spans="1:18" x14ac:dyDescent="0.3">
      <c r="A439" t="s">
        <v>446</v>
      </c>
      <c r="B439" s="2">
        <v>45382</v>
      </c>
      <c r="C439" t="s">
        <v>761</v>
      </c>
      <c r="D439" t="s">
        <v>765</v>
      </c>
      <c r="E439" t="s">
        <v>770</v>
      </c>
      <c r="F439" s="5">
        <v>26200</v>
      </c>
      <c r="G439" t="s">
        <v>780</v>
      </c>
      <c r="H439" s="2">
        <v>45458</v>
      </c>
      <c r="J439" t="str">
        <f>IF(Sales_Data[[#This Row],[Close Date]] &lt;&gt; 0,"Closed", "Open")</f>
        <v>Closed</v>
      </c>
      <c r="K439">
        <f>IF(Sales_Data[[#This Row],[Open/Closed]] = "Closed",Sales_Data[[#This Row],[Close Date]]-Sales_Data[[#This Row],[Created Date]],"")</f>
        <v>76</v>
      </c>
      <c r="L439" s="2">
        <f>EOMONTH(Sales_Data[[#This Row],[Created Date]],0)</f>
        <v>45382</v>
      </c>
      <c r="M439" t="b">
        <f>AND(Sales_Data[[#This Row],[EoM Created]]&gt;=Index!$E$5,Sales_Data[[#This Row],[EoM Created]]&lt;=Index!$E$4)</f>
        <v>1</v>
      </c>
      <c r="N439" t="b" cm="1">
        <f t="array" ref="N439">_xlfn.XLOOKUP(Sales_Data[[#This Row],[Sales Team]],_xlfn.ANCHORARRAY(Dashboard!$B$9),Dashboard!$D$9:$D$10,,0)</f>
        <v>1</v>
      </c>
      <c r="O439" t="b" cm="1">
        <f t="array" ref="O439">_xlfn.XLOOKUP(Sales_Data[[#This Row],[Sales Rep]],_xlfn.ANCHORARRAY(Dashboard!$B$13),Dashboard!$D$13:$D$17,,0)</f>
        <v>1</v>
      </c>
      <c r="P439" t="b" cm="1">
        <f t="array" ref="P439">_xlfn.XLOOKUP(Sales_Data[[#This Row],[Stage]],_xlfn.ANCHORARRAY(Dashboard!$B$20),Dashboard!$D$20:$D$25)</f>
        <v>1</v>
      </c>
      <c r="Q439" t="b" cm="1">
        <f t="array" ref="Q439">_xlfn.XLOOKUP(Sales_Data[[#This Row],[Lead Source]],_xlfn.ANCHORARRAY(Dashboard!$B$28),Dashboard!$D$28:$D$32)</f>
        <v>1</v>
      </c>
      <c r="R439">
        <f>Sales_Data[[#This Row],[Date inc]]*Sales_Data[[#This Row],[Team Inc]]*Sales_Data[[#This Row],[Rep Inc]]*Sales_Data[[#This Row],[Stage Inc]]*Sales_Data[[#This Row],[Source Inc]]</f>
        <v>1</v>
      </c>
    </row>
    <row r="440" spans="1:18" x14ac:dyDescent="0.3">
      <c r="A440" t="s">
        <v>447</v>
      </c>
      <c r="B440" s="2">
        <v>45459</v>
      </c>
      <c r="C440" t="s">
        <v>763</v>
      </c>
      <c r="D440" t="s">
        <v>765</v>
      </c>
      <c r="E440" t="s">
        <v>770</v>
      </c>
      <c r="F440" s="5">
        <v>23000</v>
      </c>
      <c r="G440" t="s">
        <v>780</v>
      </c>
      <c r="H440" s="2">
        <v>45522</v>
      </c>
      <c r="J440" t="str">
        <f>IF(Sales_Data[[#This Row],[Close Date]] &lt;&gt; 0,"Closed", "Open")</f>
        <v>Closed</v>
      </c>
      <c r="K440">
        <f>IF(Sales_Data[[#This Row],[Open/Closed]] = "Closed",Sales_Data[[#This Row],[Close Date]]-Sales_Data[[#This Row],[Created Date]],"")</f>
        <v>63</v>
      </c>
      <c r="L440" s="2">
        <f>EOMONTH(Sales_Data[[#This Row],[Created Date]],0)</f>
        <v>45473</v>
      </c>
      <c r="M440" t="b">
        <f>AND(Sales_Data[[#This Row],[EoM Created]]&gt;=Index!$E$5,Sales_Data[[#This Row],[EoM Created]]&lt;=Index!$E$4)</f>
        <v>1</v>
      </c>
      <c r="N440" t="b" cm="1">
        <f t="array" ref="N440">_xlfn.XLOOKUP(Sales_Data[[#This Row],[Sales Team]],_xlfn.ANCHORARRAY(Dashboard!$B$9),Dashboard!$D$9:$D$10,,0)</f>
        <v>1</v>
      </c>
      <c r="O440" t="b" cm="1">
        <f t="array" ref="O440">_xlfn.XLOOKUP(Sales_Data[[#This Row],[Sales Rep]],_xlfn.ANCHORARRAY(Dashboard!$B$13),Dashboard!$D$13:$D$17,,0)</f>
        <v>1</v>
      </c>
      <c r="P440" t="b" cm="1">
        <f t="array" ref="P440">_xlfn.XLOOKUP(Sales_Data[[#This Row],[Stage]],_xlfn.ANCHORARRAY(Dashboard!$B$20),Dashboard!$D$20:$D$25)</f>
        <v>1</v>
      </c>
      <c r="Q440" t="b" cm="1">
        <f t="array" ref="Q440">_xlfn.XLOOKUP(Sales_Data[[#This Row],[Lead Source]],_xlfn.ANCHORARRAY(Dashboard!$B$28),Dashboard!$D$28:$D$32)</f>
        <v>1</v>
      </c>
      <c r="R440">
        <f>Sales_Data[[#This Row],[Date inc]]*Sales_Data[[#This Row],[Team Inc]]*Sales_Data[[#This Row],[Rep Inc]]*Sales_Data[[#This Row],[Stage Inc]]*Sales_Data[[#This Row],[Source Inc]]</f>
        <v>1</v>
      </c>
    </row>
    <row r="441" spans="1:18" x14ac:dyDescent="0.3">
      <c r="A441" t="s">
        <v>448</v>
      </c>
      <c r="B441" s="2">
        <v>44989</v>
      </c>
      <c r="C441" t="s">
        <v>763</v>
      </c>
      <c r="D441" t="s">
        <v>765</v>
      </c>
      <c r="E441" t="s">
        <v>768</v>
      </c>
      <c r="F441" s="5">
        <v>39400</v>
      </c>
      <c r="G441" t="s">
        <v>781</v>
      </c>
      <c r="H441" s="2">
        <v>45077</v>
      </c>
      <c r="I441" t="s">
        <v>776</v>
      </c>
      <c r="J441" t="str">
        <f>IF(Sales_Data[[#This Row],[Close Date]] &lt;&gt; 0,"Closed", "Open")</f>
        <v>Closed</v>
      </c>
      <c r="K441">
        <f>IF(Sales_Data[[#This Row],[Open/Closed]] = "Closed",Sales_Data[[#This Row],[Close Date]]-Sales_Data[[#This Row],[Created Date]],"")</f>
        <v>88</v>
      </c>
      <c r="L441" s="2">
        <f>EOMONTH(Sales_Data[[#This Row],[Created Date]],0)</f>
        <v>45016</v>
      </c>
      <c r="M441" t="b">
        <f>AND(Sales_Data[[#This Row],[EoM Created]]&gt;=Index!$E$5,Sales_Data[[#This Row],[EoM Created]]&lt;=Index!$E$4)</f>
        <v>0</v>
      </c>
      <c r="N441" t="b" cm="1">
        <f t="array" ref="N441">_xlfn.XLOOKUP(Sales_Data[[#This Row],[Sales Team]],_xlfn.ANCHORARRAY(Dashboard!$B$9),Dashboard!$D$9:$D$10,,0)</f>
        <v>1</v>
      </c>
      <c r="O441" t="b" cm="1">
        <f t="array" ref="O441">_xlfn.XLOOKUP(Sales_Data[[#This Row],[Sales Rep]],_xlfn.ANCHORARRAY(Dashboard!$B$13),Dashboard!$D$13:$D$17,,0)</f>
        <v>1</v>
      </c>
      <c r="P441" t="b" cm="1">
        <f t="array" ref="P441">_xlfn.XLOOKUP(Sales_Data[[#This Row],[Stage]],_xlfn.ANCHORARRAY(Dashboard!$B$20),Dashboard!$D$20:$D$25)</f>
        <v>1</v>
      </c>
      <c r="Q441" t="b" cm="1">
        <f t="array" ref="Q441">_xlfn.XLOOKUP(Sales_Data[[#This Row],[Lead Source]],_xlfn.ANCHORARRAY(Dashboard!$B$28),Dashboard!$D$28:$D$32)</f>
        <v>1</v>
      </c>
      <c r="R441">
        <f>Sales_Data[[#This Row],[Date inc]]*Sales_Data[[#This Row],[Team Inc]]*Sales_Data[[#This Row],[Rep Inc]]*Sales_Data[[#This Row],[Stage Inc]]*Sales_Data[[#This Row],[Source Inc]]</f>
        <v>0</v>
      </c>
    </row>
    <row r="442" spans="1:18" x14ac:dyDescent="0.3">
      <c r="A442" t="s">
        <v>449</v>
      </c>
      <c r="B442" s="2">
        <v>45709</v>
      </c>
      <c r="C442" t="s">
        <v>762</v>
      </c>
      <c r="D442" t="s">
        <v>764</v>
      </c>
      <c r="E442" t="s">
        <v>767</v>
      </c>
      <c r="F442" s="5">
        <v>43800</v>
      </c>
      <c r="G442" t="s">
        <v>781</v>
      </c>
      <c r="H442" s="2">
        <v>45798</v>
      </c>
      <c r="I442" t="s">
        <v>778</v>
      </c>
      <c r="J442" t="str">
        <f>IF(Sales_Data[[#This Row],[Close Date]] &lt;&gt; 0,"Closed", "Open")</f>
        <v>Closed</v>
      </c>
      <c r="K442">
        <f>IF(Sales_Data[[#This Row],[Open/Closed]] = "Closed",Sales_Data[[#This Row],[Close Date]]-Sales_Data[[#This Row],[Created Date]],"")</f>
        <v>89</v>
      </c>
      <c r="L442" s="2">
        <f>EOMONTH(Sales_Data[[#This Row],[Created Date]],0)</f>
        <v>45716</v>
      </c>
      <c r="M442" t="b">
        <f>AND(Sales_Data[[#This Row],[EoM Created]]&gt;=Index!$E$5,Sales_Data[[#This Row],[EoM Created]]&lt;=Index!$E$4)</f>
        <v>1</v>
      </c>
      <c r="N442" t="b" cm="1">
        <f t="array" ref="N442">_xlfn.XLOOKUP(Sales_Data[[#This Row],[Sales Team]],_xlfn.ANCHORARRAY(Dashboard!$B$9),Dashboard!$D$9:$D$10,,0)</f>
        <v>1</v>
      </c>
      <c r="O442" t="b" cm="1">
        <f t="array" ref="O442">_xlfn.XLOOKUP(Sales_Data[[#This Row],[Sales Rep]],_xlfn.ANCHORARRAY(Dashboard!$B$13),Dashboard!$D$13:$D$17,,0)</f>
        <v>1</v>
      </c>
      <c r="P442" t="b" cm="1">
        <f t="array" ref="P442">_xlfn.XLOOKUP(Sales_Data[[#This Row],[Stage]],_xlfn.ANCHORARRAY(Dashboard!$B$20),Dashboard!$D$20:$D$25)</f>
        <v>1</v>
      </c>
      <c r="Q442" t="b" cm="1">
        <f t="array" ref="Q442">_xlfn.XLOOKUP(Sales_Data[[#This Row],[Lead Source]],_xlfn.ANCHORARRAY(Dashboard!$B$28),Dashboard!$D$28:$D$32)</f>
        <v>1</v>
      </c>
      <c r="R442">
        <f>Sales_Data[[#This Row],[Date inc]]*Sales_Data[[#This Row],[Team Inc]]*Sales_Data[[#This Row],[Rep Inc]]*Sales_Data[[#This Row],[Stage Inc]]*Sales_Data[[#This Row],[Source Inc]]</f>
        <v>1</v>
      </c>
    </row>
    <row r="443" spans="1:18" x14ac:dyDescent="0.3">
      <c r="A443" t="s">
        <v>450</v>
      </c>
      <c r="B443" s="2">
        <v>45662</v>
      </c>
      <c r="C443" t="s">
        <v>762</v>
      </c>
      <c r="D443" t="s">
        <v>764</v>
      </c>
      <c r="E443" t="s">
        <v>766</v>
      </c>
      <c r="F443" s="5">
        <v>39700</v>
      </c>
      <c r="G443" t="s">
        <v>780</v>
      </c>
      <c r="H443" s="2">
        <v>45743</v>
      </c>
      <c r="J443" t="str">
        <f>IF(Sales_Data[[#This Row],[Close Date]] &lt;&gt; 0,"Closed", "Open")</f>
        <v>Closed</v>
      </c>
      <c r="K443">
        <f>IF(Sales_Data[[#This Row],[Open/Closed]] = "Closed",Sales_Data[[#This Row],[Close Date]]-Sales_Data[[#This Row],[Created Date]],"")</f>
        <v>81</v>
      </c>
      <c r="L443" s="2">
        <f>EOMONTH(Sales_Data[[#This Row],[Created Date]],0)</f>
        <v>45688</v>
      </c>
      <c r="M443" t="b">
        <f>AND(Sales_Data[[#This Row],[EoM Created]]&gt;=Index!$E$5,Sales_Data[[#This Row],[EoM Created]]&lt;=Index!$E$4)</f>
        <v>1</v>
      </c>
      <c r="N443" t="b" cm="1">
        <f t="array" ref="N443">_xlfn.XLOOKUP(Sales_Data[[#This Row],[Sales Team]],_xlfn.ANCHORARRAY(Dashboard!$B$9),Dashboard!$D$9:$D$10,,0)</f>
        <v>1</v>
      </c>
      <c r="O443" t="b" cm="1">
        <f t="array" ref="O443">_xlfn.XLOOKUP(Sales_Data[[#This Row],[Sales Rep]],_xlfn.ANCHORARRAY(Dashboard!$B$13),Dashboard!$D$13:$D$17,,0)</f>
        <v>1</v>
      </c>
      <c r="P443" t="b" cm="1">
        <f t="array" ref="P443">_xlfn.XLOOKUP(Sales_Data[[#This Row],[Stage]],_xlfn.ANCHORARRAY(Dashboard!$B$20),Dashboard!$D$20:$D$25)</f>
        <v>1</v>
      </c>
      <c r="Q443" t="b" cm="1">
        <f t="array" ref="Q443">_xlfn.XLOOKUP(Sales_Data[[#This Row],[Lead Source]],_xlfn.ANCHORARRAY(Dashboard!$B$28),Dashboard!$D$28:$D$32)</f>
        <v>1</v>
      </c>
      <c r="R443">
        <f>Sales_Data[[#This Row],[Date inc]]*Sales_Data[[#This Row],[Team Inc]]*Sales_Data[[#This Row],[Rep Inc]]*Sales_Data[[#This Row],[Stage Inc]]*Sales_Data[[#This Row],[Source Inc]]</f>
        <v>1</v>
      </c>
    </row>
    <row r="444" spans="1:18" x14ac:dyDescent="0.3">
      <c r="A444" t="s">
        <v>451</v>
      </c>
      <c r="B444" s="2">
        <v>45687</v>
      </c>
      <c r="C444" t="s">
        <v>763</v>
      </c>
      <c r="D444" t="s">
        <v>765</v>
      </c>
      <c r="E444" t="s">
        <v>770</v>
      </c>
      <c r="F444" s="5">
        <v>19300</v>
      </c>
      <c r="G444" t="s">
        <v>781</v>
      </c>
      <c r="H444" s="2">
        <v>45774</v>
      </c>
      <c r="I444" t="s">
        <v>779</v>
      </c>
      <c r="J444" t="str">
        <f>IF(Sales_Data[[#This Row],[Close Date]] &lt;&gt; 0,"Closed", "Open")</f>
        <v>Closed</v>
      </c>
      <c r="K444">
        <f>IF(Sales_Data[[#This Row],[Open/Closed]] = "Closed",Sales_Data[[#This Row],[Close Date]]-Sales_Data[[#This Row],[Created Date]],"")</f>
        <v>87</v>
      </c>
      <c r="L444" s="2">
        <f>EOMONTH(Sales_Data[[#This Row],[Created Date]],0)</f>
        <v>45688</v>
      </c>
      <c r="M444" t="b">
        <f>AND(Sales_Data[[#This Row],[EoM Created]]&gt;=Index!$E$5,Sales_Data[[#This Row],[EoM Created]]&lt;=Index!$E$4)</f>
        <v>1</v>
      </c>
      <c r="N444" t="b" cm="1">
        <f t="array" ref="N444">_xlfn.XLOOKUP(Sales_Data[[#This Row],[Sales Team]],_xlfn.ANCHORARRAY(Dashboard!$B$9),Dashboard!$D$9:$D$10,,0)</f>
        <v>1</v>
      </c>
      <c r="O444" t="b" cm="1">
        <f t="array" ref="O444">_xlfn.XLOOKUP(Sales_Data[[#This Row],[Sales Rep]],_xlfn.ANCHORARRAY(Dashboard!$B$13),Dashboard!$D$13:$D$17,,0)</f>
        <v>1</v>
      </c>
      <c r="P444" t="b" cm="1">
        <f t="array" ref="P444">_xlfn.XLOOKUP(Sales_Data[[#This Row],[Stage]],_xlfn.ANCHORARRAY(Dashboard!$B$20),Dashboard!$D$20:$D$25)</f>
        <v>1</v>
      </c>
      <c r="Q444" t="b" cm="1">
        <f t="array" ref="Q444">_xlfn.XLOOKUP(Sales_Data[[#This Row],[Lead Source]],_xlfn.ANCHORARRAY(Dashboard!$B$28),Dashboard!$D$28:$D$32)</f>
        <v>1</v>
      </c>
      <c r="R444">
        <f>Sales_Data[[#This Row],[Date inc]]*Sales_Data[[#This Row],[Team Inc]]*Sales_Data[[#This Row],[Rep Inc]]*Sales_Data[[#This Row],[Stage Inc]]*Sales_Data[[#This Row],[Source Inc]]</f>
        <v>1</v>
      </c>
    </row>
    <row r="445" spans="1:18" x14ac:dyDescent="0.3">
      <c r="A445" t="s">
        <v>452</v>
      </c>
      <c r="B445" s="2">
        <v>45387</v>
      </c>
      <c r="C445" t="s">
        <v>762</v>
      </c>
      <c r="D445" t="s">
        <v>764</v>
      </c>
      <c r="E445" t="s">
        <v>766</v>
      </c>
      <c r="F445" s="5">
        <v>39100</v>
      </c>
      <c r="G445" t="s">
        <v>780</v>
      </c>
      <c r="H445" s="2">
        <v>45453</v>
      </c>
      <c r="J445" t="str">
        <f>IF(Sales_Data[[#This Row],[Close Date]] &lt;&gt; 0,"Closed", "Open")</f>
        <v>Closed</v>
      </c>
      <c r="K445">
        <f>IF(Sales_Data[[#This Row],[Open/Closed]] = "Closed",Sales_Data[[#This Row],[Close Date]]-Sales_Data[[#This Row],[Created Date]],"")</f>
        <v>66</v>
      </c>
      <c r="L445" s="2">
        <f>EOMONTH(Sales_Data[[#This Row],[Created Date]],0)</f>
        <v>45412</v>
      </c>
      <c r="M445" t="b">
        <f>AND(Sales_Data[[#This Row],[EoM Created]]&gt;=Index!$E$5,Sales_Data[[#This Row],[EoM Created]]&lt;=Index!$E$4)</f>
        <v>1</v>
      </c>
      <c r="N445" t="b" cm="1">
        <f t="array" ref="N445">_xlfn.XLOOKUP(Sales_Data[[#This Row],[Sales Team]],_xlfn.ANCHORARRAY(Dashboard!$B$9),Dashboard!$D$9:$D$10,,0)</f>
        <v>1</v>
      </c>
      <c r="O445" t="b" cm="1">
        <f t="array" ref="O445">_xlfn.XLOOKUP(Sales_Data[[#This Row],[Sales Rep]],_xlfn.ANCHORARRAY(Dashboard!$B$13),Dashboard!$D$13:$D$17,,0)</f>
        <v>1</v>
      </c>
      <c r="P445" t="b" cm="1">
        <f t="array" ref="P445">_xlfn.XLOOKUP(Sales_Data[[#This Row],[Stage]],_xlfn.ANCHORARRAY(Dashboard!$B$20),Dashboard!$D$20:$D$25)</f>
        <v>1</v>
      </c>
      <c r="Q445" t="b" cm="1">
        <f t="array" ref="Q445">_xlfn.XLOOKUP(Sales_Data[[#This Row],[Lead Source]],_xlfn.ANCHORARRAY(Dashboard!$B$28),Dashboard!$D$28:$D$32)</f>
        <v>1</v>
      </c>
      <c r="R445">
        <f>Sales_Data[[#This Row],[Date inc]]*Sales_Data[[#This Row],[Team Inc]]*Sales_Data[[#This Row],[Rep Inc]]*Sales_Data[[#This Row],[Stage Inc]]*Sales_Data[[#This Row],[Source Inc]]</f>
        <v>1</v>
      </c>
    </row>
    <row r="446" spans="1:18" x14ac:dyDescent="0.3">
      <c r="A446" t="s">
        <v>453</v>
      </c>
      <c r="B446" s="2">
        <v>45775</v>
      </c>
      <c r="C446" t="s">
        <v>760</v>
      </c>
      <c r="D446" t="s">
        <v>764</v>
      </c>
      <c r="E446" t="s">
        <v>766</v>
      </c>
      <c r="F446" s="5">
        <v>27000</v>
      </c>
      <c r="G446" t="s">
        <v>781</v>
      </c>
      <c r="H446" s="2">
        <v>45851</v>
      </c>
      <c r="I446" t="s">
        <v>779</v>
      </c>
      <c r="J446" t="str">
        <f>IF(Sales_Data[[#This Row],[Close Date]] &lt;&gt; 0,"Closed", "Open")</f>
        <v>Closed</v>
      </c>
      <c r="K446">
        <f>IF(Sales_Data[[#This Row],[Open/Closed]] = "Closed",Sales_Data[[#This Row],[Close Date]]-Sales_Data[[#This Row],[Created Date]],"")</f>
        <v>76</v>
      </c>
      <c r="L446" s="2">
        <f>EOMONTH(Sales_Data[[#This Row],[Created Date]],0)</f>
        <v>45777</v>
      </c>
      <c r="M446" t="b">
        <f>AND(Sales_Data[[#This Row],[EoM Created]]&gt;=Index!$E$5,Sales_Data[[#This Row],[EoM Created]]&lt;=Index!$E$4)</f>
        <v>1</v>
      </c>
      <c r="N446" t="b" cm="1">
        <f t="array" ref="N446">_xlfn.XLOOKUP(Sales_Data[[#This Row],[Sales Team]],_xlfn.ANCHORARRAY(Dashboard!$B$9),Dashboard!$D$9:$D$10,,0)</f>
        <v>1</v>
      </c>
      <c r="O446" t="b" cm="1">
        <f t="array" ref="O446">_xlfn.XLOOKUP(Sales_Data[[#This Row],[Sales Rep]],_xlfn.ANCHORARRAY(Dashboard!$B$13),Dashboard!$D$13:$D$17,,0)</f>
        <v>1</v>
      </c>
      <c r="P446" t="b" cm="1">
        <f t="array" ref="P446">_xlfn.XLOOKUP(Sales_Data[[#This Row],[Stage]],_xlfn.ANCHORARRAY(Dashboard!$B$20),Dashboard!$D$20:$D$25)</f>
        <v>1</v>
      </c>
      <c r="Q446" t="b" cm="1">
        <f t="array" ref="Q446">_xlfn.XLOOKUP(Sales_Data[[#This Row],[Lead Source]],_xlfn.ANCHORARRAY(Dashboard!$B$28),Dashboard!$D$28:$D$32)</f>
        <v>1</v>
      </c>
      <c r="R446">
        <f>Sales_Data[[#This Row],[Date inc]]*Sales_Data[[#This Row],[Team Inc]]*Sales_Data[[#This Row],[Rep Inc]]*Sales_Data[[#This Row],[Stage Inc]]*Sales_Data[[#This Row],[Source Inc]]</f>
        <v>1</v>
      </c>
    </row>
    <row r="447" spans="1:18" x14ac:dyDescent="0.3">
      <c r="A447" t="s">
        <v>454</v>
      </c>
      <c r="B447" s="2">
        <v>44975</v>
      </c>
      <c r="C447" t="s">
        <v>763</v>
      </c>
      <c r="D447" t="s">
        <v>765</v>
      </c>
      <c r="E447" t="s">
        <v>770</v>
      </c>
      <c r="F447" s="5">
        <v>46700</v>
      </c>
      <c r="G447" t="s">
        <v>781</v>
      </c>
      <c r="H447" s="2">
        <v>45046</v>
      </c>
      <c r="I447" t="s">
        <v>779</v>
      </c>
      <c r="J447" t="str">
        <f>IF(Sales_Data[[#This Row],[Close Date]] &lt;&gt; 0,"Closed", "Open")</f>
        <v>Closed</v>
      </c>
      <c r="K447">
        <f>IF(Sales_Data[[#This Row],[Open/Closed]] = "Closed",Sales_Data[[#This Row],[Close Date]]-Sales_Data[[#This Row],[Created Date]],"")</f>
        <v>71</v>
      </c>
      <c r="L447" s="2">
        <f>EOMONTH(Sales_Data[[#This Row],[Created Date]],0)</f>
        <v>44985</v>
      </c>
      <c r="M447" t="b">
        <f>AND(Sales_Data[[#This Row],[EoM Created]]&gt;=Index!$E$5,Sales_Data[[#This Row],[EoM Created]]&lt;=Index!$E$4)</f>
        <v>0</v>
      </c>
      <c r="N447" t="b" cm="1">
        <f t="array" ref="N447">_xlfn.XLOOKUP(Sales_Data[[#This Row],[Sales Team]],_xlfn.ANCHORARRAY(Dashboard!$B$9),Dashboard!$D$9:$D$10,,0)</f>
        <v>1</v>
      </c>
      <c r="O447" t="b" cm="1">
        <f t="array" ref="O447">_xlfn.XLOOKUP(Sales_Data[[#This Row],[Sales Rep]],_xlfn.ANCHORARRAY(Dashboard!$B$13),Dashboard!$D$13:$D$17,,0)</f>
        <v>1</v>
      </c>
      <c r="P447" t="b" cm="1">
        <f t="array" ref="P447">_xlfn.XLOOKUP(Sales_Data[[#This Row],[Stage]],_xlfn.ANCHORARRAY(Dashboard!$B$20),Dashboard!$D$20:$D$25)</f>
        <v>1</v>
      </c>
      <c r="Q447" t="b" cm="1">
        <f t="array" ref="Q447">_xlfn.XLOOKUP(Sales_Data[[#This Row],[Lead Source]],_xlfn.ANCHORARRAY(Dashboard!$B$28),Dashboard!$D$28:$D$32)</f>
        <v>1</v>
      </c>
      <c r="R447">
        <f>Sales_Data[[#This Row],[Date inc]]*Sales_Data[[#This Row],[Team Inc]]*Sales_Data[[#This Row],[Rep Inc]]*Sales_Data[[#This Row],[Stage Inc]]*Sales_Data[[#This Row],[Source Inc]]</f>
        <v>0</v>
      </c>
    </row>
    <row r="448" spans="1:18" x14ac:dyDescent="0.3">
      <c r="A448" t="s">
        <v>455</v>
      </c>
      <c r="B448" s="2">
        <v>45005</v>
      </c>
      <c r="C448" t="s">
        <v>761</v>
      </c>
      <c r="D448" t="s">
        <v>765</v>
      </c>
      <c r="E448" t="s">
        <v>768</v>
      </c>
      <c r="F448" s="5">
        <v>43700</v>
      </c>
      <c r="G448" t="s">
        <v>780</v>
      </c>
      <c r="H448" s="2">
        <v>45075</v>
      </c>
      <c r="J448" t="str">
        <f>IF(Sales_Data[[#This Row],[Close Date]] &lt;&gt; 0,"Closed", "Open")</f>
        <v>Closed</v>
      </c>
      <c r="K448">
        <f>IF(Sales_Data[[#This Row],[Open/Closed]] = "Closed",Sales_Data[[#This Row],[Close Date]]-Sales_Data[[#This Row],[Created Date]],"")</f>
        <v>70</v>
      </c>
      <c r="L448" s="2">
        <f>EOMONTH(Sales_Data[[#This Row],[Created Date]],0)</f>
        <v>45016</v>
      </c>
      <c r="M448" t="b">
        <f>AND(Sales_Data[[#This Row],[EoM Created]]&gt;=Index!$E$5,Sales_Data[[#This Row],[EoM Created]]&lt;=Index!$E$4)</f>
        <v>0</v>
      </c>
      <c r="N448" t="b" cm="1">
        <f t="array" ref="N448">_xlfn.XLOOKUP(Sales_Data[[#This Row],[Sales Team]],_xlfn.ANCHORARRAY(Dashboard!$B$9),Dashboard!$D$9:$D$10,,0)</f>
        <v>1</v>
      </c>
      <c r="O448" t="b" cm="1">
        <f t="array" ref="O448">_xlfn.XLOOKUP(Sales_Data[[#This Row],[Sales Rep]],_xlfn.ANCHORARRAY(Dashboard!$B$13),Dashboard!$D$13:$D$17,,0)</f>
        <v>1</v>
      </c>
      <c r="P448" t="b" cm="1">
        <f t="array" ref="P448">_xlfn.XLOOKUP(Sales_Data[[#This Row],[Stage]],_xlfn.ANCHORARRAY(Dashboard!$B$20),Dashboard!$D$20:$D$25)</f>
        <v>1</v>
      </c>
      <c r="Q448" t="b" cm="1">
        <f t="array" ref="Q448">_xlfn.XLOOKUP(Sales_Data[[#This Row],[Lead Source]],_xlfn.ANCHORARRAY(Dashboard!$B$28),Dashboard!$D$28:$D$32)</f>
        <v>1</v>
      </c>
      <c r="R448">
        <f>Sales_Data[[#This Row],[Date inc]]*Sales_Data[[#This Row],[Team Inc]]*Sales_Data[[#This Row],[Rep Inc]]*Sales_Data[[#This Row],[Stage Inc]]*Sales_Data[[#This Row],[Source Inc]]</f>
        <v>0</v>
      </c>
    </row>
    <row r="449" spans="1:18" x14ac:dyDescent="0.3">
      <c r="A449" t="s">
        <v>456</v>
      </c>
      <c r="B449" s="2">
        <v>45121</v>
      </c>
      <c r="C449" t="s">
        <v>761</v>
      </c>
      <c r="D449" t="s">
        <v>765</v>
      </c>
      <c r="E449" t="s">
        <v>768</v>
      </c>
      <c r="F449" s="5">
        <v>30600</v>
      </c>
      <c r="G449" t="s">
        <v>781</v>
      </c>
      <c r="H449" s="2">
        <v>45207</v>
      </c>
      <c r="I449" t="s">
        <v>778</v>
      </c>
      <c r="J449" t="str">
        <f>IF(Sales_Data[[#This Row],[Close Date]] &lt;&gt; 0,"Closed", "Open")</f>
        <v>Closed</v>
      </c>
      <c r="K449">
        <f>IF(Sales_Data[[#This Row],[Open/Closed]] = "Closed",Sales_Data[[#This Row],[Close Date]]-Sales_Data[[#This Row],[Created Date]],"")</f>
        <v>86</v>
      </c>
      <c r="L449" s="2">
        <f>EOMONTH(Sales_Data[[#This Row],[Created Date]],0)</f>
        <v>45138</v>
      </c>
      <c r="M449" t="b">
        <f>AND(Sales_Data[[#This Row],[EoM Created]]&gt;=Index!$E$5,Sales_Data[[#This Row],[EoM Created]]&lt;=Index!$E$4)</f>
        <v>1</v>
      </c>
      <c r="N449" t="b" cm="1">
        <f t="array" ref="N449">_xlfn.XLOOKUP(Sales_Data[[#This Row],[Sales Team]],_xlfn.ANCHORARRAY(Dashboard!$B$9),Dashboard!$D$9:$D$10,,0)</f>
        <v>1</v>
      </c>
      <c r="O449" t="b" cm="1">
        <f t="array" ref="O449">_xlfn.XLOOKUP(Sales_Data[[#This Row],[Sales Rep]],_xlfn.ANCHORARRAY(Dashboard!$B$13),Dashboard!$D$13:$D$17,,0)</f>
        <v>1</v>
      </c>
      <c r="P449" t="b" cm="1">
        <f t="array" ref="P449">_xlfn.XLOOKUP(Sales_Data[[#This Row],[Stage]],_xlfn.ANCHORARRAY(Dashboard!$B$20),Dashboard!$D$20:$D$25)</f>
        <v>1</v>
      </c>
      <c r="Q449" t="b" cm="1">
        <f t="array" ref="Q449">_xlfn.XLOOKUP(Sales_Data[[#This Row],[Lead Source]],_xlfn.ANCHORARRAY(Dashboard!$B$28),Dashboard!$D$28:$D$32)</f>
        <v>1</v>
      </c>
      <c r="R449">
        <f>Sales_Data[[#This Row],[Date inc]]*Sales_Data[[#This Row],[Team Inc]]*Sales_Data[[#This Row],[Rep Inc]]*Sales_Data[[#This Row],[Stage Inc]]*Sales_Data[[#This Row],[Source Inc]]</f>
        <v>1</v>
      </c>
    </row>
    <row r="450" spans="1:18" x14ac:dyDescent="0.3">
      <c r="A450" t="s">
        <v>457</v>
      </c>
      <c r="B450" s="2">
        <v>45010</v>
      </c>
      <c r="C450" t="s">
        <v>763</v>
      </c>
      <c r="D450" t="s">
        <v>765</v>
      </c>
      <c r="E450" t="s">
        <v>769</v>
      </c>
      <c r="F450" s="5">
        <v>34900</v>
      </c>
      <c r="G450" t="s">
        <v>781</v>
      </c>
      <c r="H450" s="2">
        <v>45085</v>
      </c>
      <c r="I450" t="s">
        <v>776</v>
      </c>
      <c r="J450" t="str">
        <f>IF(Sales_Data[[#This Row],[Close Date]] &lt;&gt; 0,"Closed", "Open")</f>
        <v>Closed</v>
      </c>
      <c r="K450">
        <f>IF(Sales_Data[[#This Row],[Open/Closed]] = "Closed",Sales_Data[[#This Row],[Close Date]]-Sales_Data[[#This Row],[Created Date]],"")</f>
        <v>75</v>
      </c>
      <c r="L450" s="2">
        <f>EOMONTH(Sales_Data[[#This Row],[Created Date]],0)</f>
        <v>45016</v>
      </c>
      <c r="M450" t="b">
        <f>AND(Sales_Data[[#This Row],[EoM Created]]&gt;=Index!$E$5,Sales_Data[[#This Row],[EoM Created]]&lt;=Index!$E$4)</f>
        <v>0</v>
      </c>
      <c r="N450" t="b" cm="1">
        <f t="array" ref="N450">_xlfn.XLOOKUP(Sales_Data[[#This Row],[Sales Team]],_xlfn.ANCHORARRAY(Dashboard!$B$9),Dashboard!$D$9:$D$10,,0)</f>
        <v>1</v>
      </c>
      <c r="O450" t="b" cm="1">
        <f t="array" ref="O450">_xlfn.XLOOKUP(Sales_Data[[#This Row],[Sales Rep]],_xlfn.ANCHORARRAY(Dashboard!$B$13),Dashboard!$D$13:$D$17,,0)</f>
        <v>1</v>
      </c>
      <c r="P450" t="b" cm="1">
        <f t="array" ref="P450">_xlfn.XLOOKUP(Sales_Data[[#This Row],[Stage]],_xlfn.ANCHORARRAY(Dashboard!$B$20),Dashboard!$D$20:$D$25)</f>
        <v>1</v>
      </c>
      <c r="Q450" t="b" cm="1">
        <f t="array" ref="Q450">_xlfn.XLOOKUP(Sales_Data[[#This Row],[Lead Source]],_xlfn.ANCHORARRAY(Dashboard!$B$28),Dashboard!$D$28:$D$32)</f>
        <v>1</v>
      </c>
      <c r="R450">
        <f>Sales_Data[[#This Row],[Date inc]]*Sales_Data[[#This Row],[Team Inc]]*Sales_Data[[#This Row],[Rep Inc]]*Sales_Data[[#This Row],[Stage Inc]]*Sales_Data[[#This Row],[Source Inc]]</f>
        <v>0</v>
      </c>
    </row>
    <row r="451" spans="1:18" x14ac:dyDescent="0.3">
      <c r="A451" t="s">
        <v>458</v>
      </c>
      <c r="B451" s="2">
        <v>45066</v>
      </c>
      <c r="C451" t="s">
        <v>762</v>
      </c>
      <c r="D451" t="s">
        <v>764</v>
      </c>
      <c r="E451" t="s">
        <v>766</v>
      </c>
      <c r="F451" s="5">
        <v>29400</v>
      </c>
      <c r="G451" t="s">
        <v>781</v>
      </c>
      <c r="H451" s="2">
        <v>45155</v>
      </c>
      <c r="I451" t="s">
        <v>779</v>
      </c>
      <c r="J451" t="str">
        <f>IF(Sales_Data[[#This Row],[Close Date]] &lt;&gt; 0,"Closed", "Open")</f>
        <v>Closed</v>
      </c>
      <c r="K451">
        <f>IF(Sales_Data[[#This Row],[Open/Closed]] = "Closed",Sales_Data[[#This Row],[Close Date]]-Sales_Data[[#This Row],[Created Date]],"")</f>
        <v>89</v>
      </c>
      <c r="L451" s="2">
        <f>EOMONTH(Sales_Data[[#This Row],[Created Date]],0)</f>
        <v>45077</v>
      </c>
      <c r="M451" t="b">
        <f>AND(Sales_Data[[#This Row],[EoM Created]]&gt;=Index!$E$5,Sales_Data[[#This Row],[EoM Created]]&lt;=Index!$E$4)</f>
        <v>0</v>
      </c>
      <c r="N451" t="b" cm="1">
        <f t="array" ref="N451">_xlfn.XLOOKUP(Sales_Data[[#This Row],[Sales Team]],_xlfn.ANCHORARRAY(Dashboard!$B$9),Dashboard!$D$9:$D$10,,0)</f>
        <v>1</v>
      </c>
      <c r="O451" t="b" cm="1">
        <f t="array" ref="O451">_xlfn.XLOOKUP(Sales_Data[[#This Row],[Sales Rep]],_xlfn.ANCHORARRAY(Dashboard!$B$13),Dashboard!$D$13:$D$17,,0)</f>
        <v>1</v>
      </c>
      <c r="P451" t="b" cm="1">
        <f t="array" ref="P451">_xlfn.XLOOKUP(Sales_Data[[#This Row],[Stage]],_xlfn.ANCHORARRAY(Dashboard!$B$20),Dashboard!$D$20:$D$25)</f>
        <v>1</v>
      </c>
      <c r="Q451" t="b" cm="1">
        <f t="array" ref="Q451">_xlfn.XLOOKUP(Sales_Data[[#This Row],[Lead Source]],_xlfn.ANCHORARRAY(Dashboard!$B$28),Dashboard!$D$28:$D$32)</f>
        <v>1</v>
      </c>
      <c r="R451">
        <f>Sales_Data[[#This Row],[Date inc]]*Sales_Data[[#This Row],[Team Inc]]*Sales_Data[[#This Row],[Rep Inc]]*Sales_Data[[#This Row],[Stage Inc]]*Sales_Data[[#This Row],[Source Inc]]</f>
        <v>0</v>
      </c>
    </row>
    <row r="452" spans="1:18" x14ac:dyDescent="0.3">
      <c r="A452" t="s">
        <v>459</v>
      </c>
      <c r="B452" s="2">
        <v>44975</v>
      </c>
      <c r="C452" t="s">
        <v>763</v>
      </c>
      <c r="D452" t="s">
        <v>765</v>
      </c>
      <c r="E452" t="s">
        <v>770</v>
      </c>
      <c r="F452" s="5">
        <v>39400</v>
      </c>
      <c r="G452" t="s">
        <v>781</v>
      </c>
      <c r="H452" s="2">
        <v>45040</v>
      </c>
      <c r="I452" t="s">
        <v>776</v>
      </c>
      <c r="J452" t="str">
        <f>IF(Sales_Data[[#This Row],[Close Date]] &lt;&gt; 0,"Closed", "Open")</f>
        <v>Closed</v>
      </c>
      <c r="K452">
        <f>IF(Sales_Data[[#This Row],[Open/Closed]] = "Closed",Sales_Data[[#This Row],[Close Date]]-Sales_Data[[#This Row],[Created Date]],"")</f>
        <v>65</v>
      </c>
      <c r="L452" s="2">
        <f>EOMONTH(Sales_Data[[#This Row],[Created Date]],0)</f>
        <v>44985</v>
      </c>
      <c r="M452" t="b">
        <f>AND(Sales_Data[[#This Row],[EoM Created]]&gt;=Index!$E$5,Sales_Data[[#This Row],[EoM Created]]&lt;=Index!$E$4)</f>
        <v>0</v>
      </c>
      <c r="N452" t="b" cm="1">
        <f t="array" ref="N452">_xlfn.XLOOKUP(Sales_Data[[#This Row],[Sales Team]],_xlfn.ANCHORARRAY(Dashboard!$B$9),Dashboard!$D$9:$D$10,,0)</f>
        <v>1</v>
      </c>
      <c r="O452" t="b" cm="1">
        <f t="array" ref="O452">_xlfn.XLOOKUP(Sales_Data[[#This Row],[Sales Rep]],_xlfn.ANCHORARRAY(Dashboard!$B$13),Dashboard!$D$13:$D$17,,0)</f>
        <v>1</v>
      </c>
      <c r="P452" t="b" cm="1">
        <f t="array" ref="P452">_xlfn.XLOOKUP(Sales_Data[[#This Row],[Stage]],_xlfn.ANCHORARRAY(Dashboard!$B$20),Dashboard!$D$20:$D$25)</f>
        <v>1</v>
      </c>
      <c r="Q452" t="b" cm="1">
        <f t="array" ref="Q452">_xlfn.XLOOKUP(Sales_Data[[#This Row],[Lead Source]],_xlfn.ANCHORARRAY(Dashboard!$B$28),Dashboard!$D$28:$D$32)</f>
        <v>1</v>
      </c>
      <c r="R452">
        <f>Sales_Data[[#This Row],[Date inc]]*Sales_Data[[#This Row],[Team Inc]]*Sales_Data[[#This Row],[Rep Inc]]*Sales_Data[[#This Row],[Stage Inc]]*Sales_Data[[#This Row],[Source Inc]]</f>
        <v>0</v>
      </c>
    </row>
    <row r="453" spans="1:18" x14ac:dyDescent="0.3">
      <c r="A453" t="s">
        <v>460</v>
      </c>
      <c r="B453" s="2">
        <v>45172</v>
      </c>
      <c r="C453" t="s">
        <v>759</v>
      </c>
      <c r="D453" t="s">
        <v>764</v>
      </c>
      <c r="E453" t="s">
        <v>767</v>
      </c>
      <c r="F453" s="5">
        <v>49600</v>
      </c>
      <c r="G453" t="s">
        <v>781</v>
      </c>
      <c r="H453" s="2">
        <v>45247</v>
      </c>
      <c r="I453" t="s">
        <v>776</v>
      </c>
      <c r="J453" t="str">
        <f>IF(Sales_Data[[#This Row],[Close Date]] &lt;&gt; 0,"Closed", "Open")</f>
        <v>Closed</v>
      </c>
      <c r="K453">
        <f>IF(Sales_Data[[#This Row],[Open/Closed]] = "Closed",Sales_Data[[#This Row],[Close Date]]-Sales_Data[[#This Row],[Created Date]],"")</f>
        <v>75</v>
      </c>
      <c r="L453" s="2">
        <f>EOMONTH(Sales_Data[[#This Row],[Created Date]],0)</f>
        <v>45199</v>
      </c>
      <c r="M453" t="b">
        <f>AND(Sales_Data[[#This Row],[EoM Created]]&gt;=Index!$E$5,Sales_Data[[#This Row],[EoM Created]]&lt;=Index!$E$4)</f>
        <v>1</v>
      </c>
      <c r="N453" t="b" cm="1">
        <f t="array" ref="N453">_xlfn.XLOOKUP(Sales_Data[[#This Row],[Sales Team]],_xlfn.ANCHORARRAY(Dashboard!$B$9),Dashboard!$D$9:$D$10,,0)</f>
        <v>1</v>
      </c>
      <c r="O453" t="b" cm="1">
        <f t="array" ref="O453">_xlfn.XLOOKUP(Sales_Data[[#This Row],[Sales Rep]],_xlfn.ANCHORARRAY(Dashboard!$B$13),Dashboard!$D$13:$D$17,,0)</f>
        <v>1</v>
      </c>
      <c r="P453" t="b" cm="1">
        <f t="array" ref="P453">_xlfn.XLOOKUP(Sales_Data[[#This Row],[Stage]],_xlfn.ANCHORARRAY(Dashboard!$B$20),Dashboard!$D$20:$D$25)</f>
        <v>1</v>
      </c>
      <c r="Q453" t="b" cm="1">
        <f t="array" ref="Q453">_xlfn.XLOOKUP(Sales_Data[[#This Row],[Lead Source]],_xlfn.ANCHORARRAY(Dashboard!$B$28),Dashboard!$D$28:$D$32)</f>
        <v>1</v>
      </c>
      <c r="R453">
        <f>Sales_Data[[#This Row],[Date inc]]*Sales_Data[[#This Row],[Team Inc]]*Sales_Data[[#This Row],[Rep Inc]]*Sales_Data[[#This Row],[Stage Inc]]*Sales_Data[[#This Row],[Source Inc]]</f>
        <v>1</v>
      </c>
    </row>
    <row r="454" spans="1:18" x14ac:dyDescent="0.3">
      <c r="A454" t="s">
        <v>461</v>
      </c>
      <c r="B454" s="2">
        <v>45560</v>
      </c>
      <c r="C454" t="s">
        <v>761</v>
      </c>
      <c r="D454" t="s">
        <v>765</v>
      </c>
      <c r="E454" t="s">
        <v>769</v>
      </c>
      <c r="F454" s="5">
        <v>30100</v>
      </c>
      <c r="G454" t="s">
        <v>781</v>
      </c>
      <c r="H454" s="2">
        <v>45643</v>
      </c>
      <c r="I454" t="s">
        <v>778</v>
      </c>
      <c r="J454" t="str">
        <f>IF(Sales_Data[[#This Row],[Close Date]] &lt;&gt; 0,"Closed", "Open")</f>
        <v>Closed</v>
      </c>
      <c r="K454">
        <f>IF(Sales_Data[[#This Row],[Open/Closed]] = "Closed",Sales_Data[[#This Row],[Close Date]]-Sales_Data[[#This Row],[Created Date]],"")</f>
        <v>83</v>
      </c>
      <c r="L454" s="2">
        <f>EOMONTH(Sales_Data[[#This Row],[Created Date]],0)</f>
        <v>45565</v>
      </c>
      <c r="M454" t="b">
        <f>AND(Sales_Data[[#This Row],[EoM Created]]&gt;=Index!$E$5,Sales_Data[[#This Row],[EoM Created]]&lt;=Index!$E$4)</f>
        <v>1</v>
      </c>
      <c r="N454" t="b" cm="1">
        <f t="array" ref="N454">_xlfn.XLOOKUP(Sales_Data[[#This Row],[Sales Team]],_xlfn.ANCHORARRAY(Dashboard!$B$9),Dashboard!$D$9:$D$10,,0)</f>
        <v>1</v>
      </c>
      <c r="O454" t="b" cm="1">
        <f t="array" ref="O454">_xlfn.XLOOKUP(Sales_Data[[#This Row],[Sales Rep]],_xlfn.ANCHORARRAY(Dashboard!$B$13),Dashboard!$D$13:$D$17,,0)</f>
        <v>1</v>
      </c>
      <c r="P454" t="b" cm="1">
        <f t="array" ref="P454">_xlfn.XLOOKUP(Sales_Data[[#This Row],[Stage]],_xlfn.ANCHORARRAY(Dashboard!$B$20),Dashboard!$D$20:$D$25)</f>
        <v>1</v>
      </c>
      <c r="Q454" t="b" cm="1">
        <f t="array" ref="Q454">_xlfn.XLOOKUP(Sales_Data[[#This Row],[Lead Source]],_xlfn.ANCHORARRAY(Dashboard!$B$28),Dashboard!$D$28:$D$32)</f>
        <v>1</v>
      </c>
      <c r="R454">
        <f>Sales_Data[[#This Row],[Date inc]]*Sales_Data[[#This Row],[Team Inc]]*Sales_Data[[#This Row],[Rep Inc]]*Sales_Data[[#This Row],[Stage Inc]]*Sales_Data[[#This Row],[Source Inc]]</f>
        <v>1</v>
      </c>
    </row>
    <row r="455" spans="1:18" x14ac:dyDescent="0.3">
      <c r="A455" t="s">
        <v>462</v>
      </c>
      <c r="B455" s="2">
        <v>45351</v>
      </c>
      <c r="C455" t="s">
        <v>762</v>
      </c>
      <c r="D455" t="s">
        <v>764</v>
      </c>
      <c r="E455" t="s">
        <v>767</v>
      </c>
      <c r="F455" s="5">
        <v>45000</v>
      </c>
      <c r="G455" t="s">
        <v>781</v>
      </c>
      <c r="H455" s="2">
        <v>45441</v>
      </c>
      <c r="I455" t="s">
        <v>776</v>
      </c>
      <c r="J455" t="str">
        <f>IF(Sales_Data[[#This Row],[Close Date]] &lt;&gt; 0,"Closed", "Open")</f>
        <v>Closed</v>
      </c>
      <c r="K455">
        <f>IF(Sales_Data[[#This Row],[Open/Closed]] = "Closed",Sales_Data[[#This Row],[Close Date]]-Sales_Data[[#This Row],[Created Date]],"")</f>
        <v>90</v>
      </c>
      <c r="L455" s="2">
        <f>EOMONTH(Sales_Data[[#This Row],[Created Date]],0)</f>
        <v>45351</v>
      </c>
      <c r="M455" t="b">
        <f>AND(Sales_Data[[#This Row],[EoM Created]]&gt;=Index!$E$5,Sales_Data[[#This Row],[EoM Created]]&lt;=Index!$E$4)</f>
        <v>1</v>
      </c>
      <c r="N455" t="b" cm="1">
        <f t="array" ref="N455">_xlfn.XLOOKUP(Sales_Data[[#This Row],[Sales Team]],_xlfn.ANCHORARRAY(Dashboard!$B$9),Dashboard!$D$9:$D$10,,0)</f>
        <v>1</v>
      </c>
      <c r="O455" t="b" cm="1">
        <f t="array" ref="O455">_xlfn.XLOOKUP(Sales_Data[[#This Row],[Sales Rep]],_xlfn.ANCHORARRAY(Dashboard!$B$13),Dashboard!$D$13:$D$17,,0)</f>
        <v>1</v>
      </c>
      <c r="P455" t="b" cm="1">
        <f t="array" ref="P455">_xlfn.XLOOKUP(Sales_Data[[#This Row],[Stage]],_xlfn.ANCHORARRAY(Dashboard!$B$20),Dashboard!$D$20:$D$25)</f>
        <v>1</v>
      </c>
      <c r="Q455" t="b" cm="1">
        <f t="array" ref="Q455">_xlfn.XLOOKUP(Sales_Data[[#This Row],[Lead Source]],_xlfn.ANCHORARRAY(Dashboard!$B$28),Dashboard!$D$28:$D$32)</f>
        <v>1</v>
      </c>
      <c r="R455">
        <f>Sales_Data[[#This Row],[Date inc]]*Sales_Data[[#This Row],[Team Inc]]*Sales_Data[[#This Row],[Rep Inc]]*Sales_Data[[#This Row],[Stage Inc]]*Sales_Data[[#This Row],[Source Inc]]</f>
        <v>1</v>
      </c>
    </row>
    <row r="456" spans="1:18" x14ac:dyDescent="0.3">
      <c r="A456" t="s">
        <v>463</v>
      </c>
      <c r="B456" s="2">
        <v>45071</v>
      </c>
      <c r="C456" t="s">
        <v>759</v>
      </c>
      <c r="D456" t="s">
        <v>764</v>
      </c>
      <c r="E456" t="s">
        <v>766</v>
      </c>
      <c r="F456" s="5">
        <v>34700</v>
      </c>
      <c r="G456" t="s">
        <v>780</v>
      </c>
      <c r="H456" s="2">
        <v>45151</v>
      </c>
      <c r="J456" t="str">
        <f>IF(Sales_Data[[#This Row],[Close Date]] &lt;&gt; 0,"Closed", "Open")</f>
        <v>Closed</v>
      </c>
      <c r="K456">
        <f>IF(Sales_Data[[#This Row],[Open/Closed]] = "Closed",Sales_Data[[#This Row],[Close Date]]-Sales_Data[[#This Row],[Created Date]],"")</f>
        <v>80</v>
      </c>
      <c r="L456" s="2">
        <f>EOMONTH(Sales_Data[[#This Row],[Created Date]],0)</f>
        <v>45077</v>
      </c>
      <c r="M456" t="b">
        <f>AND(Sales_Data[[#This Row],[EoM Created]]&gt;=Index!$E$5,Sales_Data[[#This Row],[EoM Created]]&lt;=Index!$E$4)</f>
        <v>0</v>
      </c>
      <c r="N456" t="b" cm="1">
        <f t="array" ref="N456">_xlfn.XLOOKUP(Sales_Data[[#This Row],[Sales Team]],_xlfn.ANCHORARRAY(Dashboard!$B$9),Dashboard!$D$9:$D$10,,0)</f>
        <v>1</v>
      </c>
      <c r="O456" t="b" cm="1">
        <f t="array" ref="O456">_xlfn.XLOOKUP(Sales_Data[[#This Row],[Sales Rep]],_xlfn.ANCHORARRAY(Dashboard!$B$13),Dashboard!$D$13:$D$17,,0)</f>
        <v>1</v>
      </c>
      <c r="P456" t="b" cm="1">
        <f t="array" ref="P456">_xlfn.XLOOKUP(Sales_Data[[#This Row],[Stage]],_xlfn.ANCHORARRAY(Dashboard!$B$20),Dashboard!$D$20:$D$25)</f>
        <v>1</v>
      </c>
      <c r="Q456" t="b" cm="1">
        <f t="array" ref="Q456">_xlfn.XLOOKUP(Sales_Data[[#This Row],[Lead Source]],_xlfn.ANCHORARRAY(Dashboard!$B$28),Dashboard!$D$28:$D$32)</f>
        <v>1</v>
      </c>
      <c r="R456">
        <f>Sales_Data[[#This Row],[Date inc]]*Sales_Data[[#This Row],[Team Inc]]*Sales_Data[[#This Row],[Rep Inc]]*Sales_Data[[#This Row],[Stage Inc]]*Sales_Data[[#This Row],[Source Inc]]</f>
        <v>0</v>
      </c>
    </row>
    <row r="457" spans="1:18" x14ac:dyDescent="0.3">
      <c r="A457" t="s">
        <v>464</v>
      </c>
      <c r="B457" s="2">
        <v>45047</v>
      </c>
      <c r="C457" t="s">
        <v>762</v>
      </c>
      <c r="D457" t="s">
        <v>764</v>
      </c>
      <c r="E457" t="s">
        <v>766</v>
      </c>
      <c r="F457" s="5">
        <v>32100</v>
      </c>
      <c r="G457" t="s">
        <v>780</v>
      </c>
      <c r="H457" s="2">
        <v>45133</v>
      </c>
      <c r="J457" t="str">
        <f>IF(Sales_Data[[#This Row],[Close Date]] &lt;&gt; 0,"Closed", "Open")</f>
        <v>Closed</v>
      </c>
      <c r="K457">
        <f>IF(Sales_Data[[#This Row],[Open/Closed]] = "Closed",Sales_Data[[#This Row],[Close Date]]-Sales_Data[[#This Row],[Created Date]],"")</f>
        <v>86</v>
      </c>
      <c r="L457" s="2">
        <f>EOMONTH(Sales_Data[[#This Row],[Created Date]],0)</f>
        <v>45077</v>
      </c>
      <c r="M457" t="b">
        <f>AND(Sales_Data[[#This Row],[EoM Created]]&gt;=Index!$E$5,Sales_Data[[#This Row],[EoM Created]]&lt;=Index!$E$4)</f>
        <v>0</v>
      </c>
      <c r="N457" t="b" cm="1">
        <f t="array" ref="N457">_xlfn.XLOOKUP(Sales_Data[[#This Row],[Sales Team]],_xlfn.ANCHORARRAY(Dashboard!$B$9),Dashboard!$D$9:$D$10,,0)</f>
        <v>1</v>
      </c>
      <c r="O457" t="b" cm="1">
        <f t="array" ref="O457">_xlfn.XLOOKUP(Sales_Data[[#This Row],[Sales Rep]],_xlfn.ANCHORARRAY(Dashboard!$B$13),Dashboard!$D$13:$D$17,,0)</f>
        <v>1</v>
      </c>
      <c r="P457" t="b" cm="1">
        <f t="array" ref="P457">_xlfn.XLOOKUP(Sales_Data[[#This Row],[Stage]],_xlfn.ANCHORARRAY(Dashboard!$B$20),Dashboard!$D$20:$D$25)</f>
        <v>1</v>
      </c>
      <c r="Q457" t="b" cm="1">
        <f t="array" ref="Q457">_xlfn.XLOOKUP(Sales_Data[[#This Row],[Lead Source]],_xlfn.ANCHORARRAY(Dashboard!$B$28),Dashboard!$D$28:$D$32)</f>
        <v>1</v>
      </c>
      <c r="R457">
        <f>Sales_Data[[#This Row],[Date inc]]*Sales_Data[[#This Row],[Team Inc]]*Sales_Data[[#This Row],[Rep Inc]]*Sales_Data[[#This Row],[Stage Inc]]*Sales_Data[[#This Row],[Source Inc]]</f>
        <v>0</v>
      </c>
    </row>
    <row r="458" spans="1:18" x14ac:dyDescent="0.3">
      <c r="A458" t="s">
        <v>465</v>
      </c>
      <c r="B458" s="2">
        <v>45723</v>
      </c>
      <c r="C458" t="s">
        <v>761</v>
      </c>
      <c r="D458" t="s">
        <v>765</v>
      </c>
      <c r="E458" t="s">
        <v>768</v>
      </c>
      <c r="F458" s="5">
        <v>38900</v>
      </c>
      <c r="G458" t="s">
        <v>780</v>
      </c>
      <c r="H458" s="2">
        <v>45810</v>
      </c>
      <c r="J458" t="str">
        <f>IF(Sales_Data[[#This Row],[Close Date]] &lt;&gt; 0,"Closed", "Open")</f>
        <v>Closed</v>
      </c>
      <c r="K458">
        <f>IF(Sales_Data[[#This Row],[Open/Closed]] = "Closed",Sales_Data[[#This Row],[Close Date]]-Sales_Data[[#This Row],[Created Date]],"")</f>
        <v>87</v>
      </c>
      <c r="L458" s="2">
        <f>EOMONTH(Sales_Data[[#This Row],[Created Date]],0)</f>
        <v>45747</v>
      </c>
      <c r="M458" t="b">
        <f>AND(Sales_Data[[#This Row],[EoM Created]]&gt;=Index!$E$5,Sales_Data[[#This Row],[EoM Created]]&lt;=Index!$E$4)</f>
        <v>1</v>
      </c>
      <c r="N458" t="b" cm="1">
        <f t="array" ref="N458">_xlfn.XLOOKUP(Sales_Data[[#This Row],[Sales Team]],_xlfn.ANCHORARRAY(Dashboard!$B$9),Dashboard!$D$9:$D$10,,0)</f>
        <v>1</v>
      </c>
      <c r="O458" t="b" cm="1">
        <f t="array" ref="O458">_xlfn.XLOOKUP(Sales_Data[[#This Row],[Sales Rep]],_xlfn.ANCHORARRAY(Dashboard!$B$13),Dashboard!$D$13:$D$17,,0)</f>
        <v>1</v>
      </c>
      <c r="P458" t="b" cm="1">
        <f t="array" ref="P458">_xlfn.XLOOKUP(Sales_Data[[#This Row],[Stage]],_xlfn.ANCHORARRAY(Dashboard!$B$20),Dashboard!$D$20:$D$25)</f>
        <v>1</v>
      </c>
      <c r="Q458" t="b" cm="1">
        <f t="array" ref="Q458">_xlfn.XLOOKUP(Sales_Data[[#This Row],[Lead Source]],_xlfn.ANCHORARRAY(Dashboard!$B$28),Dashboard!$D$28:$D$32)</f>
        <v>1</v>
      </c>
      <c r="R458">
        <f>Sales_Data[[#This Row],[Date inc]]*Sales_Data[[#This Row],[Team Inc]]*Sales_Data[[#This Row],[Rep Inc]]*Sales_Data[[#This Row],[Stage Inc]]*Sales_Data[[#This Row],[Source Inc]]</f>
        <v>1</v>
      </c>
    </row>
    <row r="459" spans="1:18" x14ac:dyDescent="0.3">
      <c r="A459" t="s">
        <v>466</v>
      </c>
      <c r="B459" s="2">
        <v>45600</v>
      </c>
      <c r="C459" t="s">
        <v>759</v>
      </c>
      <c r="D459" t="s">
        <v>764</v>
      </c>
      <c r="E459" t="s">
        <v>767</v>
      </c>
      <c r="F459" s="5">
        <v>29600</v>
      </c>
      <c r="G459" t="s">
        <v>781</v>
      </c>
      <c r="H459" s="2">
        <v>45674</v>
      </c>
      <c r="I459" t="s">
        <v>776</v>
      </c>
      <c r="J459" t="str">
        <f>IF(Sales_Data[[#This Row],[Close Date]] &lt;&gt; 0,"Closed", "Open")</f>
        <v>Closed</v>
      </c>
      <c r="K459">
        <f>IF(Sales_Data[[#This Row],[Open/Closed]] = "Closed",Sales_Data[[#This Row],[Close Date]]-Sales_Data[[#This Row],[Created Date]],"")</f>
        <v>74</v>
      </c>
      <c r="L459" s="2">
        <f>EOMONTH(Sales_Data[[#This Row],[Created Date]],0)</f>
        <v>45626</v>
      </c>
      <c r="M459" t="b">
        <f>AND(Sales_Data[[#This Row],[EoM Created]]&gt;=Index!$E$5,Sales_Data[[#This Row],[EoM Created]]&lt;=Index!$E$4)</f>
        <v>1</v>
      </c>
      <c r="N459" t="b" cm="1">
        <f t="array" ref="N459">_xlfn.XLOOKUP(Sales_Data[[#This Row],[Sales Team]],_xlfn.ANCHORARRAY(Dashboard!$B$9),Dashboard!$D$9:$D$10,,0)</f>
        <v>1</v>
      </c>
      <c r="O459" t="b" cm="1">
        <f t="array" ref="O459">_xlfn.XLOOKUP(Sales_Data[[#This Row],[Sales Rep]],_xlfn.ANCHORARRAY(Dashboard!$B$13),Dashboard!$D$13:$D$17,,0)</f>
        <v>1</v>
      </c>
      <c r="P459" t="b" cm="1">
        <f t="array" ref="P459">_xlfn.XLOOKUP(Sales_Data[[#This Row],[Stage]],_xlfn.ANCHORARRAY(Dashboard!$B$20),Dashboard!$D$20:$D$25)</f>
        <v>1</v>
      </c>
      <c r="Q459" t="b" cm="1">
        <f t="array" ref="Q459">_xlfn.XLOOKUP(Sales_Data[[#This Row],[Lead Source]],_xlfn.ANCHORARRAY(Dashboard!$B$28),Dashboard!$D$28:$D$32)</f>
        <v>1</v>
      </c>
      <c r="R459">
        <f>Sales_Data[[#This Row],[Date inc]]*Sales_Data[[#This Row],[Team Inc]]*Sales_Data[[#This Row],[Rep Inc]]*Sales_Data[[#This Row],[Stage Inc]]*Sales_Data[[#This Row],[Source Inc]]</f>
        <v>1</v>
      </c>
    </row>
    <row r="460" spans="1:18" x14ac:dyDescent="0.3">
      <c r="A460" t="s">
        <v>467</v>
      </c>
      <c r="B460" s="2">
        <v>45656</v>
      </c>
      <c r="C460" t="s">
        <v>761</v>
      </c>
      <c r="D460" t="s">
        <v>765</v>
      </c>
      <c r="E460" t="s">
        <v>770</v>
      </c>
      <c r="F460" s="5">
        <v>34500</v>
      </c>
      <c r="G460" t="s">
        <v>780</v>
      </c>
      <c r="H460" s="2">
        <v>45716</v>
      </c>
      <c r="J460" t="str">
        <f>IF(Sales_Data[[#This Row],[Close Date]] &lt;&gt; 0,"Closed", "Open")</f>
        <v>Closed</v>
      </c>
      <c r="K460">
        <f>IF(Sales_Data[[#This Row],[Open/Closed]] = "Closed",Sales_Data[[#This Row],[Close Date]]-Sales_Data[[#This Row],[Created Date]],"")</f>
        <v>60</v>
      </c>
      <c r="L460" s="2">
        <f>EOMONTH(Sales_Data[[#This Row],[Created Date]],0)</f>
        <v>45657</v>
      </c>
      <c r="M460" t="b">
        <f>AND(Sales_Data[[#This Row],[EoM Created]]&gt;=Index!$E$5,Sales_Data[[#This Row],[EoM Created]]&lt;=Index!$E$4)</f>
        <v>1</v>
      </c>
      <c r="N460" t="b" cm="1">
        <f t="array" ref="N460">_xlfn.XLOOKUP(Sales_Data[[#This Row],[Sales Team]],_xlfn.ANCHORARRAY(Dashboard!$B$9),Dashboard!$D$9:$D$10,,0)</f>
        <v>1</v>
      </c>
      <c r="O460" t="b" cm="1">
        <f t="array" ref="O460">_xlfn.XLOOKUP(Sales_Data[[#This Row],[Sales Rep]],_xlfn.ANCHORARRAY(Dashboard!$B$13),Dashboard!$D$13:$D$17,,0)</f>
        <v>1</v>
      </c>
      <c r="P460" t="b" cm="1">
        <f t="array" ref="P460">_xlfn.XLOOKUP(Sales_Data[[#This Row],[Stage]],_xlfn.ANCHORARRAY(Dashboard!$B$20),Dashboard!$D$20:$D$25)</f>
        <v>1</v>
      </c>
      <c r="Q460" t="b" cm="1">
        <f t="array" ref="Q460">_xlfn.XLOOKUP(Sales_Data[[#This Row],[Lead Source]],_xlfn.ANCHORARRAY(Dashboard!$B$28),Dashboard!$D$28:$D$32)</f>
        <v>1</v>
      </c>
      <c r="R460">
        <f>Sales_Data[[#This Row],[Date inc]]*Sales_Data[[#This Row],[Team Inc]]*Sales_Data[[#This Row],[Rep Inc]]*Sales_Data[[#This Row],[Stage Inc]]*Sales_Data[[#This Row],[Source Inc]]</f>
        <v>1</v>
      </c>
    </row>
    <row r="461" spans="1:18" x14ac:dyDescent="0.3">
      <c r="A461" t="s">
        <v>468</v>
      </c>
      <c r="B461" s="2">
        <v>45506</v>
      </c>
      <c r="C461" t="s">
        <v>762</v>
      </c>
      <c r="D461" t="s">
        <v>764</v>
      </c>
      <c r="E461" t="s">
        <v>767</v>
      </c>
      <c r="F461" s="5">
        <v>28000</v>
      </c>
      <c r="G461" t="s">
        <v>781</v>
      </c>
      <c r="H461" s="2">
        <v>45581</v>
      </c>
      <c r="I461" t="s">
        <v>776</v>
      </c>
      <c r="J461" t="str">
        <f>IF(Sales_Data[[#This Row],[Close Date]] &lt;&gt; 0,"Closed", "Open")</f>
        <v>Closed</v>
      </c>
      <c r="K461">
        <f>IF(Sales_Data[[#This Row],[Open/Closed]] = "Closed",Sales_Data[[#This Row],[Close Date]]-Sales_Data[[#This Row],[Created Date]],"")</f>
        <v>75</v>
      </c>
      <c r="L461" s="2">
        <f>EOMONTH(Sales_Data[[#This Row],[Created Date]],0)</f>
        <v>45535</v>
      </c>
      <c r="M461" t="b">
        <f>AND(Sales_Data[[#This Row],[EoM Created]]&gt;=Index!$E$5,Sales_Data[[#This Row],[EoM Created]]&lt;=Index!$E$4)</f>
        <v>1</v>
      </c>
      <c r="N461" t="b" cm="1">
        <f t="array" ref="N461">_xlfn.XLOOKUP(Sales_Data[[#This Row],[Sales Team]],_xlfn.ANCHORARRAY(Dashboard!$B$9),Dashboard!$D$9:$D$10,,0)</f>
        <v>1</v>
      </c>
      <c r="O461" t="b" cm="1">
        <f t="array" ref="O461">_xlfn.XLOOKUP(Sales_Data[[#This Row],[Sales Rep]],_xlfn.ANCHORARRAY(Dashboard!$B$13),Dashboard!$D$13:$D$17,,0)</f>
        <v>1</v>
      </c>
      <c r="P461" t="b" cm="1">
        <f t="array" ref="P461">_xlfn.XLOOKUP(Sales_Data[[#This Row],[Stage]],_xlfn.ANCHORARRAY(Dashboard!$B$20),Dashboard!$D$20:$D$25)</f>
        <v>1</v>
      </c>
      <c r="Q461" t="b" cm="1">
        <f t="array" ref="Q461">_xlfn.XLOOKUP(Sales_Data[[#This Row],[Lead Source]],_xlfn.ANCHORARRAY(Dashboard!$B$28),Dashboard!$D$28:$D$32)</f>
        <v>1</v>
      </c>
      <c r="R461">
        <f>Sales_Data[[#This Row],[Date inc]]*Sales_Data[[#This Row],[Team Inc]]*Sales_Data[[#This Row],[Rep Inc]]*Sales_Data[[#This Row],[Stage Inc]]*Sales_Data[[#This Row],[Source Inc]]</f>
        <v>1</v>
      </c>
    </row>
    <row r="462" spans="1:18" x14ac:dyDescent="0.3">
      <c r="A462" t="s">
        <v>469</v>
      </c>
      <c r="B462" s="2">
        <v>45450</v>
      </c>
      <c r="C462" t="s">
        <v>763</v>
      </c>
      <c r="D462" t="s">
        <v>765</v>
      </c>
      <c r="E462" t="s">
        <v>770</v>
      </c>
      <c r="F462" s="5">
        <v>59600</v>
      </c>
      <c r="G462" t="s">
        <v>781</v>
      </c>
      <c r="H462" s="2">
        <v>45511</v>
      </c>
      <c r="I462" t="s">
        <v>775</v>
      </c>
      <c r="J462" t="str">
        <f>IF(Sales_Data[[#This Row],[Close Date]] &lt;&gt; 0,"Closed", "Open")</f>
        <v>Closed</v>
      </c>
      <c r="K462">
        <f>IF(Sales_Data[[#This Row],[Open/Closed]] = "Closed",Sales_Data[[#This Row],[Close Date]]-Sales_Data[[#This Row],[Created Date]],"")</f>
        <v>61</v>
      </c>
      <c r="L462" s="2">
        <f>EOMONTH(Sales_Data[[#This Row],[Created Date]],0)</f>
        <v>45473</v>
      </c>
      <c r="M462" t="b">
        <f>AND(Sales_Data[[#This Row],[EoM Created]]&gt;=Index!$E$5,Sales_Data[[#This Row],[EoM Created]]&lt;=Index!$E$4)</f>
        <v>1</v>
      </c>
      <c r="N462" t="b" cm="1">
        <f t="array" ref="N462">_xlfn.XLOOKUP(Sales_Data[[#This Row],[Sales Team]],_xlfn.ANCHORARRAY(Dashboard!$B$9),Dashboard!$D$9:$D$10,,0)</f>
        <v>1</v>
      </c>
      <c r="O462" t="b" cm="1">
        <f t="array" ref="O462">_xlfn.XLOOKUP(Sales_Data[[#This Row],[Sales Rep]],_xlfn.ANCHORARRAY(Dashboard!$B$13),Dashboard!$D$13:$D$17,,0)</f>
        <v>1</v>
      </c>
      <c r="P462" t="b" cm="1">
        <f t="array" ref="P462">_xlfn.XLOOKUP(Sales_Data[[#This Row],[Stage]],_xlfn.ANCHORARRAY(Dashboard!$B$20),Dashboard!$D$20:$D$25)</f>
        <v>1</v>
      </c>
      <c r="Q462" t="b" cm="1">
        <f t="array" ref="Q462">_xlfn.XLOOKUP(Sales_Data[[#This Row],[Lead Source]],_xlfn.ANCHORARRAY(Dashboard!$B$28),Dashboard!$D$28:$D$32)</f>
        <v>1</v>
      </c>
      <c r="R462">
        <f>Sales_Data[[#This Row],[Date inc]]*Sales_Data[[#This Row],[Team Inc]]*Sales_Data[[#This Row],[Rep Inc]]*Sales_Data[[#This Row],[Stage Inc]]*Sales_Data[[#This Row],[Source Inc]]</f>
        <v>1</v>
      </c>
    </row>
    <row r="463" spans="1:18" x14ac:dyDescent="0.3">
      <c r="A463" t="s">
        <v>470</v>
      </c>
      <c r="B463" s="2">
        <v>45466</v>
      </c>
      <c r="C463" t="s">
        <v>759</v>
      </c>
      <c r="D463" t="s">
        <v>764</v>
      </c>
      <c r="E463" t="s">
        <v>766</v>
      </c>
      <c r="F463" s="5">
        <v>40400</v>
      </c>
      <c r="G463" t="s">
        <v>780</v>
      </c>
      <c r="H463" s="2">
        <v>45545</v>
      </c>
      <c r="J463" t="str">
        <f>IF(Sales_Data[[#This Row],[Close Date]] &lt;&gt; 0,"Closed", "Open")</f>
        <v>Closed</v>
      </c>
      <c r="K463">
        <f>IF(Sales_Data[[#This Row],[Open/Closed]] = "Closed",Sales_Data[[#This Row],[Close Date]]-Sales_Data[[#This Row],[Created Date]],"")</f>
        <v>79</v>
      </c>
      <c r="L463" s="2">
        <f>EOMONTH(Sales_Data[[#This Row],[Created Date]],0)</f>
        <v>45473</v>
      </c>
      <c r="M463" t="b">
        <f>AND(Sales_Data[[#This Row],[EoM Created]]&gt;=Index!$E$5,Sales_Data[[#This Row],[EoM Created]]&lt;=Index!$E$4)</f>
        <v>1</v>
      </c>
      <c r="N463" t="b" cm="1">
        <f t="array" ref="N463">_xlfn.XLOOKUP(Sales_Data[[#This Row],[Sales Team]],_xlfn.ANCHORARRAY(Dashboard!$B$9),Dashboard!$D$9:$D$10,,0)</f>
        <v>1</v>
      </c>
      <c r="O463" t="b" cm="1">
        <f t="array" ref="O463">_xlfn.XLOOKUP(Sales_Data[[#This Row],[Sales Rep]],_xlfn.ANCHORARRAY(Dashboard!$B$13),Dashboard!$D$13:$D$17,,0)</f>
        <v>1</v>
      </c>
      <c r="P463" t="b" cm="1">
        <f t="array" ref="P463">_xlfn.XLOOKUP(Sales_Data[[#This Row],[Stage]],_xlfn.ANCHORARRAY(Dashboard!$B$20),Dashboard!$D$20:$D$25)</f>
        <v>1</v>
      </c>
      <c r="Q463" t="b" cm="1">
        <f t="array" ref="Q463">_xlfn.XLOOKUP(Sales_Data[[#This Row],[Lead Source]],_xlfn.ANCHORARRAY(Dashboard!$B$28),Dashboard!$D$28:$D$32)</f>
        <v>1</v>
      </c>
      <c r="R463">
        <f>Sales_Data[[#This Row],[Date inc]]*Sales_Data[[#This Row],[Team Inc]]*Sales_Data[[#This Row],[Rep Inc]]*Sales_Data[[#This Row],[Stage Inc]]*Sales_Data[[#This Row],[Source Inc]]</f>
        <v>1</v>
      </c>
    </row>
    <row r="464" spans="1:18" x14ac:dyDescent="0.3">
      <c r="A464" t="s">
        <v>471</v>
      </c>
      <c r="B464" s="2">
        <v>45792</v>
      </c>
      <c r="C464" t="s">
        <v>762</v>
      </c>
      <c r="D464" t="s">
        <v>764</v>
      </c>
      <c r="E464" t="s">
        <v>766</v>
      </c>
      <c r="F464" s="5">
        <v>33000</v>
      </c>
      <c r="G464" t="s">
        <v>771</v>
      </c>
      <c r="H464" s="2"/>
      <c r="J464" t="str">
        <f>IF(Sales_Data[[#This Row],[Close Date]] &lt;&gt; 0,"Closed", "Open")</f>
        <v>Open</v>
      </c>
      <c r="K464" t="str">
        <f>IF(Sales_Data[[#This Row],[Open/Closed]] = "Closed",Sales_Data[[#This Row],[Close Date]]-Sales_Data[[#This Row],[Created Date]],"")</f>
        <v/>
      </c>
      <c r="L464" s="2">
        <f>EOMONTH(Sales_Data[[#This Row],[Created Date]],0)</f>
        <v>45808</v>
      </c>
      <c r="M464" t="b">
        <f>AND(Sales_Data[[#This Row],[EoM Created]]&gt;=Index!$E$5,Sales_Data[[#This Row],[EoM Created]]&lt;=Index!$E$4)</f>
        <v>1</v>
      </c>
      <c r="N464" t="b" cm="1">
        <f t="array" ref="N464">_xlfn.XLOOKUP(Sales_Data[[#This Row],[Sales Team]],_xlfn.ANCHORARRAY(Dashboard!$B$9),Dashboard!$D$9:$D$10,,0)</f>
        <v>1</v>
      </c>
      <c r="O464" t="b" cm="1">
        <f t="array" ref="O464">_xlfn.XLOOKUP(Sales_Data[[#This Row],[Sales Rep]],_xlfn.ANCHORARRAY(Dashboard!$B$13),Dashboard!$D$13:$D$17,,0)</f>
        <v>1</v>
      </c>
      <c r="P464" t="b" cm="1">
        <f t="array" ref="P464">_xlfn.XLOOKUP(Sales_Data[[#This Row],[Stage]],_xlfn.ANCHORARRAY(Dashboard!$B$20),Dashboard!$D$20:$D$25)</f>
        <v>1</v>
      </c>
      <c r="Q464" t="b" cm="1">
        <f t="array" ref="Q464">_xlfn.XLOOKUP(Sales_Data[[#This Row],[Lead Source]],_xlfn.ANCHORARRAY(Dashboard!$B$28),Dashboard!$D$28:$D$32)</f>
        <v>1</v>
      </c>
      <c r="R464">
        <f>Sales_Data[[#This Row],[Date inc]]*Sales_Data[[#This Row],[Team Inc]]*Sales_Data[[#This Row],[Rep Inc]]*Sales_Data[[#This Row],[Stage Inc]]*Sales_Data[[#This Row],[Source Inc]]</f>
        <v>1</v>
      </c>
    </row>
    <row r="465" spans="1:18" x14ac:dyDescent="0.3">
      <c r="A465" t="s">
        <v>472</v>
      </c>
      <c r="B465" s="2">
        <v>45710</v>
      </c>
      <c r="C465" t="s">
        <v>761</v>
      </c>
      <c r="D465" t="s">
        <v>765</v>
      </c>
      <c r="E465" t="s">
        <v>770</v>
      </c>
      <c r="F465" s="5">
        <v>42100</v>
      </c>
      <c r="G465" t="s">
        <v>781</v>
      </c>
      <c r="H465" s="2">
        <v>45792</v>
      </c>
      <c r="I465" t="s">
        <v>775</v>
      </c>
      <c r="J465" t="str">
        <f>IF(Sales_Data[[#This Row],[Close Date]] &lt;&gt; 0,"Closed", "Open")</f>
        <v>Closed</v>
      </c>
      <c r="K465">
        <f>IF(Sales_Data[[#This Row],[Open/Closed]] = "Closed",Sales_Data[[#This Row],[Close Date]]-Sales_Data[[#This Row],[Created Date]],"")</f>
        <v>82</v>
      </c>
      <c r="L465" s="2">
        <f>EOMONTH(Sales_Data[[#This Row],[Created Date]],0)</f>
        <v>45716</v>
      </c>
      <c r="M465" t="b">
        <f>AND(Sales_Data[[#This Row],[EoM Created]]&gt;=Index!$E$5,Sales_Data[[#This Row],[EoM Created]]&lt;=Index!$E$4)</f>
        <v>1</v>
      </c>
      <c r="N465" t="b" cm="1">
        <f t="array" ref="N465">_xlfn.XLOOKUP(Sales_Data[[#This Row],[Sales Team]],_xlfn.ANCHORARRAY(Dashboard!$B$9),Dashboard!$D$9:$D$10,,0)</f>
        <v>1</v>
      </c>
      <c r="O465" t="b" cm="1">
        <f t="array" ref="O465">_xlfn.XLOOKUP(Sales_Data[[#This Row],[Sales Rep]],_xlfn.ANCHORARRAY(Dashboard!$B$13),Dashboard!$D$13:$D$17,,0)</f>
        <v>1</v>
      </c>
      <c r="P465" t="b" cm="1">
        <f t="array" ref="P465">_xlfn.XLOOKUP(Sales_Data[[#This Row],[Stage]],_xlfn.ANCHORARRAY(Dashboard!$B$20),Dashboard!$D$20:$D$25)</f>
        <v>1</v>
      </c>
      <c r="Q465" t="b" cm="1">
        <f t="array" ref="Q465">_xlfn.XLOOKUP(Sales_Data[[#This Row],[Lead Source]],_xlfn.ANCHORARRAY(Dashboard!$B$28),Dashboard!$D$28:$D$32)</f>
        <v>1</v>
      </c>
      <c r="R465">
        <f>Sales_Data[[#This Row],[Date inc]]*Sales_Data[[#This Row],[Team Inc]]*Sales_Data[[#This Row],[Rep Inc]]*Sales_Data[[#This Row],[Stage Inc]]*Sales_Data[[#This Row],[Source Inc]]</f>
        <v>1</v>
      </c>
    </row>
    <row r="466" spans="1:18" x14ac:dyDescent="0.3">
      <c r="A466" t="s">
        <v>473</v>
      </c>
      <c r="B466" s="2">
        <v>45340</v>
      </c>
      <c r="C466" t="s">
        <v>760</v>
      </c>
      <c r="D466" t="s">
        <v>764</v>
      </c>
      <c r="E466" t="s">
        <v>767</v>
      </c>
      <c r="F466" s="5">
        <v>38900</v>
      </c>
      <c r="G466" t="s">
        <v>781</v>
      </c>
      <c r="H466" s="2">
        <v>45414</v>
      </c>
      <c r="I466" t="s">
        <v>778</v>
      </c>
      <c r="J466" t="str">
        <f>IF(Sales_Data[[#This Row],[Close Date]] &lt;&gt; 0,"Closed", "Open")</f>
        <v>Closed</v>
      </c>
      <c r="K466">
        <f>IF(Sales_Data[[#This Row],[Open/Closed]] = "Closed",Sales_Data[[#This Row],[Close Date]]-Sales_Data[[#This Row],[Created Date]],"")</f>
        <v>74</v>
      </c>
      <c r="L466" s="2">
        <f>EOMONTH(Sales_Data[[#This Row],[Created Date]],0)</f>
        <v>45351</v>
      </c>
      <c r="M466" t="b">
        <f>AND(Sales_Data[[#This Row],[EoM Created]]&gt;=Index!$E$5,Sales_Data[[#This Row],[EoM Created]]&lt;=Index!$E$4)</f>
        <v>1</v>
      </c>
      <c r="N466" t="b" cm="1">
        <f t="array" ref="N466">_xlfn.XLOOKUP(Sales_Data[[#This Row],[Sales Team]],_xlfn.ANCHORARRAY(Dashboard!$B$9),Dashboard!$D$9:$D$10,,0)</f>
        <v>1</v>
      </c>
      <c r="O466" t="b" cm="1">
        <f t="array" ref="O466">_xlfn.XLOOKUP(Sales_Data[[#This Row],[Sales Rep]],_xlfn.ANCHORARRAY(Dashboard!$B$13),Dashboard!$D$13:$D$17,,0)</f>
        <v>1</v>
      </c>
      <c r="P466" t="b" cm="1">
        <f t="array" ref="P466">_xlfn.XLOOKUP(Sales_Data[[#This Row],[Stage]],_xlfn.ANCHORARRAY(Dashboard!$B$20),Dashboard!$D$20:$D$25)</f>
        <v>1</v>
      </c>
      <c r="Q466" t="b" cm="1">
        <f t="array" ref="Q466">_xlfn.XLOOKUP(Sales_Data[[#This Row],[Lead Source]],_xlfn.ANCHORARRAY(Dashboard!$B$28),Dashboard!$D$28:$D$32)</f>
        <v>1</v>
      </c>
      <c r="R466">
        <f>Sales_Data[[#This Row],[Date inc]]*Sales_Data[[#This Row],[Team Inc]]*Sales_Data[[#This Row],[Rep Inc]]*Sales_Data[[#This Row],[Stage Inc]]*Sales_Data[[#This Row],[Source Inc]]</f>
        <v>1</v>
      </c>
    </row>
    <row r="467" spans="1:18" x14ac:dyDescent="0.3">
      <c r="A467" t="s">
        <v>474</v>
      </c>
      <c r="B467" s="2">
        <v>45455</v>
      </c>
      <c r="C467" t="s">
        <v>762</v>
      </c>
      <c r="D467" t="s">
        <v>764</v>
      </c>
      <c r="E467" t="s">
        <v>766</v>
      </c>
      <c r="F467" s="5">
        <v>37800</v>
      </c>
      <c r="G467" t="s">
        <v>780</v>
      </c>
      <c r="H467" s="2">
        <v>45532</v>
      </c>
      <c r="J467" t="str">
        <f>IF(Sales_Data[[#This Row],[Close Date]] &lt;&gt; 0,"Closed", "Open")</f>
        <v>Closed</v>
      </c>
      <c r="K467">
        <f>IF(Sales_Data[[#This Row],[Open/Closed]] = "Closed",Sales_Data[[#This Row],[Close Date]]-Sales_Data[[#This Row],[Created Date]],"")</f>
        <v>77</v>
      </c>
      <c r="L467" s="2">
        <f>EOMONTH(Sales_Data[[#This Row],[Created Date]],0)</f>
        <v>45473</v>
      </c>
      <c r="M467" t="b">
        <f>AND(Sales_Data[[#This Row],[EoM Created]]&gt;=Index!$E$5,Sales_Data[[#This Row],[EoM Created]]&lt;=Index!$E$4)</f>
        <v>1</v>
      </c>
      <c r="N467" t="b" cm="1">
        <f t="array" ref="N467">_xlfn.XLOOKUP(Sales_Data[[#This Row],[Sales Team]],_xlfn.ANCHORARRAY(Dashboard!$B$9),Dashboard!$D$9:$D$10,,0)</f>
        <v>1</v>
      </c>
      <c r="O467" t="b" cm="1">
        <f t="array" ref="O467">_xlfn.XLOOKUP(Sales_Data[[#This Row],[Sales Rep]],_xlfn.ANCHORARRAY(Dashboard!$B$13),Dashboard!$D$13:$D$17,,0)</f>
        <v>1</v>
      </c>
      <c r="P467" t="b" cm="1">
        <f t="array" ref="P467">_xlfn.XLOOKUP(Sales_Data[[#This Row],[Stage]],_xlfn.ANCHORARRAY(Dashboard!$B$20),Dashboard!$D$20:$D$25)</f>
        <v>1</v>
      </c>
      <c r="Q467" t="b" cm="1">
        <f t="array" ref="Q467">_xlfn.XLOOKUP(Sales_Data[[#This Row],[Lead Source]],_xlfn.ANCHORARRAY(Dashboard!$B$28),Dashboard!$D$28:$D$32)</f>
        <v>1</v>
      </c>
      <c r="R467">
        <f>Sales_Data[[#This Row],[Date inc]]*Sales_Data[[#This Row],[Team Inc]]*Sales_Data[[#This Row],[Rep Inc]]*Sales_Data[[#This Row],[Stage Inc]]*Sales_Data[[#This Row],[Source Inc]]</f>
        <v>1</v>
      </c>
    </row>
    <row r="468" spans="1:18" x14ac:dyDescent="0.3">
      <c r="A468" t="s">
        <v>475</v>
      </c>
      <c r="B468" s="2">
        <v>45118</v>
      </c>
      <c r="C468" t="s">
        <v>760</v>
      </c>
      <c r="D468" t="s">
        <v>764</v>
      </c>
      <c r="E468" t="s">
        <v>767</v>
      </c>
      <c r="F468" s="5">
        <v>46100</v>
      </c>
      <c r="G468" t="s">
        <v>781</v>
      </c>
      <c r="H468" s="2">
        <v>45180</v>
      </c>
      <c r="I468" t="s">
        <v>775</v>
      </c>
      <c r="J468" t="str">
        <f>IF(Sales_Data[[#This Row],[Close Date]] &lt;&gt; 0,"Closed", "Open")</f>
        <v>Closed</v>
      </c>
      <c r="K468">
        <f>IF(Sales_Data[[#This Row],[Open/Closed]] = "Closed",Sales_Data[[#This Row],[Close Date]]-Sales_Data[[#This Row],[Created Date]],"")</f>
        <v>62</v>
      </c>
      <c r="L468" s="2">
        <f>EOMONTH(Sales_Data[[#This Row],[Created Date]],0)</f>
        <v>45138</v>
      </c>
      <c r="M468" t="b">
        <f>AND(Sales_Data[[#This Row],[EoM Created]]&gt;=Index!$E$5,Sales_Data[[#This Row],[EoM Created]]&lt;=Index!$E$4)</f>
        <v>1</v>
      </c>
      <c r="N468" t="b" cm="1">
        <f t="array" ref="N468">_xlfn.XLOOKUP(Sales_Data[[#This Row],[Sales Team]],_xlfn.ANCHORARRAY(Dashboard!$B$9),Dashboard!$D$9:$D$10,,0)</f>
        <v>1</v>
      </c>
      <c r="O468" t="b" cm="1">
        <f t="array" ref="O468">_xlfn.XLOOKUP(Sales_Data[[#This Row],[Sales Rep]],_xlfn.ANCHORARRAY(Dashboard!$B$13),Dashboard!$D$13:$D$17,,0)</f>
        <v>1</v>
      </c>
      <c r="P468" t="b" cm="1">
        <f t="array" ref="P468">_xlfn.XLOOKUP(Sales_Data[[#This Row],[Stage]],_xlfn.ANCHORARRAY(Dashboard!$B$20),Dashboard!$D$20:$D$25)</f>
        <v>1</v>
      </c>
      <c r="Q468" t="b" cm="1">
        <f t="array" ref="Q468">_xlfn.XLOOKUP(Sales_Data[[#This Row],[Lead Source]],_xlfn.ANCHORARRAY(Dashboard!$B$28),Dashboard!$D$28:$D$32)</f>
        <v>1</v>
      </c>
      <c r="R468">
        <f>Sales_Data[[#This Row],[Date inc]]*Sales_Data[[#This Row],[Team Inc]]*Sales_Data[[#This Row],[Rep Inc]]*Sales_Data[[#This Row],[Stage Inc]]*Sales_Data[[#This Row],[Source Inc]]</f>
        <v>1</v>
      </c>
    </row>
    <row r="469" spans="1:18" x14ac:dyDescent="0.3">
      <c r="A469" t="s">
        <v>476</v>
      </c>
      <c r="B469" s="2">
        <v>45488</v>
      </c>
      <c r="C469" t="s">
        <v>763</v>
      </c>
      <c r="D469" t="s">
        <v>765</v>
      </c>
      <c r="E469" t="s">
        <v>768</v>
      </c>
      <c r="F469" s="5">
        <v>47600</v>
      </c>
      <c r="G469" t="s">
        <v>781</v>
      </c>
      <c r="H469" s="2">
        <v>45555</v>
      </c>
      <c r="I469" t="s">
        <v>777</v>
      </c>
      <c r="J469" t="str">
        <f>IF(Sales_Data[[#This Row],[Close Date]] &lt;&gt; 0,"Closed", "Open")</f>
        <v>Closed</v>
      </c>
      <c r="K469">
        <f>IF(Sales_Data[[#This Row],[Open/Closed]] = "Closed",Sales_Data[[#This Row],[Close Date]]-Sales_Data[[#This Row],[Created Date]],"")</f>
        <v>67</v>
      </c>
      <c r="L469" s="2">
        <f>EOMONTH(Sales_Data[[#This Row],[Created Date]],0)</f>
        <v>45504</v>
      </c>
      <c r="M469" t="b">
        <f>AND(Sales_Data[[#This Row],[EoM Created]]&gt;=Index!$E$5,Sales_Data[[#This Row],[EoM Created]]&lt;=Index!$E$4)</f>
        <v>1</v>
      </c>
      <c r="N469" t="b" cm="1">
        <f t="array" ref="N469">_xlfn.XLOOKUP(Sales_Data[[#This Row],[Sales Team]],_xlfn.ANCHORARRAY(Dashboard!$B$9),Dashboard!$D$9:$D$10,,0)</f>
        <v>1</v>
      </c>
      <c r="O469" t="b" cm="1">
        <f t="array" ref="O469">_xlfn.XLOOKUP(Sales_Data[[#This Row],[Sales Rep]],_xlfn.ANCHORARRAY(Dashboard!$B$13),Dashboard!$D$13:$D$17,,0)</f>
        <v>1</v>
      </c>
      <c r="P469" t="b" cm="1">
        <f t="array" ref="P469">_xlfn.XLOOKUP(Sales_Data[[#This Row],[Stage]],_xlfn.ANCHORARRAY(Dashboard!$B$20),Dashboard!$D$20:$D$25)</f>
        <v>1</v>
      </c>
      <c r="Q469" t="b" cm="1">
        <f t="array" ref="Q469">_xlfn.XLOOKUP(Sales_Data[[#This Row],[Lead Source]],_xlfn.ANCHORARRAY(Dashboard!$B$28),Dashboard!$D$28:$D$32)</f>
        <v>1</v>
      </c>
      <c r="R469">
        <f>Sales_Data[[#This Row],[Date inc]]*Sales_Data[[#This Row],[Team Inc]]*Sales_Data[[#This Row],[Rep Inc]]*Sales_Data[[#This Row],[Stage Inc]]*Sales_Data[[#This Row],[Source Inc]]</f>
        <v>1</v>
      </c>
    </row>
    <row r="470" spans="1:18" x14ac:dyDescent="0.3">
      <c r="A470" t="s">
        <v>477</v>
      </c>
      <c r="B470" s="2">
        <v>45588</v>
      </c>
      <c r="C470" t="s">
        <v>763</v>
      </c>
      <c r="D470" t="s">
        <v>765</v>
      </c>
      <c r="E470" t="s">
        <v>768</v>
      </c>
      <c r="F470" s="5">
        <v>34700</v>
      </c>
      <c r="G470" t="s">
        <v>781</v>
      </c>
      <c r="H470" s="2">
        <v>45665</v>
      </c>
      <c r="I470" t="s">
        <v>776</v>
      </c>
      <c r="J470" t="str">
        <f>IF(Sales_Data[[#This Row],[Close Date]] &lt;&gt; 0,"Closed", "Open")</f>
        <v>Closed</v>
      </c>
      <c r="K470">
        <f>IF(Sales_Data[[#This Row],[Open/Closed]] = "Closed",Sales_Data[[#This Row],[Close Date]]-Sales_Data[[#This Row],[Created Date]],"")</f>
        <v>77</v>
      </c>
      <c r="L470" s="2">
        <f>EOMONTH(Sales_Data[[#This Row],[Created Date]],0)</f>
        <v>45596</v>
      </c>
      <c r="M470" t="b">
        <f>AND(Sales_Data[[#This Row],[EoM Created]]&gt;=Index!$E$5,Sales_Data[[#This Row],[EoM Created]]&lt;=Index!$E$4)</f>
        <v>1</v>
      </c>
      <c r="N470" t="b" cm="1">
        <f t="array" ref="N470">_xlfn.XLOOKUP(Sales_Data[[#This Row],[Sales Team]],_xlfn.ANCHORARRAY(Dashboard!$B$9),Dashboard!$D$9:$D$10,,0)</f>
        <v>1</v>
      </c>
      <c r="O470" t="b" cm="1">
        <f t="array" ref="O470">_xlfn.XLOOKUP(Sales_Data[[#This Row],[Sales Rep]],_xlfn.ANCHORARRAY(Dashboard!$B$13),Dashboard!$D$13:$D$17,,0)</f>
        <v>1</v>
      </c>
      <c r="P470" t="b" cm="1">
        <f t="array" ref="P470">_xlfn.XLOOKUP(Sales_Data[[#This Row],[Stage]],_xlfn.ANCHORARRAY(Dashboard!$B$20),Dashboard!$D$20:$D$25)</f>
        <v>1</v>
      </c>
      <c r="Q470" t="b" cm="1">
        <f t="array" ref="Q470">_xlfn.XLOOKUP(Sales_Data[[#This Row],[Lead Source]],_xlfn.ANCHORARRAY(Dashboard!$B$28),Dashboard!$D$28:$D$32)</f>
        <v>1</v>
      </c>
      <c r="R470">
        <f>Sales_Data[[#This Row],[Date inc]]*Sales_Data[[#This Row],[Team Inc]]*Sales_Data[[#This Row],[Rep Inc]]*Sales_Data[[#This Row],[Stage Inc]]*Sales_Data[[#This Row],[Source Inc]]</f>
        <v>1</v>
      </c>
    </row>
    <row r="471" spans="1:18" x14ac:dyDescent="0.3">
      <c r="A471" t="s">
        <v>478</v>
      </c>
      <c r="B471" s="2">
        <v>45073</v>
      </c>
      <c r="C471" t="s">
        <v>762</v>
      </c>
      <c r="D471" t="s">
        <v>764</v>
      </c>
      <c r="E471" t="s">
        <v>767</v>
      </c>
      <c r="F471" s="5">
        <v>34200</v>
      </c>
      <c r="G471" t="s">
        <v>781</v>
      </c>
      <c r="H471" s="2">
        <v>45162</v>
      </c>
      <c r="I471" t="s">
        <v>777</v>
      </c>
      <c r="J471" t="str">
        <f>IF(Sales_Data[[#This Row],[Close Date]] &lt;&gt; 0,"Closed", "Open")</f>
        <v>Closed</v>
      </c>
      <c r="K471">
        <f>IF(Sales_Data[[#This Row],[Open/Closed]] = "Closed",Sales_Data[[#This Row],[Close Date]]-Sales_Data[[#This Row],[Created Date]],"")</f>
        <v>89</v>
      </c>
      <c r="L471" s="2">
        <f>EOMONTH(Sales_Data[[#This Row],[Created Date]],0)</f>
        <v>45077</v>
      </c>
      <c r="M471" t="b">
        <f>AND(Sales_Data[[#This Row],[EoM Created]]&gt;=Index!$E$5,Sales_Data[[#This Row],[EoM Created]]&lt;=Index!$E$4)</f>
        <v>0</v>
      </c>
      <c r="N471" t="b" cm="1">
        <f t="array" ref="N471">_xlfn.XLOOKUP(Sales_Data[[#This Row],[Sales Team]],_xlfn.ANCHORARRAY(Dashboard!$B$9),Dashboard!$D$9:$D$10,,0)</f>
        <v>1</v>
      </c>
      <c r="O471" t="b" cm="1">
        <f t="array" ref="O471">_xlfn.XLOOKUP(Sales_Data[[#This Row],[Sales Rep]],_xlfn.ANCHORARRAY(Dashboard!$B$13),Dashboard!$D$13:$D$17,,0)</f>
        <v>1</v>
      </c>
      <c r="P471" t="b" cm="1">
        <f t="array" ref="P471">_xlfn.XLOOKUP(Sales_Data[[#This Row],[Stage]],_xlfn.ANCHORARRAY(Dashboard!$B$20),Dashboard!$D$20:$D$25)</f>
        <v>1</v>
      </c>
      <c r="Q471" t="b" cm="1">
        <f t="array" ref="Q471">_xlfn.XLOOKUP(Sales_Data[[#This Row],[Lead Source]],_xlfn.ANCHORARRAY(Dashboard!$B$28),Dashboard!$D$28:$D$32)</f>
        <v>1</v>
      </c>
      <c r="R471">
        <f>Sales_Data[[#This Row],[Date inc]]*Sales_Data[[#This Row],[Team Inc]]*Sales_Data[[#This Row],[Rep Inc]]*Sales_Data[[#This Row],[Stage Inc]]*Sales_Data[[#This Row],[Source Inc]]</f>
        <v>0</v>
      </c>
    </row>
    <row r="472" spans="1:18" x14ac:dyDescent="0.3">
      <c r="A472" t="s">
        <v>479</v>
      </c>
      <c r="B472" s="2">
        <v>45111</v>
      </c>
      <c r="C472" t="s">
        <v>762</v>
      </c>
      <c r="D472" t="s">
        <v>764</v>
      </c>
      <c r="E472" t="s">
        <v>767</v>
      </c>
      <c r="F472" s="5">
        <v>37200</v>
      </c>
      <c r="G472" t="s">
        <v>781</v>
      </c>
      <c r="H472" s="2">
        <v>45182</v>
      </c>
      <c r="I472" t="s">
        <v>779</v>
      </c>
      <c r="J472" t="str">
        <f>IF(Sales_Data[[#This Row],[Close Date]] &lt;&gt; 0,"Closed", "Open")</f>
        <v>Closed</v>
      </c>
      <c r="K472">
        <f>IF(Sales_Data[[#This Row],[Open/Closed]] = "Closed",Sales_Data[[#This Row],[Close Date]]-Sales_Data[[#This Row],[Created Date]],"")</f>
        <v>71</v>
      </c>
      <c r="L472" s="2">
        <f>EOMONTH(Sales_Data[[#This Row],[Created Date]],0)</f>
        <v>45138</v>
      </c>
      <c r="M472" t="b">
        <f>AND(Sales_Data[[#This Row],[EoM Created]]&gt;=Index!$E$5,Sales_Data[[#This Row],[EoM Created]]&lt;=Index!$E$4)</f>
        <v>1</v>
      </c>
      <c r="N472" t="b" cm="1">
        <f t="array" ref="N472">_xlfn.XLOOKUP(Sales_Data[[#This Row],[Sales Team]],_xlfn.ANCHORARRAY(Dashboard!$B$9),Dashboard!$D$9:$D$10,,0)</f>
        <v>1</v>
      </c>
      <c r="O472" t="b" cm="1">
        <f t="array" ref="O472">_xlfn.XLOOKUP(Sales_Data[[#This Row],[Sales Rep]],_xlfn.ANCHORARRAY(Dashboard!$B$13),Dashboard!$D$13:$D$17,,0)</f>
        <v>1</v>
      </c>
      <c r="P472" t="b" cm="1">
        <f t="array" ref="P472">_xlfn.XLOOKUP(Sales_Data[[#This Row],[Stage]],_xlfn.ANCHORARRAY(Dashboard!$B$20),Dashboard!$D$20:$D$25)</f>
        <v>1</v>
      </c>
      <c r="Q472" t="b" cm="1">
        <f t="array" ref="Q472">_xlfn.XLOOKUP(Sales_Data[[#This Row],[Lead Source]],_xlfn.ANCHORARRAY(Dashboard!$B$28),Dashboard!$D$28:$D$32)</f>
        <v>1</v>
      </c>
      <c r="R472">
        <f>Sales_Data[[#This Row],[Date inc]]*Sales_Data[[#This Row],[Team Inc]]*Sales_Data[[#This Row],[Rep Inc]]*Sales_Data[[#This Row],[Stage Inc]]*Sales_Data[[#This Row],[Source Inc]]</f>
        <v>1</v>
      </c>
    </row>
    <row r="473" spans="1:18" x14ac:dyDescent="0.3">
      <c r="A473" t="s">
        <v>480</v>
      </c>
      <c r="B473" s="2">
        <v>44950</v>
      </c>
      <c r="C473" t="s">
        <v>762</v>
      </c>
      <c r="D473" t="s">
        <v>764</v>
      </c>
      <c r="E473" t="s">
        <v>767</v>
      </c>
      <c r="F473" s="5">
        <v>17000</v>
      </c>
      <c r="G473" t="s">
        <v>781</v>
      </c>
      <c r="H473" s="2">
        <v>45039</v>
      </c>
      <c r="I473" t="s">
        <v>775</v>
      </c>
      <c r="J473" t="str">
        <f>IF(Sales_Data[[#This Row],[Close Date]] &lt;&gt; 0,"Closed", "Open")</f>
        <v>Closed</v>
      </c>
      <c r="K473">
        <f>IF(Sales_Data[[#This Row],[Open/Closed]] = "Closed",Sales_Data[[#This Row],[Close Date]]-Sales_Data[[#This Row],[Created Date]],"")</f>
        <v>89</v>
      </c>
      <c r="L473" s="2">
        <f>EOMONTH(Sales_Data[[#This Row],[Created Date]],0)</f>
        <v>44957</v>
      </c>
      <c r="M473" t="b">
        <f>AND(Sales_Data[[#This Row],[EoM Created]]&gt;=Index!$E$5,Sales_Data[[#This Row],[EoM Created]]&lt;=Index!$E$4)</f>
        <v>0</v>
      </c>
      <c r="N473" t="b" cm="1">
        <f t="array" ref="N473">_xlfn.XLOOKUP(Sales_Data[[#This Row],[Sales Team]],_xlfn.ANCHORARRAY(Dashboard!$B$9),Dashboard!$D$9:$D$10,,0)</f>
        <v>1</v>
      </c>
      <c r="O473" t="b" cm="1">
        <f t="array" ref="O473">_xlfn.XLOOKUP(Sales_Data[[#This Row],[Sales Rep]],_xlfn.ANCHORARRAY(Dashboard!$B$13),Dashboard!$D$13:$D$17,,0)</f>
        <v>1</v>
      </c>
      <c r="P473" t="b" cm="1">
        <f t="array" ref="P473">_xlfn.XLOOKUP(Sales_Data[[#This Row],[Stage]],_xlfn.ANCHORARRAY(Dashboard!$B$20),Dashboard!$D$20:$D$25)</f>
        <v>1</v>
      </c>
      <c r="Q473" t="b" cm="1">
        <f t="array" ref="Q473">_xlfn.XLOOKUP(Sales_Data[[#This Row],[Lead Source]],_xlfn.ANCHORARRAY(Dashboard!$B$28),Dashboard!$D$28:$D$32)</f>
        <v>1</v>
      </c>
      <c r="R473">
        <f>Sales_Data[[#This Row],[Date inc]]*Sales_Data[[#This Row],[Team Inc]]*Sales_Data[[#This Row],[Rep Inc]]*Sales_Data[[#This Row],[Stage Inc]]*Sales_Data[[#This Row],[Source Inc]]</f>
        <v>0</v>
      </c>
    </row>
    <row r="474" spans="1:18" x14ac:dyDescent="0.3">
      <c r="A474" t="s">
        <v>481</v>
      </c>
      <c r="B474" s="2">
        <v>45316</v>
      </c>
      <c r="C474" t="s">
        <v>761</v>
      </c>
      <c r="D474" t="s">
        <v>765</v>
      </c>
      <c r="E474" t="s">
        <v>768</v>
      </c>
      <c r="F474" s="5">
        <v>24800</v>
      </c>
      <c r="G474" t="s">
        <v>781</v>
      </c>
      <c r="H474" s="2">
        <v>45377</v>
      </c>
      <c r="I474" t="s">
        <v>779</v>
      </c>
      <c r="J474" t="str">
        <f>IF(Sales_Data[[#This Row],[Close Date]] &lt;&gt; 0,"Closed", "Open")</f>
        <v>Closed</v>
      </c>
      <c r="K474">
        <f>IF(Sales_Data[[#This Row],[Open/Closed]] = "Closed",Sales_Data[[#This Row],[Close Date]]-Sales_Data[[#This Row],[Created Date]],"")</f>
        <v>61</v>
      </c>
      <c r="L474" s="2">
        <f>EOMONTH(Sales_Data[[#This Row],[Created Date]],0)</f>
        <v>45322</v>
      </c>
      <c r="M474" t="b">
        <f>AND(Sales_Data[[#This Row],[EoM Created]]&gt;=Index!$E$5,Sales_Data[[#This Row],[EoM Created]]&lt;=Index!$E$4)</f>
        <v>1</v>
      </c>
      <c r="N474" t="b" cm="1">
        <f t="array" ref="N474">_xlfn.XLOOKUP(Sales_Data[[#This Row],[Sales Team]],_xlfn.ANCHORARRAY(Dashboard!$B$9),Dashboard!$D$9:$D$10,,0)</f>
        <v>1</v>
      </c>
      <c r="O474" t="b" cm="1">
        <f t="array" ref="O474">_xlfn.XLOOKUP(Sales_Data[[#This Row],[Sales Rep]],_xlfn.ANCHORARRAY(Dashboard!$B$13),Dashboard!$D$13:$D$17,,0)</f>
        <v>1</v>
      </c>
      <c r="P474" t="b" cm="1">
        <f t="array" ref="P474">_xlfn.XLOOKUP(Sales_Data[[#This Row],[Stage]],_xlfn.ANCHORARRAY(Dashboard!$B$20),Dashboard!$D$20:$D$25)</f>
        <v>1</v>
      </c>
      <c r="Q474" t="b" cm="1">
        <f t="array" ref="Q474">_xlfn.XLOOKUP(Sales_Data[[#This Row],[Lead Source]],_xlfn.ANCHORARRAY(Dashboard!$B$28),Dashboard!$D$28:$D$32)</f>
        <v>1</v>
      </c>
      <c r="R474">
        <f>Sales_Data[[#This Row],[Date inc]]*Sales_Data[[#This Row],[Team Inc]]*Sales_Data[[#This Row],[Rep Inc]]*Sales_Data[[#This Row],[Stage Inc]]*Sales_Data[[#This Row],[Source Inc]]</f>
        <v>1</v>
      </c>
    </row>
    <row r="475" spans="1:18" x14ac:dyDescent="0.3">
      <c r="A475" t="s">
        <v>482</v>
      </c>
      <c r="B475" s="2">
        <v>45531</v>
      </c>
      <c r="C475" t="s">
        <v>763</v>
      </c>
      <c r="D475" t="s">
        <v>765</v>
      </c>
      <c r="E475" t="s">
        <v>770</v>
      </c>
      <c r="F475" s="5">
        <v>53700</v>
      </c>
      <c r="G475" t="s">
        <v>781</v>
      </c>
      <c r="H475" s="2">
        <v>45618</v>
      </c>
      <c r="I475" t="s">
        <v>779</v>
      </c>
      <c r="J475" t="str">
        <f>IF(Sales_Data[[#This Row],[Close Date]] &lt;&gt; 0,"Closed", "Open")</f>
        <v>Closed</v>
      </c>
      <c r="K475">
        <f>IF(Sales_Data[[#This Row],[Open/Closed]] = "Closed",Sales_Data[[#This Row],[Close Date]]-Sales_Data[[#This Row],[Created Date]],"")</f>
        <v>87</v>
      </c>
      <c r="L475" s="2">
        <f>EOMONTH(Sales_Data[[#This Row],[Created Date]],0)</f>
        <v>45535</v>
      </c>
      <c r="M475" t="b">
        <f>AND(Sales_Data[[#This Row],[EoM Created]]&gt;=Index!$E$5,Sales_Data[[#This Row],[EoM Created]]&lt;=Index!$E$4)</f>
        <v>1</v>
      </c>
      <c r="N475" t="b" cm="1">
        <f t="array" ref="N475">_xlfn.XLOOKUP(Sales_Data[[#This Row],[Sales Team]],_xlfn.ANCHORARRAY(Dashboard!$B$9),Dashboard!$D$9:$D$10,,0)</f>
        <v>1</v>
      </c>
      <c r="O475" t="b" cm="1">
        <f t="array" ref="O475">_xlfn.XLOOKUP(Sales_Data[[#This Row],[Sales Rep]],_xlfn.ANCHORARRAY(Dashboard!$B$13),Dashboard!$D$13:$D$17,,0)</f>
        <v>1</v>
      </c>
      <c r="P475" t="b" cm="1">
        <f t="array" ref="P475">_xlfn.XLOOKUP(Sales_Data[[#This Row],[Stage]],_xlfn.ANCHORARRAY(Dashboard!$B$20),Dashboard!$D$20:$D$25)</f>
        <v>1</v>
      </c>
      <c r="Q475" t="b" cm="1">
        <f t="array" ref="Q475">_xlfn.XLOOKUP(Sales_Data[[#This Row],[Lead Source]],_xlfn.ANCHORARRAY(Dashboard!$B$28),Dashboard!$D$28:$D$32)</f>
        <v>1</v>
      </c>
      <c r="R475">
        <f>Sales_Data[[#This Row],[Date inc]]*Sales_Data[[#This Row],[Team Inc]]*Sales_Data[[#This Row],[Rep Inc]]*Sales_Data[[#This Row],[Stage Inc]]*Sales_Data[[#This Row],[Source Inc]]</f>
        <v>1</v>
      </c>
    </row>
    <row r="476" spans="1:18" x14ac:dyDescent="0.3">
      <c r="A476" t="s">
        <v>483</v>
      </c>
      <c r="B476" s="2">
        <v>45752</v>
      </c>
      <c r="C476" t="s">
        <v>762</v>
      </c>
      <c r="D476" t="s">
        <v>764</v>
      </c>
      <c r="E476" t="s">
        <v>766</v>
      </c>
      <c r="F476" s="5">
        <v>56400</v>
      </c>
      <c r="G476" t="s">
        <v>781</v>
      </c>
      <c r="H476" s="2">
        <v>45819</v>
      </c>
      <c r="I476" t="s">
        <v>776</v>
      </c>
      <c r="J476" t="str">
        <f>IF(Sales_Data[[#This Row],[Close Date]] &lt;&gt; 0,"Closed", "Open")</f>
        <v>Closed</v>
      </c>
      <c r="K476">
        <f>IF(Sales_Data[[#This Row],[Open/Closed]] = "Closed",Sales_Data[[#This Row],[Close Date]]-Sales_Data[[#This Row],[Created Date]],"")</f>
        <v>67</v>
      </c>
      <c r="L476" s="2">
        <f>EOMONTH(Sales_Data[[#This Row],[Created Date]],0)</f>
        <v>45777</v>
      </c>
      <c r="M476" t="b">
        <f>AND(Sales_Data[[#This Row],[EoM Created]]&gt;=Index!$E$5,Sales_Data[[#This Row],[EoM Created]]&lt;=Index!$E$4)</f>
        <v>1</v>
      </c>
      <c r="N476" t="b" cm="1">
        <f t="array" ref="N476">_xlfn.XLOOKUP(Sales_Data[[#This Row],[Sales Team]],_xlfn.ANCHORARRAY(Dashboard!$B$9),Dashboard!$D$9:$D$10,,0)</f>
        <v>1</v>
      </c>
      <c r="O476" t="b" cm="1">
        <f t="array" ref="O476">_xlfn.XLOOKUP(Sales_Data[[#This Row],[Sales Rep]],_xlfn.ANCHORARRAY(Dashboard!$B$13),Dashboard!$D$13:$D$17,,0)</f>
        <v>1</v>
      </c>
      <c r="P476" t="b" cm="1">
        <f t="array" ref="P476">_xlfn.XLOOKUP(Sales_Data[[#This Row],[Stage]],_xlfn.ANCHORARRAY(Dashboard!$B$20),Dashboard!$D$20:$D$25)</f>
        <v>1</v>
      </c>
      <c r="Q476" t="b" cm="1">
        <f t="array" ref="Q476">_xlfn.XLOOKUP(Sales_Data[[#This Row],[Lead Source]],_xlfn.ANCHORARRAY(Dashboard!$B$28),Dashboard!$D$28:$D$32)</f>
        <v>1</v>
      </c>
      <c r="R476">
        <f>Sales_Data[[#This Row],[Date inc]]*Sales_Data[[#This Row],[Team Inc]]*Sales_Data[[#This Row],[Rep Inc]]*Sales_Data[[#This Row],[Stage Inc]]*Sales_Data[[#This Row],[Source Inc]]</f>
        <v>1</v>
      </c>
    </row>
    <row r="477" spans="1:18" x14ac:dyDescent="0.3">
      <c r="A477" t="s">
        <v>484</v>
      </c>
      <c r="B477" s="2">
        <v>44970</v>
      </c>
      <c r="C477" t="s">
        <v>759</v>
      </c>
      <c r="D477" t="s">
        <v>764</v>
      </c>
      <c r="E477" t="s">
        <v>767</v>
      </c>
      <c r="F477" s="5">
        <v>37500</v>
      </c>
      <c r="G477" t="s">
        <v>781</v>
      </c>
      <c r="H477" s="2">
        <v>45042</v>
      </c>
      <c r="I477" t="s">
        <v>777</v>
      </c>
      <c r="J477" t="str">
        <f>IF(Sales_Data[[#This Row],[Close Date]] &lt;&gt; 0,"Closed", "Open")</f>
        <v>Closed</v>
      </c>
      <c r="K477">
        <f>IF(Sales_Data[[#This Row],[Open/Closed]] = "Closed",Sales_Data[[#This Row],[Close Date]]-Sales_Data[[#This Row],[Created Date]],"")</f>
        <v>72</v>
      </c>
      <c r="L477" s="2">
        <f>EOMONTH(Sales_Data[[#This Row],[Created Date]],0)</f>
        <v>44985</v>
      </c>
      <c r="M477" t="b">
        <f>AND(Sales_Data[[#This Row],[EoM Created]]&gt;=Index!$E$5,Sales_Data[[#This Row],[EoM Created]]&lt;=Index!$E$4)</f>
        <v>0</v>
      </c>
      <c r="N477" t="b" cm="1">
        <f t="array" ref="N477">_xlfn.XLOOKUP(Sales_Data[[#This Row],[Sales Team]],_xlfn.ANCHORARRAY(Dashboard!$B$9),Dashboard!$D$9:$D$10,,0)</f>
        <v>1</v>
      </c>
      <c r="O477" t="b" cm="1">
        <f t="array" ref="O477">_xlfn.XLOOKUP(Sales_Data[[#This Row],[Sales Rep]],_xlfn.ANCHORARRAY(Dashboard!$B$13),Dashboard!$D$13:$D$17,,0)</f>
        <v>1</v>
      </c>
      <c r="P477" t="b" cm="1">
        <f t="array" ref="P477">_xlfn.XLOOKUP(Sales_Data[[#This Row],[Stage]],_xlfn.ANCHORARRAY(Dashboard!$B$20),Dashboard!$D$20:$D$25)</f>
        <v>1</v>
      </c>
      <c r="Q477" t="b" cm="1">
        <f t="array" ref="Q477">_xlfn.XLOOKUP(Sales_Data[[#This Row],[Lead Source]],_xlfn.ANCHORARRAY(Dashboard!$B$28),Dashboard!$D$28:$D$32)</f>
        <v>1</v>
      </c>
      <c r="R477">
        <f>Sales_Data[[#This Row],[Date inc]]*Sales_Data[[#This Row],[Team Inc]]*Sales_Data[[#This Row],[Rep Inc]]*Sales_Data[[#This Row],[Stage Inc]]*Sales_Data[[#This Row],[Source Inc]]</f>
        <v>0</v>
      </c>
    </row>
    <row r="478" spans="1:18" x14ac:dyDescent="0.3">
      <c r="A478" t="s">
        <v>485</v>
      </c>
      <c r="B478" s="2">
        <v>45297</v>
      </c>
      <c r="C478" t="s">
        <v>762</v>
      </c>
      <c r="D478" t="s">
        <v>764</v>
      </c>
      <c r="E478" t="s">
        <v>767</v>
      </c>
      <c r="F478" s="5">
        <v>45800</v>
      </c>
      <c r="G478" t="s">
        <v>781</v>
      </c>
      <c r="H478" s="2">
        <v>45371</v>
      </c>
      <c r="I478" t="s">
        <v>777</v>
      </c>
      <c r="J478" t="str">
        <f>IF(Sales_Data[[#This Row],[Close Date]] &lt;&gt; 0,"Closed", "Open")</f>
        <v>Closed</v>
      </c>
      <c r="K478">
        <f>IF(Sales_Data[[#This Row],[Open/Closed]] = "Closed",Sales_Data[[#This Row],[Close Date]]-Sales_Data[[#This Row],[Created Date]],"")</f>
        <v>74</v>
      </c>
      <c r="L478" s="2">
        <f>EOMONTH(Sales_Data[[#This Row],[Created Date]],0)</f>
        <v>45322</v>
      </c>
      <c r="M478" t="b">
        <f>AND(Sales_Data[[#This Row],[EoM Created]]&gt;=Index!$E$5,Sales_Data[[#This Row],[EoM Created]]&lt;=Index!$E$4)</f>
        <v>1</v>
      </c>
      <c r="N478" t="b" cm="1">
        <f t="array" ref="N478">_xlfn.XLOOKUP(Sales_Data[[#This Row],[Sales Team]],_xlfn.ANCHORARRAY(Dashboard!$B$9),Dashboard!$D$9:$D$10,,0)</f>
        <v>1</v>
      </c>
      <c r="O478" t="b" cm="1">
        <f t="array" ref="O478">_xlfn.XLOOKUP(Sales_Data[[#This Row],[Sales Rep]],_xlfn.ANCHORARRAY(Dashboard!$B$13),Dashboard!$D$13:$D$17,,0)</f>
        <v>1</v>
      </c>
      <c r="P478" t="b" cm="1">
        <f t="array" ref="P478">_xlfn.XLOOKUP(Sales_Data[[#This Row],[Stage]],_xlfn.ANCHORARRAY(Dashboard!$B$20),Dashboard!$D$20:$D$25)</f>
        <v>1</v>
      </c>
      <c r="Q478" t="b" cm="1">
        <f t="array" ref="Q478">_xlfn.XLOOKUP(Sales_Data[[#This Row],[Lead Source]],_xlfn.ANCHORARRAY(Dashboard!$B$28),Dashboard!$D$28:$D$32)</f>
        <v>1</v>
      </c>
      <c r="R478">
        <f>Sales_Data[[#This Row],[Date inc]]*Sales_Data[[#This Row],[Team Inc]]*Sales_Data[[#This Row],[Rep Inc]]*Sales_Data[[#This Row],[Stage Inc]]*Sales_Data[[#This Row],[Source Inc]]</f>
        <v>1</v>
      </c>
    </row>
    <row r="479" spans="1:18" x14ac:dyDescent="0.3">
      <c r="A479" t="s">
        <v>486</v>
      </c>
      <c r="B479" s="2">
        <v>45468</v>
      </c>
      <c r="C479" t="s">
        <v>763</v>
      </c>
      <c r="D479" t="s">
        <v>765</v>
      </c>
      <c r="E479" t="s">
        <v>769</v>
      </c>
      <c r="F479" s="5">
        <v>43100</v>
      </c>
      <c r="G479" t="s">
        <v>780</v>
      </c>
      <c r="H479" s="2">
        <v>45542</v>
      </c>
      <c r="J479" t="str">
        <f>IF(Sales_Data[[#This Row],[Close Date]] &lt;&gt; 0,"Closed", "Open")</f>
        <v>Closed</v>
      </c>
      <c r="K479">
        <f>IF(Sales_Data[[#This Row],[Open/Closed]] = "Closed",Sales_Data[[#This Row],[Close Date]]-Sales_Data[[#This Row],[Created Date]],"")</f>
        <v>74</v>
      </c>
      <c r="L479" s="2">
        <f>EOMONTH(Sales_Data[[#This Row],[Created Date]],0)</f>
        <v>45473</v>
      </c>
      <c r="M479" t="b">
        <f>AND(Sales_Data[[#This Row],[EoM Created]]&gt;=Index!$E$5,Sales_Data[[#This Row],[EoM Created]]&lt;=Index!$E$4)</f>
        <v>1</v>
      </c>
      <c r="N479" t="b" cm="1">
        <f t="array" ref="N479">_xlfn.XLOOKUP(Sales_Data[[#This Row],[Sales Team]],_xlfn.ANCHORARRAY(Dashboard!$B$9),Dashboard!$D$9:$D$10,,0)</f>
        <v>1</v>
      </c>
      <c r="O479" t="b" cm="1">
        <f t="array" ref="O479">_xlfn.XLOOKUP(Sales_Data[[#This Row],[Sales Rep]],_xlfn.ANCHORARRAY(Dashboard!$B$13),Dashboard!$D$13:$D$17,,0)</f>
        <v>1</v>
      </c>
      <c r="P479" t="b" cm="1">
        <f t="array" ref="P479">_xlfn.XLOOKUP(Sales_Data[[#This Row],[Stage]],_xlfn.ANCHORARRAY(Dashboard!$B$20),Dashboard!$D$20:$D$25)</f>
        <v>1</v>
      </c>
      <c r="Q479" t="b" cm="1">
        <f t="array" ref="Q479">_xlfn.XLOOKUP(Sales_Data[[#This Row],[Lead Source]],_xlfn.ANCHORARRAY(Dashboard!$B$28),Dashboard!$D$28:$D$32)</f>
        <v>1</v>
      </c>
      <c r="R479">
        <f>Sales_Data[[#This Row],[Date inc]]*Sales_Data[[#This Row],[Team Inc]]*Sales_Data[[#This Row],[Rep Inc]]*Sales_Data[[#This Row],[Stage Inc]]*Sales_Data[[#This Row],[Source Inc]]</f>
        <v>1</v>
      </c>
    </row>
    <row r="480" spans="1:18" x14ac:dyDescent="0.3">
      <c r="A480" t="s">
        <v>487</v>
      </c>
      <c r="B480" s="2">
        <v>45617</v>
      </c>
      <c r="C480" t="s">
        <v>761</v>
      </c>
      <c r="D480" t="s">
        <v>765</v>
      </c>
      <c r="E480" t="s">
        <v>769</v>
      </c>
      <c r="F480" s="5">
        <v>70800</v>
      </c>
      <c r="G480" t="s">
        <v>781</v>
      </c>
      <c r="H480" s="2">
        <v>45679</v>
      </c>
      <c r="I480" t="s">
        <v>778</v>
      </c>
      <c r="J480" t="str">
        <f>IF(Sales_Data[[#This Row],[Close Date]] &lt;&gt; 0,"Closed", "Open")</f>
        <v>Closed</v>
      </c>
      <c r="K480">
        <f>IF(Sales_Data[[#This Row],[Open/Closed]] = "Closed",Sales_Data[[#This Row],[Close Date]]-Sales_Data[[#This Row],[Created Date]],"")</f>
        <v>62</v>
      </c>
      <c r="L480" s="2">
        <f>EOMONTH(Sales_Data[[#This Row],[Created Date]],0)</f>
        <v>45626</v>
      </c>
      <c r="M480" t="b">
        <f>AND(Sales_Data[[#This Row],[EoM Created]]&gt;=Index!$E$5,Sales_Data[[#This Row],[EoM Created]]&lt;=Index!$E$4)</f>
        <v>1</v>
      </c>
      <c r="N480" t="b" cm="1">
        <f t="array" ref="N480">_xlfn.XLOOKUP(Sales_Data[[#This Row],[Sales Team]],_xlfn.ANCHORARRAY(Dashboard!$B$9),Dashboard!$D$9:$D$10,,0)</f>
        <v>1</v>
      </c>
      <c r="O480" t="b" cm="1">
        <f t="array" ref="O480">_xlfn.XLOOKUP(Sales_Data[[#This Row],[Sales Rep]],_xlfn.ANCHORARRAY(Dashboard!$B$13),Dashboard!$D$13:$D$17,,0)</f>
        <v>1</v>
      </c>
      <c r="P480" t="b" cm="1">
        <f t="array" ref="P480">_xlfn.XLOOKUP(Sales_Data[[#This Row],[Stage]],_xlfn.ANCHORARRAY(Dashboard!$B$20),Dashboard!$D$20:$D$25)</f>
        <v>1</v>
      </c>
      <c r="Q480" t="b" cm="1">
        <f t="array" ref="Q480">_xlfn.XLOOKUP(Sales_Data[[#This Row],[Lead Source]],_xlfn.ANCHORARRAY(Dashboard!$B$28),Dashboard!$D$28:$D$32)</f>
        <v>1</v>
      </c>
      <c r="R480">
        <f>Sales_Data[[#This Row],[Date inc]]*Sales_Data[[#This Row],[Team Inc]]*Sales_Data[[#This Row],[Rep Inc]]*Sales_Data[[#This Row],[Stage Inc]]*Sales_Data[[#This Row],[Source Inc]]</f>
        <v>1</v>
      </c>
    </row>
    <row r="481" spans="1:18" x14ac:dyDescent="0.3">
      <c r="A481" t="s">
        <v>488</v>
      </c>
      <c r="B481" s="2">
        <v>45125</v>
      </c>
      <c r="C481" t="s">
        <v>762</v>
      </c>
      <c r="D481" t="s">
        <v>764</v>
      </c>
      <c r="E481" t="s">
        <v>766</v>
      </c>
      <c r="F481" s="5">
        <v>51200</v>
      </c>
      <c r="G481" t="s">
        <v>781</v>
      </c>
      <c r="H481" s="2">
        <v>45198</v>
      </c>
      <c r="I481" t="s">
        <v>776</v>
      </c>
      <c r="J481" t="str">
        <f>IF(Sales_Data[[#This Row],[Close Date]] &lt;&gt; 0,"Closed", "Open")</f>
        <v>Closed</v>
      </c>
      <c r="K481">
        <f>IF(Sales_Data[[#This Row],[Open/Closed]] = "Closed",Sales_Data[[#This Row],[Close Date]]-Sales_Data[[#This Row],[Created Date]],"")</f>
        <v>73</v>
      </c>
      <c r="L481" s="2">
        <f>EOMONTH(Sales_Data[[#This Row],[Created Date]],0)</f>
        <v>45138</v>
      </c>
      <c r="M481" t="b">
        <f>AND(Sales_Data[[#This Row],[EoM Created]]&gt;=Index!$E$5,Sales_Data[[#This Row],[EoM Created]]&lt;=Index!$E$4)</f>
        <v>1</v>
      </c>
      <c r="N481" t="b" cm="1">
        <f t="array" ref="N481">_xlfn.XLOOKUP(Sales_Data[[#This Row],[Sales Team]],_xlfn.ANCHORARRAY(Dashboard!$B$9),Dashboard!$D$9:$D$10,,0)</f>
        <v>1</v>
      </c>
      <c r="O481" t="b" cm="1">
        <f t="array" ref="O481">_xlfn.XLOOKUP(Sales_Data[[#This Row],[Sales Rep]],_xlfn.ANCHORARRAY(Dashboard!$B$13),Dashboard!$D$13:$D$17,,0)</f>
        <v>1</v>
      </c>
      <c r="P481" t="b" cm="1">
        <f t="array" ref="P481">_xlfn.XLOOKUP(Sales_Data[[#This Row],[Stage]],_xlfn.ANCHORARRAY(Dashboard!$B$20),Dashboard!$D$20:$D$25)</f>
        <v>1</v>
      </c>
      <c r="Q481" t="b" cm="1">
        <f t="array" ref="Q481">_xlfn.XLOOKUP(Sales_Data[[#This Row],[Lead Source]],_xlfn.ANCHORARRAY(Dashboard!$B$28),Dashboard!$D$28:$D$32)</f>
        <v>1</v>
      </c>
      <c r="R481">
        <f>Sales_Data[[#This Row],[Date inc]]*Sales_Data[[#This Row],[Team Inc]]*Sales_Data[[#This Row],[Rep Inc]]*Sales_Data[[#This Row],[Stage Inc]]*Sales_Data[[#This Row],[Source Inc]]</f>
        <v>1</v>
      </c>
    </row>
    <row r="482" spans="1:18" x14ac:dyDescent="0.3">
      <c r="A482" t="s">
        <v>489</v>
      </c>
      <c r="B482" s="2">
        <v>45816</v>
      </c>
      <c r="C482" t="s">
        <v>759</v>
      </c>
      <c r="D482" t="s">
        <v>764</v>
      </c>
      <c r="E482" t="s">
        <v>766</v>
      </c>
      <c r="F482" s="5">
        <v>38700</v>
      </c>
      <c r="G482" t="s">
        <v>772</v>
      </c>
      <c r="H482" s="2"/>
      <c r="J482" t="str">
        <f>IF(Sales_Data[[#This Row],[Close Date]] &lt;&gt; 0,"Closed", "Open")</f>
        <v>Open</v>
      </c>
      <c r="K482" t="str">
        <f>IF(Sales_Data[[#This Row],[Open/Closed]] = "Closed",Sales_Data[[#This Row],[Close Date]]-Sales_Data[[#This Row],[Created Date]],"")</f>
        <v/>
      </c>
      <c r="L482" s="2">
        <f>EOMONTH(Sales_Data[[#This Row],[Created Date]],0)</f>
        <v>45838</v>
      </c>
      <c r="M482" t="b">
        <f>AND(Sales_Data[[#This Row],[EoM Created]]&gt;=Index!$E$5,Sales_Data[[#This Row],[EoM Created]]&lt;=Index!$E$4)</f>
        <v>1</v>
      </c>
      <c r="N482" t="b" cm="1">
        <f t="array" ref="N482">_xlfn.XLOOKUP(Sales_Data[[#This Row],[Sales Team]],_xlfn.ANCHORARRAY(Dashboard!$B$9),Dashboard!$D$9:$D$10,,0)</f>
        <v>1</v>
      </c>
      <c r="O482" t="b" cm="1">
        <f t="array" ref="O482">_xlfn.XLOOKUP(Sales_Data[[#This Row],[Sales Rep]],_xlfn.ANCHORARRAY(Dashboard!$B$13),Dashboard!$D$13:$D$17,,0)</f>
        <v>1</v>
      </c>
      <c r="P482" t="b" cm="1">
        <f t="array" ref="P482">_xlfn.XLOOKUP(Sales_Data[[#This Row],[Stage]],_xlfn.ANCHORARRAY(Dashboard!$B$20),Dashboard!$D$20:$D$25)</f>
        <v>1</v>
      </c>
      <c r="Q482" t="b" cm="1">
        <f t="array" ref="Q482">_xlfn.XLOOKUP(Sales_Data[[#This Row],[Lead Source]],_xlfn.ANCHORARRAY(Dashboard!$B$28),Dashboard!$D$28:$D$32)</f>
        <v>1</v>
      </c>
      <c r="R482">
        <f>Sales_Data[[#This Row],[Date inc]]*Sales_Data[[#This Row],[Team Inc]]*Sales_Data[[#This Row],[Rep Inc]]*Sales_Data[[#This Row],[Stage Inc]]*Sales_Data[[#This Row],[Source Inc]]</f>
        <v>1</v>
      </c>
    </row>
    <row r="483" spans="1:18" x14ac:dyDescent="0.3">
      <c r="A483" t="s">
        <v>490</v>
      </c>
      <c r="B483" s="2">
        <v>45634</v>
      </c>
      <c r="C483" t="s">
        <v>759</v>
      </c>
      <c r="D483" t="s">
        <v>764</v>
      </c>
      <c r="E483" t="s">
        <v>766</v>
      </c>
      <c r="F483" s="5">
        <v>30400</v>
      </c>
      <c r="G483" t="s">
        <v>780</v>
      </c>
      <c r="H483" s="2">
        <v>45705</v>
      </c>
      <c r="J483" t="str">
        <f>IF(Sales_Data[[#This Row],[Close Date]] &lt;&gt; 0,"Closed", "Open")</f>
        <v>Closed</v>
      </c>
      <c r="K483">
        <f>IF(Sales_Data[[#This Row],[Open/Closed]] = "Closed",Sales_Data[[#This Row],[Close Date]]-Sales_Data[[#This Row],[Created Date]],"")</f>
        <v>71</v>
      </c>
      <c r="L483" s="2">
        <f>EOMONTH(Sales_Data[[#This Row],[Created Date]],0)</f>
        <v>45657</v>
      </c>
      <c r="M483" t="b">
        <f>AND(Sales_Data[[#This Row],[EoM Created]]&gt;=Index!$E$5,Sales_Data[[#This Row],[EoM Created]]&lt;=Index!$E$4)</f>
        <v>1</v>
      </c>
      <c r="N483" t="b" cm="1">
        <f t="array" ref="N483">_xlfn.XLOOKUP(Sales_Data[[#This Row],[Sales Team]],_xlfn.ANCHORARRAY(Dashboard!$B$9),Dashboard!$D$9:$D$10,,0)</f>
        <v>1</v>
      </c>
      <c r="O483" t="b" cm="1">
        <f t="array" ref="O483">_xlfn.XLOOKUP(Sales_Data[[#This Row],[Sales Rep]],_xlfn.ANCHORARRAY(Dashboard!$B$13),Dashboard!$D$13:$D$17,,0)</f>
        <v>1</v>
      </c>
      <c r="P483" t="b" cm="1">
        <f t="array" ref="P483">_xlfn.XLOOKUP(Sales_Data[[#This Row],[Stage]],_xlfn.ANCHORARRAY(Dashboard!$B$20),Dashboard!$D$20:$D$25)</f>
        <v>1</v>
      </c>
      <c r="Q483" t="b" cm="1">
        <f t="array" ref="Q483">_xlfn.XLOOKUP(Sales_Data[[#This Row],[Lead Source]],_xlfn.ANCHORARRAY(Dashboard!$B$28),Dashboard!$D$28:$D$32)</f>
        <v>1</v>
      </c>
      <c r="R483">
        <f>Sales_Data[[#This Row],[Date inc]]*Sales_Data[[#This Row],[Team Inc]]*Sales_Data[[#This Row],[Rep Inc]]*Sales_Data[[#This Row],[Stage Inc]]*Sales_Data[[#This Row],[Source Inc]]</f>
        <v>1</v>
      </c>
    </row>
    <row r="484" spans="1:18" x14ac:dyDescent="0.3">
      <c r="A484" t="s">
        <v>491</v>
      </c>
      <c r="B484" s="2">
        <v>45755</v>
      </c>
      <c r="C484" t="s">
        <v>762</v>
      </c>
      <c r="D484" t="s">
        <v>764</v>
      </c>
      <c r="E484" t="s">
        <v>767</v>
      </c>
      <c r="F484" s="5">
        <v>23900</v>
      </c>
      <c r="G484" t="s">
        <v>772</v>
      </c>
      <c r="H484" s="2"/>
      <c r="J484" t="str">
        <f>IF(Sales_Data[[#This Row],[Close Date]] &lt;&gt; 0,"Closed", "Open")</f>
        <v>Open</v>
      </c>
      <c r="K484" t="str">
        <f>IF(Sales_Data[[#This Row],[Open/Closed]] = "Closed",Sales_Data[[#This Row],[Close Date]]-Sales_Data[[#This Row],[Created Date]],"")</f>
        <v/>
      </c>
      <c r="L484" s="2">
        <f>EOMONTH(Sales_Data[[#This Row],[Created Date]],0)</f>
        <v>45777</v>
      </c>
      <c r="M484" t="b">
        <f>AND(Sales_Data[[#This Row],[EoM Created]]&gt;=Index!$E$5,Sales_Data[[#This Row],[EoM Created]]&lt;=Index!$E$4)</f>
        <v>1</v>
      </c>
      <c r="N484" t="b" cm="1">
        <f t="array" ref="N484">_xlfn.XLOOKUP(Sales_Data[[#This Row],[Sales Team]],_xlfn.ANCHORARRAY(Dashboard!$B$9),Dashboard!$D$9:$D$10,,0)</f>
        <v>1</v>
      </c>
      <c r="O484" t="b" cm="1">
        <f t="array" ref="O484">_xlfn.XLOOKUP(Sales_Data[[#This Row],[Sales Rep]],_xlfn.ANCHORARRAY(Dashboard!$B$13),Dashboard!$D$13:$D$17,,0)</f>
        <v>1</v>
      </c>
      <c r="P484" t="b" cm="1">
        <f t="array" ref="P484">_xlfn.XLOOKUP(Sales_Data[[#This Row],[Stage]],_xlfn.ANCHORARRAY(Dashboard!$B$20),Dashboard!$D$20:$D$25)</f>
        <v>1</v>
      </c>
      <c r="Q484" t="b" cm="1">
        <f t="array" ref="Q484">_xlfn.XLOOKUP(Sales_Data[[#This Row],[Lead Source]],_xlfn.ANCHORARRAY(Dashboard!$B$28),Dashboard!$D$28:$D$32)</f>
        <v>1</v>
      </c>
      <c r="R484">
        <f>Sales_Data[[#This Row],[Date inc]]*Sales_Data[[#This Row],[Team Inc]]*Sales_Data[[#This Row],[Rep Inc]]*Sales_Data[[#This Row],[Stage Inc]]*Sales_Data[[#This Row],[Source Inc]]</f>
        <v>1</v>
      </c>
    </row>
    <row r="485" spans="1:18" x14ac:dyDescent="0.3">
      <c r="A485" t="s">
        <v>492</v>
      </c>
      <c r="B485" s="2">
        <v>45338</v>
      </c>
      <c r="C485" t="s">
        <v>761</v>
      </c>
      <c r="D485" t="s">
        <v>765</v>
      </c>
      <c r="E485" t="s">
        <v>769</v>
      </c>
      <c r="F485" s="5">
        <v>42000</v>
      </c>
      <c r="G485" t="s">
        <v>781</v>
      </c>
      <c r="H485" s="2">
        <v>45398</v>
      </c>
      <c r="I485" t="s">
        <v>779</v>
      </c>
      <c r="J485" t="str">
        <f>IF(Sales_Data[[#This Row],[Close Date]] &lt;&gt; 0,"Closed", "Open")</f>
        <v>Closed</v>
      </c>
      <c r="K485">
        <f>IF(Sales_Data[[#This Row],[Open/Closed]] = "Closed",Sales_Data[[#This Row],[Close Date]]-Sales_Data[[#This Row],[Created Date]],"")</f>
        <v>60</v>
      </c>
      <c r="L485" s="2">
        <f>EOMONTH(Sales_Data[[#This Row],[Created Date]],0)</f>
        <v>45351</v>
      </c>
      <c r="M485" t="b">
        <f>AND(Sales_Data[[#This Row],[EoM Created]]&gt;=Index!$E$5,Sales_Data[[#This Row],[EoM Created]]&lt;=Index!$E$4)</f>
        <v>1</v>
      </c>
      <c r="N485" t="b" cm="1">
        <f t="array" ref="N485">_xlfn.XLOOKUP(Sales_Data[[#This Row],[Sales Team]],_xlfn.ANCHORARRAY(Dashboard!$B$9),Dashboard!$D$9:$D$10,,0)</f>
        <v>1</v>
      </c>
      <c r="O485" t="b" cm="1">
        <f t="array" ref="O485">_xlfn.XLOOKUP(Sales_Data[[#This Row],[Sales Rep]],_xlfn.ANCHORARRAY(Dashboard!$B$13),Dashboard!$D$13:$D$17,,0)</f>
        <v>1</v>
      </c>
      <c r="P485" t="b" cm="1">
        <f t="array" ref="P485">_xlfn.XLOOKUP(Sales_Data[[#This Row],[Stage]],_xlfn.ANCHORARRAY(Dashboard!$B$20),Dashboard!$D$20:$D$25)</f>
        <v>1</v>
      </c>
      <c r="Q485" t="b" cm="1">
        <f t="array" ref="Q485">_xlfn.XLOOKUP(Sales_Data[[#This Row],[Lead Source]],_xlfn.ANCHORARRAY(Dashboard!$B$28),Dashboard!$D$28:$D$32)</f>
        <v>1</v>
      </c>
      <c r="R485">
        <f>Sales_Data[[#This Row],[Date inc]]*Sales_Data[[#This Row],[Team Inc]]*Sales_Data[[#This Row],[Rep Inc]]*Sales_Data[[#This Row],[Stage Inc]]*Sales_Data[[#This Row],[Source Inc]]</f>
        <v>1</v>
      </c>
    </row>
    <row r="486" spans="1:18" x14ac:dyDescent="0.3">
      <c r="A486" t="s">
        <v>493</v>
      </c>
      <c r="B486" s="2">
        <v>45480</v>
      </c>
      <c r="C486" t="s">
        <v>763</v>
      </c>
      <c r="D486" t="s">
        <v>765</v>
      </c>
      <c r="E486" t="s">
        <v>768</v>
      </c>
      <c r="F486" s="5">
        <v>32400</v>
      </c>
      <c r="G486" t="s">
        <v>780</v>
      </c>
      <c r="H486" s="2">
        <v>45570</v>
      </c>
      <c r="J486" t="str">
        <f>IF(Sales_Data[[#This Row],[Close Date]] &lt;&gt; 0,"Closed", "Open")</f>
        <v>Closed</v>
      </c>
      <c r="K486">
        <f>IF(Sales_Data[[#This Row],[Open/Closed]] = "Closed",Sales_Data[[#This Row],[Close Date]]-Sales_Data[[#This Row],[Created Date]],"")</f>
        <v>90</v>
      </c>
      <c r="L486" s="2">
        <f>EOMONTH(Sales_Data[[#This Row],[Created Date]],0)</f>
        <v>45504</v>
      </c>
      <c r="M486" t="b">
        <f>AND(Sales_Data[[#This Row],[EoM Created]]&gt;=Index!$E$5,Sales_Data[[#This Row],[EoM Created]]&lt;=Index!$E$4)</f>
        <v>1</v>
      </c>
      <c r="N486" t="b" cm="1">
        <f t="array" ref="N486">_xlfn.XLOOKUP(Sales_Data[[#This Row],[Sales Team]],_xlfn.ANCHORARRAY(Dashboard!$B$9),Dashboard!$D$9:$D$10,,0)</f>
        <v>1</v>
      </c>
      <c r="O486" t="b" cm="1">
        <f t="array" ref="O486">_xlfn.XLOOKUP(Sales_Data[[#This Row],[Sales Rep]],_xlfn.ANCHORARRAY(Dashboard!$B$13),Dashboard!$D$13:$D$17,,0)</f>
        <v>1</v>
      </c>
      <c r="P486" t="b" cm="1">
        <f t="array" ref="P486">_xlfn.XLOOKUP(Sales_Data[[#This Row],[Stage]],_xlfn.ANCHORARRAY(Dashboard!$B$20),Dashboard!$D$20:$D$25)</f>
        <v>1</v>
      </c>
      <c r="Q486" t="b" cm="1">
        <f t="array" ref="Q486">_xlfn.XLOOKUP(Sales_Data[[#This Row],[Lead Source]],_xlfn.ANCHORARRAY(Dashboard!$B$28),Dashboard!$D$28:$D$32)</f>
        <v>1</v>
      </c>
      <c r="R486">
        <f>Sales_Data[[#This Row],[Date inc]]*Sales_Data[[#This Row],[Team Inc]]*Sales_Data[[#This Row],[Rep Inc]]*Sales_Data[[#This Row],[Stage Inc]]*Sales_Data[[#This Row],[Source Inc]]</f>
        <v>1</v>
      </c>
    </row>
    <row r="487" spans="1:18" x14ac:dyDescent="0.3">
      <c r="A487" t="s">
        <v>494</v>
      </c>
      <c r="B487" s="2">
        <v>45780</v>
      </c>
      <c r="C487" t="s">
        <v>760</v>
      </c>
      <c r="D487" t="s">
        <v>764</v>
      </c>
      <c r="E487" t="s">
        <v>767</v>
      </c>
      <c r="F487" s="5">
        <v>25800</v>
      </c>
      <c r="G487" t="s">
        <v>771</v>
      </c>
      <c r="H487" s="2"/>
      <c r="J487" t="str">
        <f>IF(Sales_Data[[#This Row],[Close Date]] &lt;&gt; 0,"Closed", "Open")</f>
        <v>Open</v>
      </c>
      <c r="K487" t="str">
        <f>IF(Sales_Data[[#This Row],[Open/Closed]] = "Closed",Sales_Data[[#This Row],[Close Date]]-Sales_Data[[#This Row],[Created Date]],"")</f>
        <v/>
      </c>
      <c r="L487" s="2">
        <f>EOMONTH(Sales_Data[[#This Row],[Created Date]],0)</f>
        <v>45808</v>
      </c>
      <c r="M487" t="b">
        <f>AND(Sales_Data[[#This Row],[EoM Created]]&gt;=Index!$E$5,Sales_Data[[#This Row],[EoM Created]]&lt;=Index!$E$4)</f>
        <v>1</v>
      </c>
      <c r="N487" t="b" cm="1">
        <f t="array" ref="N487">_xlfn.XLOOKUP(Sales_Data[[#This Row],[Sales Team]],_xlfn.ANCHORARRAY(Dashboard!$B$9),Dashboard!$D$9:$D$10,,0)</f>
        <v>1</v>
      </c>
      <c r="O487" t="b" cm="1">
        <f t="array" ref="O487">_xlfn.XLOOKUP(Sales_Data[[#This Row],[Sales Rep]],_xlfn.ANCHORARRAY(Dashboard!$B$13),Dashboard!$D$13:$D$17,,0)</f>
        <v>1</v>
      </c>
      <c r="P487" t="b" cm="1">
        <f t="array" ref="P487">_xlfn.XLOOKUP(Sales_Data[[#This Row],[Stage]],_xlfn.ANCHORARRAY(Dashboard!$B$20),Dashboard!$D$20:$D$25)</f>
        <v>1</v>
      </c>
      <c r="Q487" t="b" cm="1">
        <f t="array" ref="Q487">_xlfn.XLOOKUP(Sales_Data[[#This Row],[Lead Source]],_xlfn.ANCHORARRAY(Dashboard!$B$28),Dashboard!$D$28:$D$32)</f>
        <v>1</v>
      </c>
      <c r="R487">
        <f>Sales_Data[[#This Row],[Date inc]]*Sales_Data[[#This Row],[Team Inc]]*Sales_Data[[#This Row],[Rep Inc]]*Sales_Data[[#This Row],[Stage Inc]]*Sales_Data[[#This Row],[Source Inc]]</f>
        <v>1</v>
      </c>
    </row>
    <row r="488" spans="1:18" x14ac:dyDescent="0.3">
      <c r="A488" t="s">
        <v>495</v>
      </c>
      <c r="B488" s="2">
        <v>45611</v>
      </c>
      <c r="C488" t="s">
        <v>759</v>
      </c>
      <c r="D488" t="s">
        <v>764</v>
      </c>
      <c r="E488" t="s">
        <v>767</v>
      </c>
      <c r="F488" s="5">
        <v>33500</v>
      </c>
      <c r="G488" t="s">
        <v>781</v>
      </c>
      <c r="H488" s="2">
        <v>45693</v>
      </c>
      <c r="I488" t="s">
        <v>776</v>
      </c>
      <c r="J488" t="str">
        <f>IF(Sales_Data[[#This Row],[Close Date]] &lt;&gt; 0,"Closed", "Open")</f>
        <v>Closed</v>
      </c>
      <c r="K488">
        <f>IF(Sales_Data[[#This Row],[Open/Closed]] = "Closed",Sales_Data[[#This Row],[Close Date]]-Sales_Data[[#This Row],[Created Date]],"")</f>
        <v>82</v>
      </c>
      <c r="L488" s="2">
        <f>EOMONTH(Sales_Data[[#This Row],[Created Date]],0)</f>
        <v>45626</v>
      </c>
      <c r="M488" t="b">
        <f>AND(Sales_Data[[#This Row],[EoM Created]]&gt;=Index!$E$5,Sales_Data[[#This Row],[EoM Created]]&lt;=Index!$E$4)</f>
        <v>1</v>
      </c>
      <c r="N488" t="b" cm="1">
        <f t="array" ref="N488">_xlfn.XLOOKUP(Sales_Data[[#This Row],[Sales Team]],_xlfn.ANCHORARRAY(Dashboard!$B$9),Dashboard!$D$9:$D$10,,0)</f>
        <v>1</v>
      </c>
      <c r="O488" t="b" cm="1">
        <f t="array" ref="O488">_xlfn.XLOOKUP(Sales_Data[[#This Row],[Sales Rep]],_xlfn.ANCHORARRAY(Dashboard!$B$13),Dashboard!$D$13:$D$17,,0)</f>
        <v>1</v>
      </c>
      <c r="P488" t="b" cm="1">
        <f t="array" ref="P488">_xlfn.XLOOKUP(Sales_Data[[#This Row],[Stage]],_xlfn.ANCHORARRAY(Dashboard!$B$20),Dashboard!$D$20:$D$25)</f>
        <v>1</v>
      </c>
      <c r="Q488" t="b" cm="1">
        <f t="array" ref="Q488">_xlfn.XLOOKUP(Sales_Data[[#This Row],[Lead Source]],_xlfn.ANCHORARRAY(Dashboard!$B$28),Dashboard!$D$28:$D$32)</f>
        <v>1</v>
      </c>
      <c r="R488">
        <f>Sales_Data[[#This Row],[Date inc]]*Sales_Data[[#This Row],[Team Inc]]*Sales_Data[[#This Row],[Rep Inc]]*Sales_Data[[#This Row],[Stage Inc]]*Sales_Data[[#This Row],[Source Inc]]</f>
        <v>1</v>
      </c>
    </row>
    <row r="489" spans="1:18" x14ac:dyDescent="0.3">
      <c r="A489" t="s">
        <v>496</v>
      </c>
      <c r="B489" s="2">
        <v>45698</v>
      </c>
      <c r="C489" t="s">
        <v>759</v>
      </c>
      <c r="D489" t="s">
        <v>764</v>
      </c>
      <c r="E489" t="s">
        <v>766</v>
      </c>
      <c r="F489" s="5">
        <v>29200</v>
      </c>
      <c r="G489" t="s">
        <v>781</v>
      </c>
      <c r="H489" s="2">
        <v>45784</v>
      </c>
      <c r="I489" t="s">
        <v>777</v>
      </c>
      <c r="J489" t="str">
        <f>IF(Sales_Data[[#This Row],[Close Date]] &lt;&gt; 0,"Closed", "Open")</f>
        <v>Closed</v>
      </c>
      <c r="K489">
        <f>IF(Sales_Data[[#This Row],[Open/Closed]] = "Closed",Sales_Data[[#This Row],[Close Date]]-Sales_Data[[#This Row],[Created Date]],"")</f>
        <v>86</v>
      </c>
      <c r="L489" s="2">
        <f>EOMONTH(Sales_Data[[#This Row],[Created Date]],0)</f>
        <v>45716</v>
      </c>
      <c r="M489" t="b">
        <f>AND(Sales_Data[[#This Row],[EoM Created]]&gt;=Index!$E$5,Sales_Data[[#This Row],[EoM Created]]&lt;=Index!$E$4)</f>
        <v>1</v>
      </c>
      <c r="N489" t="b" cm="1">
        <f t="array" ref="N489">_xlfn.XLOOKUP(Sales_Data[[#This Row],[Sales Team]],_xlfn.ANCHORARRAY(Dashboard!$B$9),Dashboard!$D$9:$D$10,,0)</f>
        <v>1</v>
      </c>
      <c r="O489" t="b" cm="1">
        <f t="array" ref="O489">_xlfn.XLOOKUP(Sales_Data[[#This Row],[Sales Rep]],_xlfn.ANCHORARRAY(Dashboard!$B$13),Dashboard!$D$13:$D$17,,0)</f>
        <v>1</v>
      </c>
      <c r="P489" t="b" cm="1">
        <f t="array" ref="P489">_xlfn.XLOOKUP(Sales_Data[[#This Row],[Stage]],_xlfn.ANCHORARRAY(Dashboard!$B$20),Dashboard!$D$20:$D$25)</f>
        <v>1</v>
      </c>
      <c r="Q489" t="b" cm="1">
        <f t="array" ref="Q489">_xlfn.XLOOKUP(Sales_Data[[#This Row],[Lead Source]],_xlfn.ANCHORARRAY(Dashboard!$B$28),Dashboard!$D$28:$D$32)</f>
        <v>1</v>
      </c>
      <c r="R489">
        <f>Sales_Data[[#This Row],[Date inc]]*Sales_Data[[#This Row],[Team Inc]]*Sales_Data[[#This Row],[Rep Inc]]*Sales_Data[[#This Row],[Stage Inc]]*Sales_Data[[#This Row],[Source Inc]]</f>
        <v>1</v>
      </c>
    </row>
    <row r="490" spans="1:18" x14ac:dyDescent="0.3">
      <c r="A490" t="s">
        <v>497</v>
      </c>
      <c r="B490" s="2">
        <v>45013</v>
      </c>
      <c r="C490" t="s">
        <v>761</v>
      </c>
      <c r="D490" t="s">
        <v>765</v>
      </c>
      <c r="E490" t="s">
        <v>768</v>
      </c>
      <c r="F490" s="5">
        <v>56900</v>
      </c>
      <c r="G490" t="s">
        <v>781</v>
      </c>
      <c r="H490" s="2">
        <v>45102</v>
      </c>
      <c r="I490" t="s">
        <v>775</v>
      </c>
      <c r="J490" t="str">
        <f>IF(Sales_Data[[#This Row],[Close Date]] &lt;&gt; 0,"Closed", "Open")</f>
        <v>Closed</v>
      </c>
      <c r="K490">
        <f>IF(Sales_Data[[#This Row],[Open/Closed]] = "Closed",Sales_Data[[#This Row],[Close Date]]-Sales_Data[[#This Row],[Created Date]],"")</f>
        <v>89</v>
      </c>
      <c r="L490" s="2">
        <f>EOMONTH(Sales_Data[[#This Row],[Created Date]],0)</f>
        <v>45016</v>
      </c>
      <c r="M490" t="b">
        <f>AND(Sales_Data[[#This Row],[EoM Created]]&gt;=Index!$E$5,Sales_Data[[#This Row],[EoM Created]]&lt;=Index!$E$4)</f>
        <v>0</v>
      </c>
      <c r="N490" t="b" cm="1">
        <f t="array" ref="N490">_xlfn.XLOOKUP(Sales_Data[[#This Row],[Sales Team]],_xlfn.ANCHORARRAY(Dashboard!$B$9),Dashboard!$D$9:$D$10,,0)</f>
        <v>1</v>
      </c>
      <c r="O490" t="b" cm="1">
        <f t="array" ref="O490">_xlfn.XLOOKUP(Sales_Data[[#This Row],[Sales Rep]],_xlfn.ANCHORARRAY(Dashboard!$B$13),Dashboard!$D$13:$D$17,,0)</f>
        <v>1</v>
      </c>
      <c r="P490" t="b" cm="1">
        <f t="array" ref="P490">_xlfn.XLOOKUP(Sales_Data[[#This Row],[Stage]],_xlfn.ANCHORARRAY(Dashboard!$B$20),Dashboard!$D$20:$D$25)</f>
        <v>1</v>
      </c>
      <c r="Q490" t="b" cm="1">
        <f t="array" ref="Q490">_xlfn.XLOOKUP(Sales_Data[[#This Row],[Lead Source]],_xlfn.ANCHORARRAY(Dashboard!$B$28),Dashboard!$D$28:$D$32)</f>
        <v>1</v>
      </c>
      <c r="R490">
        <f>Sales_Data[[#This Row],[Date inc]]*Sales_Data[[#This Row],[Team Inc]]*Sales_Data[[#This Row],[Rep Inc]]*Sales_Data[[#This Row],[Stage Inc]]*Sales_Data[[#This Row],[Source Inc]]</f>
        <v>0</v>
      </c>
    </row>
    <row r="491" spans="1:18" x14ac:dyDescent="0.3">
      <c r="A491" t="s">
        <v>498</v>
      </c>
      <c r="B491" s="2">
        <v>45111</v>
      </c>
      <c r="C491" t="s">
        <v>761</v>
      </c>
      <c r="D491" t="s">
        <v>765</v>
      </c>
      <c r="E491" t="s">
        <v>769</v>
      </c>
      <c r="F491" s="5">
        <v>48800</v>
      </c>
      <c r="G491" t="s">
        <v>781</v>
      </c>
      <c r="H491" s="2">
        <v>45186</v>
      </c>
      <c r="I491" t="s">
        <v>778</v>
      </c>
      <c r="J491" t="str">
        <f>IF(Sales_Data[[#This Row],[Close Date]] &lt;&gt; 0,"Closed", "Open")</f>
        <v>Closed</v>
      </c>
      <c r="K491">
        <f>IF(Sales_Data[[#This Row],[Open/Closed]] = "Closed",Sales_Data[[#This Row],[Close Date]]-Sales_Data[[#This Row],[Created Date]],"")</f>
        <v>75</v>
      </c>
      <c r="L491" s="2">
        <f>EOMONTH(Sales_Data[[#This Row],[Created Date]],0)</f>
        <v>45138</v>
      </c>
      <c r="M491" t="b">
        <f>AND(Sales_Data[[#This Row],[EoM Created]]&gt;=Index!$E$5,Sales_Data[[#This Row],[EoM Created]]&lt;=Index!$E$4)</f>
        <v>1</v>
      </c>
      <c r="N491" t="b" cm="1">
        <f t="array" ref="N491">_xlfn.XLOOKUP(Sales_Data[[#This Row],[Sales Team]],_xlfn.ANCHORARRAY(Dashboard!$B$9),Dashboard!$D$9:$D$10,,0)</f>
        <v>1</v>
      </c>
      <c r="O491" t="b" cm="1">
        <f t="array" ref="O491">_xlfn.XLOOKUP(Sales_Data[[#This Row],[Sales Rep]],_xlfn.ANCHORARRAY(Dashboard!$B$13),Dashboard!$D$13:$D$17,,0)</f>
        <v>1</v>
      </c>
      <c r="P491" t="b" cm="1">
        <f t="array" ref="P491">_xlfn.XLOOKUP(Sales_Data[[#This Row],[Stage]],_xlfn.ANCHORARRAY(Dashboard!$B$20),Dashboard!$D$20:$D$25)</f>
        <v>1</v>
      </c>
      <c r="Q491" t="b" cm="1">
        <f t="array" ref="Q491">_xlfn.XLOOKUP(Sales_Data[[#This Row],[Lead Source]],_xlfn.ANCHORARRAY(Dashboard!$B$28),Dashboard!$D$28:$D$32)</f>
        <v>1</v>
      </c>
      <c r="R491">
        <f>Sales_Data[[#This Row],[Date inc]]*Sales_Data[[#This Row],[Team Inc]]*Sales_Data[[#This Row],[Rep Inc]]*Sales_Data[[#This Row],[Stage Inc]]*Sales_Data[[#This Row],[Source Inc]]</f>
        <v>1</v>
      </c>
    </row>
    <row r="492" spans="1:18" x14ac:dyDescent="0.3">
      <c r="A492" t="s">
        <v>499</v>
      </c>
      <c r="B492" s="2">
        <v>45271</v>
      </c>
      <c r="C492" t="s">
        <v>761</v>
      </c>
      <c r="D492" t="s">
        <v>765</v>
      </c>
      <c r="E492" t="s">
        <v>769</v>
      </c>
      <c r="F492" s="5">
        <v>39900</v>
      </c>
      <c r="G492" t="s">
        <v>781</v>
      </c>
      <c r="H492" s="2">
        <v>45358</v>
      </c>
      <c r="I492" t="s">
        <v>779</v>
      </c>
      <c r="J492" t="str">
        <f>IF(Sales_Data[[#This Row],[Close Date]] &lt;&gt; 0,"Closed", "Open")</f>
        <v>Closed</v>
      </c>
      <c r="K492">
        <f>IF(Sales_Data[[#This Row],[Open/Closed]] = "Closed",Sales_Data[[#This Row],[Close Date]]-Sales_Data[[#This Row],[Created Date]],"")</f>
        <v>87</v>
      </c>
      <c r="L492" s="2">
        <f>EOMONTH(Sales_Data[[#This Row],[Created Date]],0)</f>
        <v>45291</v>
      </c>
      <c r="M492" t="b">
        <f>AND(Sales_Data[[#This Row],[EoM Created]]&gt;=Index!$E$5,Sales_Data[[#This Row],[EoM Created]]&lt;=Index!$E$4)</f>
        <v>1</v>
      </c>
      <c r="N492" t="b" cm="1">
        <f t="array" ref="N492">_xlfn.XLOOKUP(Sales_Data[[#This Row],[Sales Team]],_xlfn.ANCHORARRAY(Dashboard!$B$9),Dashboard!$D$9:$D$10,,0)</f>
        <v>1</v>
      </c>
      <c r="O492" t="b" cm="1">
        <f t="array" ref="O492">_xlfn.XLOOKUP(Sales_Data[[#This Row],[Sales Rep]],_xlfn.ANCHORARRAY(Dashboard!$B$13),Dashboard!$D$13:$D$17,,0)</f>
        <v>1</v>
      </c>
      <c r="P492" t="b" cm="1">
        <f t="array" ref="P492">_xlfn.XLOOKUP(Sales_Data[[#This Row],[Stage]],_xlfn.ANCHORARRAY(Dashboard!$B$20),Dashboard!$D$20:$D$25)</f>
        <v>1</v>
      </c>
      <c r="Q492" t="b" cm="1">
        <f t="array" ref="Q492">_xlfn.XLOOKUP(Sales_Data[[#This Row],[Lead Source]],_xlfn.ANCHORARRAY(Dashboard!$B$28),Dashboard!$D$28:$D$32)</f>
        <v>1</v>
      </c>
      <c r="R492">
        <f>Sales_Data[[#This Row],[Date inc]]*Sales_Data[[#This Row],[Team Inc]]*Sales_Data[[#This Row],[Rep Inc]]*Sales_Data[[#This Row],[Stage Inc]]*Sales_Data[[#This Row],[Source Inc]]</f>
        <v>1</v>
      </c>
    </row>
    <row r="493" spans="1:18" x14ac:dyDescent="0.3">
      <c r="A493" t="s">
        <v>500</v>
      </c>
      <c r="B493" s="2">
        <v>45158</v>
      </c>
      <c r="C493" t="s">
        <v>761</v>
      </c>
      <c r="D493" t="s">
        <v>765</v>
      </c>
      <c r="E493" t="s">
        <v>768</v>
      </c>
      <c r="F493" s="5">
        <v>54800</v>
      </c>
      <c r="G493" t="s">
        <v>781</v>
      </c>
      <c r="H493" s="2">
        <v>45224</v>
      </c>
      <c r="I493" t="s">
        <v>779</v>
      </c>
      <c r="J493" t="str">
        <f>IF(Sales_Data[[#This Row],[Close Date]] &lt;&gt; 0,"Closed", "Open")</f>
        <v>Closed</v>
      </c>
      <c r="K493">
        <f>IF(Sales_Data[[#This Row],[Open/Closed]] = "Closed",Sales_Data[[#This Row],[Close Date]]-Sales_Data[[#This Row],[Created Date]],"")</f>
        <v>66</v>
      </c>
      <c r="L493" s="2">
        <f>EOMONTH(Sales_Data[[#This Row],[Created Date]],0)</f>
        <v>45169</v>
      </c>
      <c r="M493" t="b">
        <f>AND(Sales_Data[[#This Row],[EoM Created]]&gt;=Index!$E$5,Sales_Data[[#This Row],[EoM Created]]&lt;=Index!$E$4)</f>
        <v>1</v>
      </c>
      <c r="N493" t="b" cm="1">
        <f t="array" ref="N493">_xlfn.XLOOKUP(Sales_Data[[#This Row],[Sales Team]],_xlfn.ANCHORARRAY(Dashboard!$B$9),Dashboard!$D$9:$D$10,,0)</f>
        <v>1</v>
      </c>
      <c r="O493" t="b" cm="1">
        <f t="array" ref="O493">_xlfn.XLOOKUP(Sales_Data[[#This Row],[Sales Rep]],_xlfn.ANCHORARRAY(Dashboard!$B$13),Dashboard!$D$13:$D$17,,0)</f>
        <v>1</v>
      </c>
      <c r="P493" t="b" cm="1">
        <f t="array" ref="P493">_xlfn.XLOOKUP(Sales_Data[[#This Row],[Stage]],_xlfn.ANCHORARRAY(Dashboard!$B$20),Dashboard!$D$20:$D$25)</f>
        <v>1</v>
      </c>
      <c r="Q493" t="b" cm="1">
        <f t="array" ref="Q493">_xlfn.XLOOKUP(Sales_Data[[#This Row],[Lead Source]],_xlfn.ANCHORARRAY(Dashboard!$B$28),Dashboard!$D$28:$D$32)</f>
        <v>1</v>
      </c>
      <c r="R493">
        <f>Sales_Data[[#This Row],[Date inc]]*Sales_Data[[#This Row],[Team Inc]]*Sales_Data[[#This Row],[Rep Inc]]*Sales_Data[[#This Row],[Stage Inc]]*Sales_Data[[#This Row],[Source Inc]]</f>
        <v>1</v>
      </c>
    </row>
    <row r="494" spans="1:18" x14ac:dyDescent="0.3">
      <c r="A494" t="s">
        <v>501</v>
      </c>
      <c r="B494" s="2">
        <v>45249</v>
      </c>
      <c r="C494" t="s">
        <v>761</v>
      </c>
      <c r="D494" t="s">
        <v>765</v>
      </c>
      <c r="E494" t="s">
        <v>769</v>
      </c>
      <c r="F494" s="5">
        <v>40800</v>
      </c>
      <c r="G494" t="s">
        <v>781</v>
      </c>
      <c r="H494" s="2">
        <v>45329</v>
      </c>
      <c r="I494" t="s">
        <v>777</v>
      </c>
      <c r="J494" t="str">
        <f>IF(Sales_Data[[#This Row],[Close Date]] &lt;&gt; 0,"Closed", "Open")</f>
        <v>Closed</v>
      </c>
      <c r="K494">
        <f>IF(Sales_Data[[#This Row],[Open/Closed]] = "Closed",Sales_Data[[#This Row],[Close Date]]-Sales_Data[[#This Row],[Created Date]],"")</f>
        <v>80</v>
      </c>
      <c r="L494" s="2">
        <f>EOMONTH(Sales_Data[[#This Row],[Created Date]],0)</f>
        <v>45260</v>
      </c>
      <c r="M494" t="b">
        <f>AND(Sales_Data[[#This Row],[EoM Created]]&gt;=Index!$E$5,Sales_Data[[#This Row],[EoM Created]]&lt;=Index!$E$4)</f>
        <v>1</v>
      </c>
      <c r="N494" t="b" cm="1">
        <f t="array" ref="N494">_xlfn.XLOOKUP(Sales_Data[[#This Row],[Sales Team]],_xlfn.ANCHORARRAY(Dashboard!$B$9),Dashboard!$D$9:$D$10,,0)</f>
        <v>1</v>
      </c>
      <c r="O494" t="b" cm="1">
        <f t="array" ref="O494">_xlfn.XLOOKUP(Sales_Data[[#This Row],[Sales Rep]],_xlfn.ANCHORARRAY(Dashboard!$B$13),Dashboard!$D$13:$D$17,,0)</f>
        <v>1</v>
      </c>
      <c r="P494" t="b" cm="1">
        <f t="array" ref="P494">_xlfn.XLOOKUP(Sales_Data[[#This Row],[Stage]],_xlfn.ANCHORARRAY(Dashboard!$B$20),Dashboard!$D$20:$D$25)</f>
        <v>1</v>
      </c>
      <c r="Q494" t="b" cm="1">
        <f t="array" ref="Q494">_xlfn.XLOOKUP(Sales_Data[[#This Row],[Lead Source]],_xlfn.ANCHORARRAY(Dashboard!$B$28),Dashboard!$D$28:$D$32)</f>
        <v>1</v>
      </c>
      <c r="R494">
        <f>Sales_Data[[#This Row],[Date inc]]*Sales_Data[[#This Row],[Team Inc]]*Sales_Data[[#This Row],[Rep Inc]]*Sales_Data[[#This Row],[Stage Inc]]*Sales_Data[[#This Row],[Source Inc]]</f>
        <v>1</v>
      </c>
    </row>
    <row r="495" spans="1:18" x14ac:dyDescent="0.3">
      <c r="A495" t="s">
        <v>502</v>
      </c>
      <c r="B495" s="2">
        <v>45504</v>
      </c>
      <c r="C495" t="s">
        <v>763</v>
      </c>
      <c r="D495" t="s">
        <v>765</v>
      </c>
      <c r="E495" t="s">
        <v>770</v>
      </c>
      <c r="F495" s="5">
        <v>31400</v>
      </c>
      <c r="G495" t="s">
        <v>780</v>
      </c>
      <c r="H495" s="2">
        <v>45577</v>
      </c>
      <c r="J495" t="str">
        <f>IF(Sales_Data[[#This Row],[Close Date]] &lt;&gt; 0,"Closed", "Open")</f>
        <v>Closed</v>
      </c>
      <c r="K495">
        <f>IF(Sales_Data[[#This Row],[Open/Closed]] = "Closed",Sales_Data[[#This Row],[Close Date]]-Sales_Data[[#This Row],[Created Date]],"")</f>
        <v>73</v>
      </c>
      <c r="L495" s="2">
        <f>EOMONTH(Sales_Data[[#This Row],[Created Date]],0)</f>
        <v>45504</v>
      </c>
      <c r="M495" t="b">
        <f>AND(Sales_Data[[#This Row],[EoM Created]]&gt;=Index!$E$5,Sales_Data[[#This Row],[EoM Created]]&lt;=Index!$E$4)</f>
        <v>1</v>
      </c>
      <c r="N495" t="b" cm="1">
        <f t="array" ref="N495">_xlfn.XLOOKUP(Sales_Data[[#This Row],[Sales Team]],_xlfn.ANCHORARRAY(Dashboard!$B$9),Dashboard!$D$9:$D$10,,0)</f>
        <v>1</v>
      </c>
      <c r="O495" t="b" cm="1">
        <f t="array" ref="O495">_xlfn.XLOOKUP(Sales_Data[[#This Row],[Sales Rep]],_xlfn.ANCHORARRAY(Dashboard!$B$13),Dashboard!$D$13:$D$17,,0)</f>
        <v>1</v>
      </c>
      <c r="P495" t="b" cm="1">
        <f t="array" ref="P495">_xlfn.XLOOKUP(Sales_Data[[#This Row],[Stage]],_xlfn.ANCHORARRAY(Dashboard!$B$20),Dashboard!$D$20:$D$25)</f>
        <v>1</v>
      </c>
      <c r="Q495" t="b" cm="1">
        <f t="array" ref="Q495">_xlfn.XLOOKUP(Sales_Data[[#This Row],[Lead Source]],_xlfn.ANCHORARRAY(Dashboard!$B$28),Dashboard!$D$28:$D$32)</f>
        <v>1</v>
      </c>
      <c r="R495">
        <f>Sales_Data[[#This Row],[Date inc]]*Sales_Data[[#This Row],[Team Inc]]*Sales_Data[[#This Row],[Rep Inc]]*Sales_Data[[#This Row],[Stage Inc]]*Sales_Data[[#This Row],[Source Inc]]</f>
        <v>1</v>
      </c>
    </row>
    <row r="496" spans="1:18" x14ac:dyDescent="0.3">
      <c r="A496" t="s">
        <v>503</v>
      </c>
      <c r="B496" s="2">
        <v>45463</v>
      </c>
      <c r="C496" t="s">
        <v>761</v>
      </c>
      <c r="D496" t="s">
        <v>765</v>
      </c>
      <c r="E496" t="s">
        <v>769</v>
      </c>
      <c r="F496" s="5">
        <v>55200</v>
      </c>
      <c r="G496" t="s">
        <v>781</v>
      </c>
      <c r="H496" s="2">
        <v>45530</v>
      </c>
      <c r="I496" t="s">
        <v>777</v>
      </c>
      <c r="J496" t="str">
        <f>IF(Sales_Data[[#This Row],[Close Date]] &lt;&gt; 0,"Closed", "Open")</f>
        <v>Closed</v>
      </c>
      <c r="K496">
        <f>IF(Sales_Data[[#This Row],[Open/Closed]] = "Closed",Sales_Data[[#This Row],[Close Date]]-Sales_Data[[#This Row],[Created Date]],"")</f>
        <v>67</v>
      </c>
      <c r="L496" s="2">
        <f>EOMONTH(Sales_Data[[#This Row],[Created Date]],0)</f>
        <v>45473</v>
      </c>
      <c r="M496" t="b">
        <f>AND(Sales_Data[[#This Row],[EoM Created]]&gt;=Index!$E$5,Sales_Data[[#This Row],[EoM Created]]&lt;=Index!$E$4)</f>
        <v>1</v>
      </c>
      <c r="N496" t="b" cm="1">
        <f t="array" ref="N496">_xlfn.XLOOKUP(Sales_Data[[#This Row],[Sales Team]],_xlfn.ANCHORARRAY(Dashboard!$B$9),Dashboard!$D$9:$D$10,,0)</f>
        <v>1</v>
      </c>
      <c r="O496" t="b" cm="1">
        <f t="array" ref="O496">_xlfn.XLOOKUP(Sales_Data[[#This Row],[Sales Rep]],_xlfn.ANCHORARRAY(Dashboard!$B$13),Dashboard!$D$13:$D$17,,0)</f>
        <v>1</v>
      </c>
      <c r="P496" t="b" cm="1">
        <f t="array" ref="P496">_xlfn.XLOOKUP(Sales_Data[[#This Row],[Stage]],_xlfn.ANCHORARRAY(Dashboard!$B$20),Dashboard!$D$20:$D$25)</f>
        <v>1</v>
      </c>
      <c r="Q496" t="b" cm="1">
        <f t="array" ref="Q496">_xlfn.XLOOKUP(Sales_Data[[#This Row],[Lead Source]],_xlfn.ANCHORARRAY(Dashboard!$B$28),Dashboard!$D$28:$D$32)</f>
        <v>1</v>
      </c>
      <c r="R496">
        <f>Sales_Data[[#This Row],[Date inc]]*Sales_Data[[#This Row],[Team Inc]]*Sales_Data[[#This Row],[Rep Inc]]*Sales_Data[[#This Row],[Stage Inc]]*Sales_Data[[#This Row],[Source Inc]]</f>
        <v>1</v>
      </c>
    </row>
    <row r="497" spans="1:18" x14ac:dyDescent="0.3">
      <c r="A497" t="s">
        <v>504</v>
      </c>
      <c r="B497" s="2">
        <v>45371</v>
      </c>
      <c r="C497" t="s">
        <v>760</v>
      </c>
      <c r="D497" t="s">
        <v>764</v>
      </c>
      <c r="E497" t="s">
        <v>767</v>
      </c>
      <c r="F497" s="5">
        <v>45400</v>
      </c>
      <c r="G497" t="s">
        <v>781</v>
      </c>
      <c r="H497" s="2">
        <v>45445</v>
      </c>
      <c r="I497" t="s">
        <v>776</v>
      </c>
      <c r="J497" t="str">
        <f>IF(Sales_Data[[#This Row],[Close Date]] &lt;&gt; 0,"Closed", "Open")</f>
        <v>Closed</v>
      </c>
      <c r="K497">
        <f>IF(Sales_Data[[#This Row],[Open/Closed]] = "Closed",Sales_Data[[#This Row],[Close Date]]-Sales_Data[[#This Row],[Created Date]],"")</f>
        <v>74</v>
      </c>
      <c r="L497" s="2">
        <f>EOMONTH(Sales_Data[[#This Row],[Created Date]],0)</f>
        <v>45382</v>
      </c>
      <c r="M497" t="b">
        <f>AND(Sales_Data[[#This Row],[EoM Created]]&gt;=Index!$E$5,Sales_Data[[#This Row],[EoM Created]]&lt;=Index!$E$4)</f>
        <v>1</v>
      </c>
      <c r="N497" t="b" cm="1">
        <f t="array" ref="N497">_xlfn.XLOOKUP(Sales_Data[[#This Row],[Sales Team]],_xlfn.ANCHORARRAY(Dashboard!$B$9),Dashboard!$D$9:$D$10,,0)</f>
        <v>1</v>
      </c>
      <c r="O497" t="b" cm="1">
        <f t="array" ref="O497">_xlfn.XLOOKUP(Sales_Data[[#This Row],[Sales Rep]],_xlfn.ANCHORARRAY(Dashboard!$B$13),Dashboard!$D$13:$D$17,,0)</f>
        <v>1</v>
      </c>
      <c r="P497" t="b" cm="1">
        <f t="array" ref="P497">_xlfn.XLOOKUP(Sales_Data[[#This Row],[Stage]],_xlfn.ANCHORARRAY(Dashboard!$B$20),Dashboard!$D$20:$D$25)</f>
        <v>1</v>
      </c>
      <c r="Q497" t="b" cm="1">
        <f t="array" ref="Q497">_xlfn.XLOOKUP(Sales_Data[[#This Row],[Lead Source]],_xlfn.ANCHORARRAY(Dashboard!$B$28),Dashboard!$D$28:$D$32)</f>
        <v>1</v>
      </c>
      <c r="R497">
        <f>Sales_Data[[#This Row],[Date inc]]*Sales_Data[[#This Row],[Team Inc]]*Sales_Data[[#This Row],[Rep Inc]]*Sales_Data[[#This Row],[Stage Inc]]*Sales_Data[[#This Row],[Source Inc]]</f>
        <v>1</v>
      </c>
    </row>
    <row r="498" spans="1:18" x14ac:dyDescent="0.3">
      <c r="A498" t="s">
        <v>505</v>
      </c>
      <c r="B498" s="2">
        <v>45791</v>
      </c>
      <c r="C498" t="s">
        <v>760</v>
      </c>
      <c r="D498" t="s">
        <v>764</v>
      </c>
      <c r="E498" t="s">
        <v>766</v>
      </c>
      <c r="F498" s="5">
        <v>29600</v>
      </c>
      <c r="G498" t="s">
        <v>773</v>
      </c>
      <c r="H498" s="2"/>
      <c r="J498" t="str">
        <f>IF(Sales_Data[[#This Row],[Close Date]] &lt;&gt; 0,"Closed", "Open")</f>
        <v>Open</v>
      </c>
      <c r="K498" t="str">
        <f>IF(Sales_Data[[#This Row],[Open/Closed]] = "Closed",Sales_Data[[#This Row],[Close Date]]-Sales_Data[[#This Row],[Created Date]],"")</f>
        <v/>
      </c>
      <c r="L498" s="2">
        <f>EOMONTH(Sales_Data[[#This Row],[Created Date]],0)</f>
        <v>45808</v>
      </c>
      <c r="M498" t="b">
        <f>AND(Sales_Data[[#This Row],[EoM Created]]&gt;=Index!$E$5,Sales_Data[[#This Row],[EoM Created]]&lt;=Index!$E$4)</f>
        <v>1</v>
      </c>
      <c r="N498" t="b" cm="1">
        <f t="array" ref="N498">_xlfn.XLOOKUP(Sales_Data[[#This Row],[Sales Team]],_xlfn.ANCHORARRAY(Dashboard!$B$9),Dashboard!$D$9:$D$10,,0)</f>
        <v>1</v>
      </c>
      <c r="O498" t="b" cm="1">
        <f t="array" ref="O498">_xlfn.XLOOKUP(Sales_Data[[#This Row],[Sales Rep]],_xlfn.ANCHORARRAY(Dashboard!$B$13),Dashboard!$D$13:$D$17,,0)</f>
        <v>1</v>
      </c>
      <c r="P498" t="b" cm="1">
        <f t="array" ref="P498">_xlfn.XLOOKUP(Sales_Data[[#This Row],[Stage]],_xlfn.ANCHORARRAY(Dashboard!$B$20),Dashboard!$D$20:$D$25)</f>
        <v>1</v>
      </c>
      <c r="Q498" t="b" cm="1">
        <f t="array" ref="Q498">_xlfn.XLOOKUP(Sales_Data[[#This Row],[Lead Source]],_xlfn.ANCHORARRAY(Dashboard!$B$28),Dashboard!$D$28:$D$32)</f>
        <v>1</v>
      </c>
      <c r="R498">
        <f>Sales_Data[[#This Row],[Date inc]]*Sales_Data[[#This Row],[Team Inc]]*Sales_Data[[#This Row],[Rep Inc]]*Sales_Data[[#This Row],[Stage Inc]]*Sales_Data[[#This Row],[Source Inc]]</f>
        <v>1</v>
      </c>
    </row>
    <row r="499" spans="1:18" x14ac:dyDescent="0.3">
      <c r="A499" t="s">
        <v>506</v>
      </c>
      <c r="B499" s="2">
        <v>45771</v>
      </c>
      <c r="C499" t="s">
        <v>759</v>
      </c>
      <c r="D499" t="s">
        <v>764</v>
      </c>
      <c r="E499" t="s">
        <v>767</v>
      </c>
      <c r="F499" s="5">
        <v>38100</v>
      </c>
      <c r="G499" t="s">
        <v>773</v>
      </c>
      <c r="H499" s="2"/>
      <c r="J499" t="str">
        <f>IF(Sales_Data[[#This Row],[Close Date]] &lt;&gt; 0,"Closed", "Open")</f>
        <v>Open</v>
      </c>
      <c r="K499" t="str">
        <f>IF(Sales_Data[[#This Row],[Open/Closed]] = "Closed",Sales_Data[[#This Row],[Close Date]]-Sales_Data[[#This Row],[Created Date]],"")</f>
        <v/>
      </c>
      <c r="L499" s="2">
        <f>EOMONTH(Sales_Data[[#This Row],[Created Date]],0)</f>
        <v>45777</v>
      </c>
      <c r="M499" t="b">
        <f>AND(Sales_Data[[#This Row],[EoM Created]]&gt;=Index!$E$5,Sales_Data[[#This Row],[EoM Created]]&lt;=Index!$E$4)</f>
        <v>1</v>
      </c>
      <c r="N499" t="b" cm="1">
        <f t="array" ref="N499">_xlfn.XLOOKUP(Sales_Data[[#This Row],[Sales Team]],_xlfn.ANCHORARRAY(Dashboard!$B$9),Dashboard!$D$9:$D$10,,0)</f>
        <v>1</v>
      </c>
      <c r="O499" t="b" cm="1">
        <f t="array" ref="O499">_xlfn.XLOOKUP(Sales_Data[[#This Row],[Sales Rep]],_xlfn.ANCHORARRAY(Dashboard!$B$13),Dashboard!$D$13:$D$17,,0)</f>
        <v>1</v>
      </c>
      <c r="P499" t="b" cm="1">
        <f t="array" ref="P499">_xlfn.XLOOKUP(Sales_Data[[#This Row],[Stage]],_xlfn.ANCHORARRAY(Dashboard!$B$20),Dashboard!$D$20:$D$25)</f>
        <v>1</v>
      </c>
      <c r="Q499" t="b" cm="1">
        <f t="array" ref="Q499">_xlfn.XLOOKUP(Sales_Data[[#This Row],[Lead Source]],_xlfn.ANCHORARRAY(Dashboard!$B$28),Dashboard!$D$28:$D$32)</f>
        <v>1</v>
      </c>
      <c r="R499">
        <f>Sales_Data[[#This Row],[Date inc]]*Sales_Data[[#This Row],[Team Inc]]*Sales_Data[[#This Row],[Rep Inc]]*Sales_Data[[#This Row],[Stage Inc]]*Sales_Data[[#This Row],[Source Inc]]</f>
        <v>1</v>
      </c>
    </row>
    <row r="500" spans="1:18" x14ac:dyDescent="0.3">
      <c r="A500" t="s">
        <v>507</v>
      </c>
      <c r="B500" s="2">
        <v>45821</v>
      </c>
      <c r="C500" t="s">
        <v>762</v>
      </c>
      <c r="D500" t="s">
        <v>764</v>
      </c>
      <c r="E500" t="s">
        <v>767</v>
      </c>
      <c r="F500" s="5">
        <v>31200</v>
      </c>
      <c r="G500" t="s">
        <v>773</v>
      </c>
      <c r="H500" s="2"/>
      <c r="J500" t="str">
        <f>IF(Sales_Data[[#This Row],[Close Date]] &lt;&gt; 0,"Closed", "Open")</f>
        <v>Open</v>
      </c>
      <c r="K500" t="str">
        <f>IF(Sales_Data[[#This Row],[Open/Closed]] = "Closed",Sales_Data[[#This Row],[Close Date]]-Sales_Data[[#This Row],[Created Date]],"")</f>
        <v/>
      </c>
      <c r="L500" s="2">
        <f>EOMONTH(Sales_Data[[#This Row],[Created Date]],0)</f>
        <v>45838</v>
      </c>
      <c r="M500" t="b">
        <f>AND(Sales_Data[[#This Row],[EoM Created]]&gt;=Index!$E$5,Sales_Data[[#This Row],[EoM Created]]&lt;=Index!$E$4)</f>
        <v>1</v>
      </c>
      <c r="N500" t="b" cm="1">
        <f t="array" ref="N500">_xlfn.XLOOKUP(Sales_Data[[#This Row],[Sales Team]],_xlfn.ANCHORARRAY(Dashboard!$B$9),Dashboard!$D$9:$D$10,,0)</f>
        <v>1</v>
      </c>
      <c r="O500" t="b" cm="1">
        <f t="array" ref="O500">_xlfn.XLOOKUP(Sales_Data[[#This Row],[Sales Rep]],_xlfn.ANCHORARRAY(Dashboard!$B$13),Dashboard!$D$13:$D$17,,0)</f>
        <v>1</v>
      </c>
      <c r="P500" t="b" cm="1">
        <f t="array" ref="P500">_xlfn.XLOOKUP(Sales_Data[[#This Row],[Stage]],_xlfn.ANCHORARRAY(Dashboard!$B$20),Dashboard!$D$20:$D$25)</f>
        <v>1</v>
      </c>
      <c r="Q500" t="b" cm="1">
        <f t="array" ref="Q500">_xlfn.XLOOKUP(Sales_Data[[#This Row],[Lead Source]],_xlfn.ANCHORARRAY(Dashboard!$B$28),Dashboard!$D$28:$D$32)</f>
        <v>1</v>
      </c>
      <c r="R500">
        <f>Sales_Data[[#This Row],[Date inc]]*Sales_Data[[#This Row],[Team Inc]]*Sales_Data[[#This Row],[Rep Inc]]*Sales_Data[[#This Row],[Stage Inc]]*Sales_Data[[#This Row],[Source Inc]]</f>
        <v>1</v>
      </c>
    </row>
    <row r="501" spans="1:18" x14ac:dyDescent="0.3">
      <c r="A501" t="s">
        <v>508</v>
      </c>
      <c r="B501" s="2">
        <v>45175</v>
      </c>
      <c r="C501" t="s">
        <v>759</v>
      </c>
      <c r="D501" t="s">
        <v>764</v>
      </c>
      <c r="E501" t="s">
        <v>767</v>
      </c>
      <c r="F501" s="5">
        <v>26200</v>
      </c>
      <c r="G501" t="s">
        <v>781</v>
      </c>
      <c r="H501" s="2">
        <v>45239</v>
      </c>
      <c r="I501" t="s">
        <v>776</v>
      </c>
      <c r="J501" t="str">
        <f>IF(Sales_Data[[#This Row],[Close Date]] &lt;&gt; 0,"Closed", "Open")</f>
        <v>Closed</v>
      </c>
      <c r="K501">
        <f>IF(Sales_Data[[#This Row],[Open/Closed]] = "Closed",Sales_Data[[#This Row],[Close Date]]-Sales_Data[[#This Row],[Created Date]],"")</f>
        <v>64</v>
      </c>
      <c r="L501" s="2">
        <f>EOMONTH(Sales_Data[[#This Row],[Created Date]],0)</f>
        <v>45199</v>
      </c>
      <c r="M501" t="b">
        <f>AND(Sales_Data[[#This Row],[EoM Created]]&gt;=Index!$E$5,Sales_Data[[#This Row],[EoM Created]]&lt;=Index!$E$4)</f>
        <v>1</v>
      </c>
      <c r="N501" t="b" cm="1">
        <f t="array" ref="N501">_xlfn.XLOOKUP(Sales_Data[[#This Row],[Sales Team]],_xlfn.ANCHORARRAY(Dashboard!$B$9),Dashboard!$D$9:$D$10,,0)</f>
        <v>1</v>
      </c>
      <c r="O501" t="b" cm="1">
        <f t="array" ref="O501">_xlfn.XLOOKUP(Sales_Data[[#This Row],[Sales Rep]],_xlfn.ANCHORARRAY(Dashboard!$B$13),Dashboard!$D$13:$D$17,,0)</f>
        <v>1</v>
      </c>
      <c r="P501" t="b" cm="1">
        <f t="array" ref="P501">_xlfn.XLOOKUP(Sales_Data[[#This Row],[Stage]],_xlfn.ANCHORARRAY(Dashboard!$B$20),Dashboard!$D$20:$D$25)</f>
        <v>1</v>
      </c>
      <c r="Q501" t="b" cm="1">
        <f t="array" ref="Q501">_xlfn.XLOOKUP(Sales_Data[[#This Row],[Lead Source]],_xlfn.ANCHORARRAY(Dashboard!$B$28),Dashboard!$D$28:$D$32)</f>
        <v>1</v>
      </c>
      <c r="R501">
        <f>Sales_Data[[#This Row],[Date inc]]*Sales_Data[[#This Row],[Team Inc]]*Sales_Data[[#This Row],[Rep Inc]]*Sales_Data[[#This Row],[Stage Inc]]*Sales_Data[[#This Row],[Source Inc]]</f>
        <v>1</v>
      </c>
    </row>
    <row r="502" spans="1:18" x14ac:dyDescent="0.3">
      <c r="A502" t="s">
        <v>509</v>
      </c>
      <c r="B502" s="2">
        <v>45252</v>
      </c>
      <c r="C502" t="s">
        <v>761</v>
      </c>
      <c r="D502" t="s">
        <v>765</v>
      </c>
      <c r="E502" t="s">
        <v>768</v>
      </c>
      <c r="F502" s="5">
        <v>49300</v>
      </c>
      <c r="G502" t="s">
        <v>780</v>
      </c>
      <c r="H502" s="2">
        <v>45334</v>
      </c>
      <c r="J502" t="str">
        <f>IF(Sales_Data[[#This Row],[Close Date]] &lt;&gt; 0,"Closed", "Open")</f>
        <v>Closed</v>
      </c>
      <c r="K502">
        <f>IF(Sales_Data[[#This Row],[Open/Closed]] = "Closed",Sales_Data[[#This Row],[Close Date]]-Sales_Data[[#This Row],[Created Date]],"")</f>
        <v>82</v>
      </c>
      <c r="L502" s="2">
        <f>EOMONTH(Sales_Data[[#This Row],[Created Date]],0)</f>
        <v>45260</v>
      </c>
      <c r="M502" t="b">
        <f>AND(Sales_Data[[#This Row],[EoM Created]]&gt;=Index!$E$5,Sales_Data[[#This Row],[EoM Created]]&lt;=Index!$E$4)</f>
        <v>1</v>
      </c>
      <c r="N502" t="b" cm="1">
        <f t="array" ref="N502">_xlfn.XLOOKUP(Sales_Data[[#This Row],[Sales Team]],_xlfn.ANCHORARRAY(Dashboard!$B$9),Dashboard!$D$9:$D$10,,0)</f>
        <v>1</v>
      </c>
      <c r="O502" t="b" cm="1">
        <f t="array" ref="O502">_xlfn.XLOOKUP(Sales_Data[[#This Row],[Sales Rep]],_xlfn.ANCHORARRAY(Dashboard!$B$13),Dashboard!$D$13:$D$17,,0)</f>
        <v>1</v>
      </c>
      <c r="P502" t="b" cm="1">
        <f t="array" ref="P502">_xlfn.XLOOKUP(Sales_Data[[#This Row],[Stage]],_xlfn.ANCHORARRAY(Dashboard!$B$20),Dashboard!$D$20:$D$25)</f>
        <v>1</v>
      </c>
      <c r="Q502" t="b" cm="1">
        <f t="array" ref="Q502">_xlfn.XLOOKUP(Sales_Data[[#This Row],[Lead Source]],_xlfn.ANCHORARRAY(Dashboard!$B$28),Dashboard!$D$28:$D$32)</f>
        <v>1</v>
      </c>
      <c r="R502">
        <f>Sales_Data[[#This Row],[Date inc]]*Sales_Data[[#This Row],[Team Inc]]*Sales_Data[[#This Row],[Rep Inc]]*Sales_Data[[#This Row],[Stage Inc]]*Sales_Data[[#This Row],[Source Inc]]</f>
        <v>1</v>
      </c>
    </row>
    <row r="503" spans="1:18" x14ac:dyDescent="0.3">
      <c r="A503" t="s">
        <v>510</v>
      </c>
      <c r="B503" s="2">
        <v>45759</v>
      </c>
      <c r="C503" t="s">
        <v>763</v>
      </c>
      <c r="D503" t="s">
        <v>765</v>
      </c>
      <c r="E503" t="s">
        <v>770</v>
      </c>
      <c r="F503" s="5">
        <v>59100</v>
      </c>
      <c r="G503" t="s">
        <v>773</v>
      </c>
      <c r="H503" s="2"/>
      <c r="J503" t="str">
        <f>IF(Sales_Data[[#This Row],[Close Date]] &lt;&gt; 0,"Closed", "Open")</f>
        <v>Open</v>
      </c>
      <c r="K503" t="str">
        <f>IF(Sales_Data[[#This Row],[Open/Closed]] = "Closed",Sales_Data[[#This Row],[Close Date]]-Sales_Data[[#This Row],[Created Date]],"")</f>
        <v/>
      </c>
      <c r="L503" s="2">
        <f>EOMONTH(Sales_Data[[#This Row],[Created Date]],0)</f>
        <v>45777</v>
      </c>
      <c r="M503" t="b">
        <f>AND(Sales_Data[[#This Row],[EoM Created]]&gt;=Index!$E$5,Sales_Data[[#This Row],[EoM Created]]&lt;=Index!$E$4)</f>
        <v>1</v>
      </c>
      <c r="N503" t="b" cm="1">
        <f t="array" ref="N503">_xlfn.XLOOKUP(Sales_Data[[#This Row],[Sales Team]],_xlfn.ANCHORARRAY(Dashboard!$B$9),Dashboard!$D$9:$D$10,,0)</f>
        <v>1</v>
      </c>
      <c r="O503" t="b" cm="1">
        <f t="array" ref="O503">_xlfn.XLOOKUP(Sales_Data[[#This Row],[Sales Rep]],_xlfn.ANCHORARRAY(Dashboard!$B$13),Dashboard!$D$13:$D$17,,0)</f>
        <v>1</v>
      </c>
      <c r="P503" t="b" cm="1">
        <f t="array" ref="P503">_xlfn.XLOOKUP(Sales_Data[[#This Row],[Stage]],_xlfn.ANCHORARRAY(Dashboard!$B$20),Dashboard!$D$20:$D$25)</f>
        <v>1</v>
      </c>
      <c r="Q503" t="b" cm="1">
        <f t="array" ref="Q503">_xlfn.XLOOKUP(Sales_Data[[#This Row],[Lead Source]],_xlfn.ANCHORARRAY(Dashboard!$B$28),Dashboard!$D$28:$D$32)</f>
        <v>1</v>
      </c>
      <c r="R503">
        <f>Sales_Data[[#This Row],[Date inc]]*Sales_Data[[#This Row],[Team Inc]]*Sales_Data[[#This Row],[Rep Inc]]*Sales_Data[[#This Row],[Stage Inc]]*Sales_Data[[#This Row],[Source Inc]]</f>
        <v>1</v>
      </c>
    </row>
    <row r="504" spans="1:18" x14ac:dyDescent="0.3">
      <c r="A504" t="s">
        <v>511</v>
      </c>
      <c r="B504" s="2">
        <v>45135</v>
      </c>
      <c r="C504" t="s">
        <v>763</v>
      </c>
      <c r="D504" t="s">
        <v>765</v>
      </c>
      <c r="E504" t="s">
        <v>769</v>
      </c>
      <c r="F504" s="5">
        <v>26000</v>
      </c>
      <c r="G504" t="s">
        <v>780</v>
      </c>
      <c r="H504" s="2">
        <v>45213</v>
      </c>
      <c r="J504" t="str">
        <f>IF(Sales_Data[[#This Row],[Close Date]] &lt;&gt; 0,"Closed", "Open")</f>
        <v>Closed</v>
      </c>
      <c r="K504">
        <f>IF(Sales_Data[[#This Row],[Open/Closed]] = "Closed",Sales_Data[[#This Row],[Close Date]]-Sales_Data[[#This Row],[Created Date]],"")</f>
        <v>78</v>
      </c>
      <c r="L504" s="2">
        <f>EOMONTH(Sales_Data[[#This Row],[Created Date]],0)</f>
        <v>45138</v>
      </c>
      <c r="M504" t="b">
        <f>AND(Sales_Data[[#This Row],[EoM Created]]&gt;=Index!$E$5,Sales_Data[[#This Row],[EoM Created]]&lt;=Index!$E$4)</f>
        <v>1</v>
      </c>
      <c r="N504" t="b" cm="1">
        <f t="array" ref="N504">_xlfn.XLOOKUP(Sales_Data[[#This Row],[Sales Team]],_xlfn.ANCHORARRAY(Dashboard!$B$9),Dashboard!$D$9:$D$10,,0)</f>
        <v>1</v>
      </c>
      <c r="O504" t="b" cm="1">
        <f t="array" ref="O504">_xlfn.XLOOKUP(Sales_Data[[#This Row],[Sales Rep]],_xlfn.ANCHORARRAY(Dashboard!$B$13),Dashboard!$D$13:$D$17,,0)</f>
        <v>1</v>
      </c>
      <c r="P504" t="b" cm="1">
        <f t="array" ref="P504">_xlfn.XLOOKUP(Sales_Data[[#This Row],[Stage]],_xlfn.ANCHORARRAY(Dashboard!$B$20),Dashboard!$D$20:$D$25)</f>
        <v>1</v>
      </c>
      <c r="Q504" t="b" cm="1">
        <f t="array" ref="Q504">_xlfn.XLOOKUP(Sales_Data[[#This Row],[Lead Source]],_xlfn.ANCHORARRAY(Dashboard!$B$28),Dashboard!$D$28:$D$32)</f>
        <v>1</v>
      </c>
      <c r="R504">
        <f>Sales_Data[[#This Row],[Date inc]]*Sales_Data[[#This Row],[Team Inc]]*Sales_Data[[#This Row],[Rep Inc]]*Sales_Data[[#This Row],[Stage Inc]]*Sales_Data[[#This Row],[Source Inc]]</f>
        <v>1</v>
      </c>
    </row>
    <row r="505" spans="1:18" x14ac:dyDescent="0.3">
      <c r="A505" t="s">
        <v>512</v>
      </c>
      <c r="B505" s="2">
        <v>45665</v>
      </c>
      <c r="C505" t="s">
        <v>762</v>
      </c>
      <c r="D505" t="s">
        <v>764</v>
      </c>
      <c r="E505" t="s">
        <v>767</v>
      </c>
      <c r="F505" s="5">
        <v>45600</v>
      </c>
      <c r="G505" t="s">
        <v>780</v>
      </c>
      <c r="H505" s="2">
        <v>45730</v>
      </c>
      <c r="J505" t="str">
        <f>IF(Sales_Data[[#This Row],[Close Date]] &lt;&gt; 0,"Closed", "Open")</f>
        <v>Closed</v>
      </c>
      <c r="K505">
        <f>IF(Sales_Data[[#This Row],[Open/Closed]] = "Closed",Sales_Data[[#This Row],[Close Date]]-Sales_Data[[#This Row],[Created Date]],"")</f>
        <v>65</v>
      </c>
      <c r="L505" s="2">
        <f>EOMONTH(Sales_Data[[#This Row],[Created Date]],0)</f>
        <v>45688</v>
      </c>
      <c r="M505" t="b">
        <f>AND(Sales_Data[[#This Row],[EoM Created]]&gt;=Index!$E$5,Sales_Data[[#This Row],[EoM Created]]&lt;=Index!$E$4)</f>
        <v>1</v>
      </c>
      <c r="N505" t="b" cm="1">
        <f t="array" ref="N505">_xlfn.XLOOKUP(Sales_Data[[#This Row],[Sales Team]],_xlfn.ANCHORARRAY(Dashboard!$B$9),Dashboard!$D$9:$D$10,,0)</f>
        <v>1</v>
      </c>
      <c r="O505" t="b" cm="1">
        <f t="array" ref="O505">_xlfn.XLOOKUP(Sales_Data[[#This Row],[Sales Rep]],_xlfn.ANCHORARRAY(Dashboard!$B$13),Dashboard!$D$13:$D$17,,0)</f>
        <v>1</v>
      </c>
      <c r="P505" t="b" cm="1">
        <f t="array" ref="P505">_xlfn.XLOOKUP(Sales_Data[[#This Row],[Stage]],_xlfn.ANCHORARRAY(Dashboard!$B$20),Dashboard!$D$20:$D$25)</f>
        <v>1</v>
      </c>
      <c r="Q505" t="b" cm="1">
        <f t="array" ref="Q505">_xlfn.XLOOKUP(Sales_Data[[#This Row],[Lead Source]],_xlfn.ANCHORARRAY(Dashboard!$B$28),Dashboard!$D$28:$D$32)</f>
        <v>1</v>
      </c>
      <c r="R505">
        <f>Sales_Data[[#This Row],[Date inc]]*Sales_Data[[#This Row],[Team Inc]]*Sales_Data[[#This Row],[Rep Inc]]*Sales_Data[[#This Row],[Stage Inc]]*Sales_Data[[#This Row],[Source Inc]]</f>
        <v>1</v>
      </c>
    </row>
    <row r="506" spans="1:18" x14ac:dyDescent="0.3">
      <c r="A506" t="s">
        <v>513</v>
      </c>
      <c r="B506" s="2">
        <v>45175</v>
      </c>
      <c r="C506" t="s">
        <v>763</v>
      </c>
      <c r="D506" t="s">
        <v>765</v>
      </c>
      <c r="E506" t="s">
        <v>768</v>
      </c>
      <c r="F506" s="5">
        <v>33500</v>
      </c>
      <c r="G506" t="s">
        <v>781</v>
      </c>
      <c r="H506" s="2">
        <v>45237</v>
      </c>
      <c r="I506" t="s">
        <v>779</v>
      </c>
      <c r="J506" t="str">
        <f>IF(Sales_Data[[#This Row],[Close Date]] &lt;&gt; 0,"Closed", "Open")</f>
        <v>Closed</v>
      </c>
      <c r="K506">
        <f>IF(Sales_Data[[#This Row],[Open/Closed]] = "Closed",Sales_Data[[#This Row],[Close Date]]-Sales_Data[[#This Row],[Created Date]],"")</f>
        <v>62</v>
      </c>
      <c r="L506" s="2">
        <f>EOMONTH(Sales_Data[[#This Row],[Created Date]],0)</f>
        <v>45199</v>
      </c>
      <c r="M506" t="b">
        <f>AND(Sales_Data[[#This Row],[EoM Created]]&gt;=Index!$E$5,Sales_Data[[#This Row],[EoM Created]]&lt;=Index!$E$4)</f>
        <v>1</v>
      </c>
      <c r="N506" t="b" cm="1">
        <f t="array" ref="N506">_xlfn.XLOOKUP(Sales_Data[[#This Row],[Sales Team]],_xlfn.ANCHORARRAY(Dashboard!$B$9),Dashboard!$D$9:$D$10,,0)</f>
        <v>1</v>
      </c>
      <c r="O506" t="b" cm="1">
        <f t="array" ref="O506">_xlfn.XLOOKUP(Sales_Data[[#This Row],[Sales Rep]],_xlfn.ANCHORARRAY(Dashboard!$B$13),Dashboard!$D$13:$D$17,,0)</f>
        <v>1</v>
      </c>
      <c r="P506" t="b" cm="1">
        <f t="array" ref="P506">_xlfn.XLOOKUP(Sales_Data[[#This Row],[Stage]],_xlfn.ANCHORARRAY(Dashboard!$B$20),Dashboard!$D$20:$D$25)</f>
        <v>1</v>
      </c>
      <c r="Q506" t="b" cm="1">
        <f t="array" ref="Q506">_xlfn.XLOOKUP(Sales_Data[[#This Row],[Lead Source]],_xlfn.ANCHORARRAY(Dashboard!$B$28),Dashboard!$D$28:$D$32)</f>
        <v>1</v>
      </c>
      <c r="R506">
        <f>Sales_Data[[#This Row],[Date inc]]*Sales_Data[[#This Row],[Team Inc]]*Sales_Data[[#This Row],[Rep Inc]]*Sales_Data[[#This Row],[Stage Inc]]*Sales_Data[[#This Row],[Source Inc]]</f>
        <v>1</v>
      </c>
    </row>
    <row r="507" spans="1:18" x14ac:dyDescent="0.3">
      <c r="A507" t="s">
        <v>514</v>
      </c>
      <c r="B507" s="2">
        <v>45549</v>
      </c>
      <c r="C507" t="s">
        <v>761</v>
      </c>
      <c r="D507" t="s">
        <v>765</v>
      </c>
      <c r="E507" t="s">
        <v>770</v>
      </c>
      <c r="F507" s="5">
        <v>35100</v>
      </c>
      <c r="G507" t="s">
        <v>781</v>
      </c>
      <c r="H507" s="2">
        <v>45609</v>
      </c>
      <c r="I507" t="s">
        <v>778</v>
      </c>
      <c r="J507" t="str">
        <f>IF(Sales_Data[[#This Row],[Close Date]] &lt;&gt; 0,"Closed", "Open")</f>
        <v>Closed</v>
      </c>
      <c r="K507">
        <f>IF(Sales_Data[[#This Row],[Open/Closed]] = "Closed",Sales_Data[[#This Row],[Close Date]]-Sales_Data[[#This Row],[Created Date]],"")</f>
        <v>60</v>
      </c>
      <c r="L507" s="2">
        <f>EOMONTH(Sales_Data[[#This Row],[Created Date]],0)</f>
        <v>45565</v>
      </c>
      <c r="M507" t="b">
        <f>AND(Sales_Data[[#This Row],[EoM Created]]&gt;=Index!$E$5,Sales_Data[[#This Row],[EoM Created]]&lt;=Index!$E$4)</f>
        <v>1</v>
      </c>
      <c r="N507" t="b" cm="1">
        <f t="array" ref="N507">_xlfn.XLOOKUP(Sales_Data[[#This Row],[Sales Team]],_xlfn.ANCHORARRAY(Dashboard!$B$9),Dashboard!$D$9:$D$10,,0)</f>
        <v>1</v>
      </c>
      <c r="O507" t="b" cm="1">
        <f t="array" ref="O507">_xlfn.XLOOKUP(Sales_Data[[#This Row],[Sales Rep]],_xlfn.ANCHORARRAY(Dashboard!$B$13),Dashboard!$D$13:$D$17,,0)</f>
        <v>1</v>
      </c>
      <c r="P507" t="b" cm="1">
        <f t="array" ref="P507">_xlfn.XLOOKUP(Sales_Data[[#This Row],[Stage]],_xlfn.ANCHORARRAY(Dashboard!$B$20),Dashboard!$D$20:$D$25)</f>
        <v>1</v>
      </c>
      <c r="Q507" t="b" cm="1">
        <f t="array" ref="Q507">_xlfn.XLOOKUP(Sales_Data[[#This Row],[Lead Source]],_xlfn.ANCHORARRAY(Dashboard!$B$28),Dashboard!$D$28:$D$32)</f>
        <v>1</v>
      </c>
      <c r="R507">
        <f>Sales_Data[[#This Row],[Date inc]]*Sales_Data[[#This Row],[Team Inc]]*Sales_Data[[#This Row],[Rep Inc]]*Sales_Data[[#This Row],[Stage Inc]]*Sales_Data[[#This Row],[Source Inc]]</f>
        <v>1</v>
      </c>
    </row>
    <row r="508" spans="1:18" x14ac:dyDescent="0.3">
      <c r="A508" t="s">
        <v>515</v>
      </c>
      <c r="B508" s="2">
        <v>45457</v>
      </c>
      <c r="C508" t="s">
        <v>760</v>
      </c>
      <c r="D508" t="s">
        <v>764</v>
      </c>
      <c r="E508" t="s">
        <v>766</v>
      </c>
      <c r="F508" s="5">
        <v>34100</v>
      </c>
      <c r="G508" t="s">
        <v>781</v>
      </c>
      <c r="H508" s="2">
        <v>45526</v>
      </c>
      <c r="I508" t="s">
        <v>778</v>
      </c>
      <c r="J508" t="str">
        <f>IF(Sales_Data[[#This Row],[Close Date]] &lt;&gt; 0,"Closed", "Open")</f>
        <v>Closed</v>
      </c>
      <c r="K508">
        <f>IF(Sales_Data[[#This Row],[Open/Closed]] = "Closed",Sales_Data[[#This Row],[Close Date]]-Sales_Data[[#This Row],[Created Date]],"")</f>
        <v>69</v>
      </c>
      <c r="L508" s="2">
        <f>EOMONTH(Sales_Data[[#This Row],[Created Date]],0)</f>
        <v>45473</v>
      </c>
      <c r="M508" t="b">
        <f>AND(Sales_Data[[#This Row],[EoM Created]]&gt;=Index!$E$5,Sales_Data[[#This Row],[EoM Created]]&lt;=Index!$E$4)</f>
        <v>1</v>
      </c>
      <c r="N508" t="b" cm="1">
        <f t="array" ref="N508">_xlfn.XLOOKUP(Sales_Data[[#This Row],[Sales Team]],_xlfn.ANCHORARRAY(Dashboard!$B$9),Dashboard!$D$9:$D$10,,0)</f>
        <v>1</v>
      </c>
      <c r="O508" t="b" cm="1">
        <f t="array" ref="O508">_xlfn.XLOOKUP(Sales_Data[[#This Row],[Sales Rep]],_xlfn.ANCHORARRAY(Dashboard!$B$13),Dashboard!$D$13:$D$17,,0)</f>
        <v>1</v>
      </c>
      <c r="P508" t="b" cm="1">
        <f t="array" ref="P508">_xlfn.XLOOKUP(Sales_Data[[#This Row],[Stage]],_xlfn.ANCHORARRAY(Dashboard!$B$20),Dashboard!$D$20:$D$25)</f>
        <v>1</v>
      </c>
      <c r="Q508" t="b" cm="1">
        <f t="array" ref="Q508">_xlfn.XLOOKUP(Sales_Data[[#This Row],[Lead Source]],_xlfn.ANCHORARRAY(Dashboard!$B$28),Dashboard!$D$28:$D$32)</f>
        <v>1</v>
      </c>
      <c r="R508">
        <f>Sales_Data[[#This Row],[Date inc]]*Sales_Data[[#This Row],[Team Inc]]*Sales_Data[[#This Row],[Rep Inc]]*Sales_Data[[#This Row],[Stage Inc]]*Sales_Data[[#This Row],[Source Inc]]</f>
        <v>1</v>
      </c>
    </row>
    <row r="509" spans="1:18" x14ac:dyDescent="0.3">
      <c r="A509" t="s">
        <v>516</v>
      </c>
      <c r="B509" s="2">
        <v>45193</v>
      </c>
      <c r="C509" t="s">
        <v>759</v>
      </c>
      <c r="D509" t="s">
        <v>764</v>
      </c>
      <c r="E509" t="s">
        <v>767</v>
      </c>
      <c r="F509" s="5">
        <v>31400</v>
      </c>
      <c r="G509" t="s">
        <v>781</v>
      </c>
      <c r="H509" s="2">
        <v>45269</v>
      </c>
      <c r="I509" t="s">
        <v>778</v>
      </c>
      <c r="J509" t="str">
        <f>IF(Sales_Data[[#This Row],[Close Date]] &lt;&gt; 0,"Closed", "Open")</f>
        <v>Closed</v>
      </c>
      <c r="K509">
        <f>IF(Sales_Data[[#This Row],[Open/Closed]] = "Closed",Sales_Data[[#This Row],[Close Date]]-Sales_Data[[#This Row],[Created Date]],"")</f>
        <v>76</v>
      </c>
      <c r="L509" s="2">
        <f>EOMONTH(Sales_Data[[#This Row],[Created Date]],0)</f>
        <v>45199</v>
      </c>
      <c r="M509" t="b">
        <f>AND(Sales_Data[[#This Row],[EoM Created]]&gt;=Index!$E$5,Sales_Data[[#This Row],[EoM Created]]&lt;=Index!$E$4)</f>
        <v>1</v>
      </c>
      <c r="N509" t="b" cm="1">
        <f t="array" ref="N509">_xlfn.XLOOKUP(Sales_Data[[#This Row],[Sales Team]],_xlfn.ANCHORARRAY(Dashboard!$B$9),Dashboard!$D$9:$D$10,,0)</f>
        <v>1</v>
      </c>
      <c r="O509" t="b" cm="1">
        <f t="array" ref="O509">_xlfn.XLOOKUP(Sales_Data[[#This Row],[Sales Rep]],_xlfn.ANCHORARRAY(Dashboard!$B$13),Dashboard!$D$13:$D$17,,0)</f>
        <v>1</v>
      </c>
      <c r="P509" t="b" cm="1">
        <f t="array" ref="P509">_xlfn.XLOOKUP(Sales_Data[[#This Row],[Stage]],_xlfn.ANCHORARRAY(Dashboard!$B$20),Dashboard!$D$20:$D$25)</f>
        <v>1</v>
      </c>
      <c r="Q509" t="b" cm="1">
        <f t="array" ref="Q509">_xlfn.XLOOKUP(Sales_Data[[#This Row],[Lead Source]],_xlfn.ANCHORARRAY(Dashboard!$B$28),Dashboard!$D$28:$D$32)</f>
        <v>1</v>
      </c>
      <c r="R509">
        <f>Sales_Data[[#This Row],[Date inc]]*Sales_Data[[#This Row],[Team Inc]]*Sales_Data[[#This Row],[Rep Inc]]*Sales_Data[[#This Row],[Stage Inc]]*Sales_Data[[#This Row],[Source Inc]]</f>
        <v>1</v>
      </c>
    </row>
    <row r="510" spans="1:18" x14ac:dyDescent="0.3">
      <c r="A510" t="s">
        <v>517</v>
      </c>
      <c r="B510" s="2">
        <v>45796</v>
      </c>
      <c r="C510" t="s">
        <v>763</v>
      </c>
      <c r="D510" t="s">
        <v>765</v>
      </c>
      <c r="E510" t="s">
        <v>768</v>
      </c>
      <c r="F510" s="5">
        <v>40500</v>
      </c>
      <c r="G510" t="s">
        <v>772</v>
      </c>
      <c r="H510" s="2"/>
      <c r="J510" t="str">
        <f>IF(Sales_Data[[#This Row],[Close Date]] &lt;&gt; 0,"Closed", "Open")</f>
        <v>Open</v>
      </c>
      <c r="K510" t="str">
        <f>IF(Sales_Data[[#This Row],[Open/Closed]] = "Closed",Sales_Data[[#This Row],[Close Date]]-Sales_Data[[#This Row],[Created Date]],"")</f>
        <v/>
      </c>
      <c r="L510" s="2">
        <f>EOMONTH(Sales_Data[[#This Row],[Created Date]],0)</f>
        <v>45808</v>
      </c>
      <c r="M510" t="b">
        <f>AND(Sales_Data[[#This Row],[EoM Created]]&gt;=Index!$E$5,Sales_Data[[#This Row],[EoM Created]]&lt;=Index!$E$4)</f>
        <v>1</v>
      </c>
      <c r="N510" t="b" cm="1">
        <f t="array" ref="N510">_xlfn.XLOOKUP(Sales_Data[[#This Row],[Sales Team]],_xlfn.ANCHORARRAY(Dashboard!$B$9),Dashboard!$D$9:$D$10,,0)</f>
        <v>1</v>
      </c>
      <c r="O510" t="b" cm="1">
        <f t="array" ref="O510">_xlfn.XLOOKUP(Sales_Data[[#This Row],[Sales Rep]],_xlfn.ANCHORARRAY(Dashboard!$B$13),Dashboard!$D$13:$D$17,,0)</f>
        <v>1</v>
      </c>
      <c r="P510" t="b" cm="1">
        <f t="array" ref="P510">_xlfn.XLOOKUP(Sales_Data[[#This Row],[Stage]],_xlfn.ANCHORARRAY(Dashboard!$B$20),Dashboard!$D$20:$D$25)</f>
        <v>1</v>
      </c>
      <c r="Q510" t="b" cm="1">
        <f t="array" ref="Q510">_xlfn.XLOOKUP(Sales_Data[[#This Row],[Lead Source]],_xlfn.ANCHORARRAY(Dashboard!$B$28),Dashboard!$D$28:$D$32)</f>
        <v>1</v>
      </c>
      <c r="R510">
        <f>Sales_Data[[#This Row],[Date inc]]*Sales_Data[[#This Row],[Team Inc]]*Sales_Data[[#This Row],[Rep Inc]]*Sales_Data[[#This Row],[Stage Inc]]*Sales_Data[[#This Row],[Source Inc]]</f>
        <v>1</v>
      </c>
    </row>
    <row r="511" spans="1:18" x14ac:dyDescent="0.3">
      <c r="A511" t="s">
        <v>518</v>
      </c>
      <c r="B511" s="2">
        <v>45565</v>
      </c>
      <c r="C511" t="s">
        <v>759</v>
      </c>
      <c r="D511" t="s">
        <v>764</v>
      </c>
      <c r="E511" t="s">
        <v>766</v>
      </c>
      <c r="F511" s="5">
        <v>31700</v>
      </c>
      <c r="G511" t="s">
        <v>780</v>
      </c>
      <c r="H511" s="2">
        <v>45641</v>
      </c>
      <c r="J511" t="str">
        <f>IF(Sales_Data[[#This Row],[Close Date]] &lt;&gt; 0,"Closed", "Open")</f>
        <v>Closed</v>
      </c>
      <c r="K511">
        <f>IF(Sales_Data[[#This Row],[Open/Closed]] = "Closed",Sales_Data[[#This Row],[Close Date]]-Sales_Data[[#This Row],[Created Date]],"")</f>
        <v>76</v>
      </c>
      <c r="L511" s="2">
        <f>EOMONTH(Sales_Data[[#This Row],[Created Date]],0)</f>
        <v>45565</v>
      </c>
      <c r="M511" t="b">
        <f>AND(Sales_Data[[#This Row],[EoM Created]]&gt;=Index!$E$5,Sales_Data[[#This Row],[EoM Created]]&lt;=Index!$E$4)</f>
        <v>1</v>
      </c>
      <c r="N511" t="b" cm="1">
        <f t="array" ref="N511">_xlfn.XLOOKUP(Sales_Data[[#This Row],[Sales Team]],_xlfn.ANCHORARRAY(Dashboard!$B$9),Dashboard!$D$9:$D$10,,0)</f>
        <v>1</v>
      </c>
      <c r="O511" t="b" cm="1">
        <f t="array" ref="O511">_xlfn.XLOOKUP(Sales_Data[[#This Row],[Sales Rep]],_xlfn.ANCHORARRAY(Dashboard!$B$13),Dashboard!$D$13:$D$17,,0)</f>
        <v>1</v>
      </c>
      <c r="P511" t="b" cm="1">
        <f t="array" ref="P511">_xlfn.XLOOKUP(Sales_Data[[#This Row],[Stage]],_xlfn.ANCHORARRAY(Dashboard!$B$20),Dashboard!$D$20:$D$25)</f>
        <v>1</v>
      </c>
      <c r="Q511" t="b" cm="1">
        <f t="array" ref="Q511">_xlfn.XLOOKUP(Sales_Data[[#This Row],[Lead Source]],_xlfn.ANCHORARRAY(Dashboard!$B$28),Dashboard!$D$28:$D$32)</f>
        <v>1</v>
      </c>
      <c r="R511">
        <f>Sales_Data[[#This Row],[Date inc]]*Sales_Data[[#This Row],[Team Inc]]*Sales_Data[[#This Row],[Rep Inc]]*Sales_Data[[#This Row],[Stage Inc]]*Sales_Data[[#This Row],[Source Inc]]</f>
        <v>1</v>
      </c>
    </row>
    <row r="512" spans="1:18" x14ac:dyDescent="0.3">
      <c r="A512" t="s">
        <v>519</v>
      </c>
      <c r="B512" s="2">
        <v>44973</v>
      </c>
      <c r="C512" t="s">
        <v>761</v>
      </c>
      <c r="D512" t="s">
        <v>765</v>
      </c>
      <c r="E512" t="s">
        <v>768</v>
      </c>
      <c r="F512" s="5">
        <v>42700</v>
      </c>
      <c r="G512" t="s">
        <v>781</v>
      </c>
      <c r="H512" s="2">
        <v>45038</v>
      </c>
      <c r="I512" t="s">
        <v>778</v>
      </c>
      <c r="J512" t="str">
        <f>IF(Sales_Data[[#This Row],[Close Date]] &lt;&gt; 0,"Closed", "Open")</f>
        <v>Closed</v>
      </c>
      <c r="K512">
        <f>IF(Sales_Data[[#This Row],[Open/Closed]] = "Closed",Sales_Data[[#This Row],[Close Date]]-Sales_Data[[#This Row],[Created Date]],"")</f>
        <v>65</v>
      </c>
      <c r="L512" s="2">
        <f>EOMONTH(Sales_Data[[#This Row],[Created Date]],0)</f>
        <v>44985</v>
      </c>
      <c r="M512" t="b">
        <f>AND(Sales_Data[[#This Row],[EoM Created]]&gt;=Index!$E$5,Sales_Data[[#This Row],[EoM Created]]&lt;=Index!$E$4)</f>
        <v>0</v>
      </c>
      <c r="N512" t="b" cm="1">
        <f t="array" ref="N512">_xlfn.XLOOKUP(Sales_Data[[#This Row],[Sales Team]],_xlfn.ANCHORARRAY(Dashboard!$B$9),Dashboard!$D$9:$D$10,,0)</f>
        <v>1</v>
      </c>
      <c r="O512" t="b" cm="1">
        <f t="array" ref="O512">_xlfn.XLOOKUP(Sales_Data[[#This Row],[Sales Rep]],_xlfn.ANCHORARRAY(Dashboard!$B$13),Dashboard!$D$13:$D$17,,0)</f>
        <v>1</v>
      </c>
      <c r="P512" t="b" cm="1">
        <f t="array" ref="P512">_xlfn.XLOOKUP(Sales_Data[[#This Row],[Stage]],_xlfn.ANCHORARRAY(Dashboard!$B$20),Dashboard!$D$20:$D$25)</f>
        <v>1</v>
      </c>
      <c r="Q512" t="b" cm="1">
        <f t="array" ref="Q512">_xlfn.XLOOKUP(Sales_Data[[#This Row],[Lead Source]],_xlfn.ANCHORARRAY(Dashboard!$B$28),Dashboard!$D$28:$D$32)</f>
        <v>1</v>
      </c>
      <c r="R512">
        <f>Sales_Data[[#This Row],[Date inc]]*Sales_Data[[#This Row],[Team Inc]]*Sales_Data[[#This Row],[Rep Inc]]*Sales_Data[[#This Row],[Stage Inc]]*Sales_Data[[#This Row],[Source Inc]]</f>
        <v>0</v>
      </c>
    </row>
    <row r="513" spans="1:18" x14ac:dyDescent="0.3">
      <c r="A513" t="s">
        <v>520</v>
      </c>
      <c r="B513" s="2">
        <v>45159</v>
      </c>
      <c r="C513" t="s">
        <v>763</v>
      </c>
      <c r="D513" t="s">
        <v>765</v>
      </c>
      <c r="E513" t="s">
        <v>769</v>
      </c>
      <c r="F513" s="5">
        <v>39500</v>
      </c>
      <c r="G513" t="s">
        <v>780</v>
      </c>
      <c r="H513" s="2">
        <v>45249</v>
      </c>
      <c r="J513" t="str">
        <f>IF(Sales_Data[[#This Row],[Close Date]] &lt;&gt; 0,"Closed", "Open")</f>
        <v>Closed</v>
      </c>
      <c r="K513">
        <f>IF(Sales_Data[[#This Row],[Open/Closed]] = "Closed",Sales_Data[[#This Row],[Close Date]]-Sales_Data[[#This Row],[Created Date]],"")</f>
        <v>90</v>
      </c>
      <c r="L513" s="2">
        <f>EOMONTH(Sales_Data[[#This Row],[Created Date]],0)</f>
        <v>45169</v>
      </c>
      <c r="M513" t="b">
        <f>AND(Sales_Data[[#This Row],[EoM Created]]&gt;=Index!$E$5,Sales_Data[[#This Row],[EoM Created]]&lt;=Index!$E$4)</f>
        <v>1</v>
      </c>
      <c r="N513" t="b" cm="1">
        <f t="array" ref="N513">_xlfn.XLOOKUP(Sales_Data[[#This Row],[Sales Team]],_xlfn.ANCHORARRAY(Dashboard!$B$9),Dashboard!$D$9:$D$10,,0)</f>
        <v>1</v>
      </c>
      <c r="O513" t="b" cm="1">
        <f t="array" ref="O513">_xlfn.XLOOKUP(Sales_Data[[#This Row],[Sales Rep]],_xlfn.ANCHORARRAY(Dashboard!$B$13),Dashboard!$D$13:$D$17,,0)</f>
        <v>1</v>
      </c>
      <c r="P513" t="b" cm="1">
        <f t="array" ref="P513">_xlfn.XLOOKUP(Sales_Data[[#This Row],[Stage]],_xlfn.ANCHORARRAY(Dashboard!$B$20),Dashboard!$D$20:$D$25)</f>
        <v>1</v>
      </c>
      <c r="Q513" t="b" cm="1">
        <f t="array" ref="Q513">_xlfn.XLOOKUP(Sales_Data[[#This Row],[Lead Source]],_xlfn.ANCHORARRAY(Dashboard!$B$28),Dashboard!$D$28:$D$32)</f>
        <v>1</v>
      </c>
      <c r="R513">
        <f>Sales_Data[[#This Row],[Date inc]]*Sales_Data[[#This Row],[Team Inc]]*Sales_Data[[#This Row],[Rep Inc]]*Sales_Data[[#This Row],[Stage Inc]]*Sales_Data[[#This Row],[Source Inc]]</f>
        <v>1</v>
      </c>
    </row>
    <row r="514" spans="1:18" x14ac:dyDescent="0.3">
      <c r="A514" t="s">
        <v>521</v>
      </c>
      <c r="B514" s="2">
        <v>45083</v>
      </c>
      <c r="C514" t="s">
        <v>760</v>
      </c>
      <c r="D514" t="s">
        <v>764</v>
      </c>
      <c r="E514" t="s">
        <v>767</v>
      </c>
      <c r="F514" s="5">
        <v>37600</v>
      </c>
      <c r="G514" t="s">
        <v>780</v>
      </c>
      <c r="H514" s="2">
        <v>45165</v>
      </c>
      <c r="J514" t="str">
        <f>IF(Sales_Data[[#This Row],[Close Date]] &lt;&gt; 0,"Closed", "Open")</f>
        <v>Closed</v>
      </c>
      <c r="K514">
        <f>IF(Sales_Data[[#This Row],[Open/Closed]] = "Closed",Sales_Data[[#This Row],[Close Date]]-Sales_Data[[#This Row],[Created Date]],"")</f>
        <v>82</v>
      </c>
      <c r="L514" s="2">
        <f>EOMONTH(Sales_Data[[#This Row],[Created Date]],0)</f>
        <v>45107</v>
      </c>
      <c r="M514" t="b">
        <f>AND(Sales_Data[[#This Row],[EoM Created]]&gt;=Index!$E$5,Sales_Data[[#This Row],[EoM Created]]&lt;=Index!$E$4)</f>
        <v>0</v>
      </c>
      <c r="N514" t="b" cm="1">
        <f t="array" ref="N514">_xlfn.XLOOKUP(Sales_Data[[#This Row],[Sales Team]],_xlfn.ANCHORARRAY(Dashboard!$B$9),Dashboard!$D$9:$D$10,,0)</f>
        <v>1</v>
      </c>
      <c r="O514" t="b" cm="1">
        <f t="array" ref="O514">_xlfn.XLOOKUP(Sales_Data[[#This Row],[Sales Rep]],_xlfn.ANCHORARRAY(Dashboard!$B$13),Dashboard!$D$13:$D$17,,0)</f>
        <v>1</v>
      </c>
      <c r="P514" t="b" cm="1">
        <f t="array" ref="P514">_xlfn.XLOOKUP(Sales_Data[[#This Row],[Stage]],_xlfn.ANCHORARRAY(Dashboard!$B$20),Dashboard!$D$20:$D$25)</f>
        <v>1</v>
      </c>
      <c r="Q514" t="b" cm="1">
        <f t="array" ref="Q514">_xlfn.XLOOKUP(Sales_Data[[#This Row],[Lead Source]],_xlfn.ANCHORARRAY(Dashboard!$B$28),Dashboard!$D$28:$D$32)</f>
        <v>1</v>
      </c>
      <c r="R514">
        <f>Sales_Data[[#This Row],[Date inc]]*Sales_Data[[#This Row],[Team Inc]]*Sales_Data[[#This Row],[Rep Inc]]*Sales_Data[[#This Row],[Stage Inc]]*Sales_Data[[#This Row],[Source Inc]]</f>
        <v>0</v>
      </c>
    </row>
    <row r="515" spans="1:18" x14ac:dyDescent="0.3">
      <c r="A515" t="s">
        <v>522</v>
      </c>
      <c r="B515" s="2">
        <v>45552</v>
      </c>
      <c r="C515" t="s">
        <v>759</v>
      </c>
      <c r="D515" t="s">
        <v>764</v>
      </c>
      <c r="E515" t="s">
        <v>766</v>
      </c>
      <c r="F515" s="5">
        <v>30900</v>
      </c>
      <c r="G515" t="s">
        <v>781</v>
      </c>
      <c r="H515" s="2">
        <v>45612</v>
      </c>
      <c r="I515" t="s">
        <v>776</v>
      </c>
      <c r="J515" t="str">
        <f>IF(Sales_Data[[#This Row],[Close Date]] &lt;&gt; 0,"Closed", "Open")</f>
        <v>Closed</v>
      </c>
      <c r="K515">
        <f>IF(Sales_Data[[#This Row],[Open/Closed]] = "Closed",Sales_Data[[#This Row],[Close Date]]-Sales_Data[[#This Row],[Created Date]],"")</f>
        <v>60</v>
      </c>
      <c r="L515" s="2">
        <f>EOMONTH(Sales_Data[[#This Row],[Created Date]],0)</f>
        <v>45565</v>
      </c>
      <c r="M515" t="b">
        <f>AND(Sales_Data[[#This Row],[EoM Created]]&gt;=Index!$E$5,Sales_Data[[#This Row],[EoM Created]]&lt;=Index!$E$4)</f>
        <v>1</v>
      </c>
      <c r="N515" t="b" cm="1">
        <f t="array" ref="N515">_xlfn.XLOOKUP(Sales_Data[[#This Row],[Sales Team]],_xlfn.ANCHORARRAY(Dashboard!$B$9),Dashboard!$D$9:$D$10,,0)</f>
        <v>1</v>
      </c>
      <c r="O515" t="b" cm="1">
        <f t="array" ref="O515">_xlfn.XLOOKUP(Sales_Data[[#This Row],[Sales Rep]],_xlfn.ANCHORARRAY(Dashboard!$B$13),Dashboard!$D$13:$D$17,,0)</f>
        <v>1</v>
      </c>
      <c r="P515" t="b" cm="1">
        <f t="array" ref="P515">_xlfn.XLOOKUP(Sales_Data[[#This Row],[Stage]],_xlfn.ANCHORARRAY(Dashboard!$B$20),Dashboard!$D$20:$D$25)</f>
        <v>1</v>
      </c>
      <c r="Q515" t="b" cm="1">
        <f t="array" ref="Q515">_xlfn.XLOOKUP(Sales_Data[[#This Row],[Lead Source]],_xlfn.ANCHORARRAY(Dashboard!$B$28),Dashboard!$D$28:$D$32)</f>
        <v>1</v>
      </c>
      <c r="R515">
        <f>Sales_Data[[#This Row],[Date inc]]*Sales_Data[[#This Row],[Team Inc]]*Sales_Data[[#This Row],[Rep Inc]]*Sales_Data[[#This Row],[Stage Inc]]*Sales_Data[[#This Row],[Source Inc]]</f>
        <v>1</v>
      </c>
    </row>
    <row r="516" spans="1:18" x14ac:dyDescent="0.3">
      <c r="A516" t="s">
        <v>523</v>
      </c>
      <c r="B516" s="2">
        <v>45100</v>
      </c>
      <c r="C516" t="s">
        <v>762</v>
      </c>
      <c r="D516" t="s">
        <v>764</v>
      </c>
      <c r="E516" t="s">
        <v>766</v>
      </c>
      <c r="F516" s="5">
        <v>34200</v>
      </c>
      <c r="G516" t="s">
        <v>781</v>
      </c>
      <c r="H516" s="2">
        <v>45181</v>
      </c>
      <c r="I516" t="s">
        <v>778</v>
      </c>
      <c r="J516" t="str">
        <f>IF(Sales_Data[[#This Row],[Close Date]] &lt;&gt; 0,"Closed", "Open")</f>
        <v>Closed</v>
      </c>
      <c r="K516">
        <f>IF(Sales_Data[[#This Row],[Open/Closed]] = "Closed",Sales_Data[[#This Row],[Close Date]]-Sales_Data[[#This Row],[Created Date]],"")</f>
        <v>81</v>
      </c>
      <c r="L516" s="2">
        <f>EOMONTH(Sales_Data[[#This Row],[Created Date]],0)</f>
        <v>45107</v>
      </c>
      <c r="M516" t="b">
        <f>AND(Sales_Data[[#This Row],[EoM Created]]&gt;=Index!$E$5,Sales_Data[[#This Row],[EoM Created]]&lt;=Index!$E$4)</f>
        <v>0</v>
      </c>
      <c r="N516" t="b" cm="1">
        <f t="array" ref="N516">_xlfn.XLOOKUP(Sales_Data[[#This Row],[Sales Team]],_xlfn.ANCHORARRAY(Dashboard!$B$9),Dashboard!$D$9:$D$10,,0)</f>
        <v>1</v>
      </c>
      <c r="O516" t="b" cm="1">
        <f t="array" ref="O516">_xlfn.XLOOKUP(Sales_Data[[#This Row],[Sales Rep]],_xlfn.ANCHORARRAY(Dashboard!$B$13),Dashboard!$D$13:$D$17,,0)</f>
        <v>1</v>
      </c>
      <c r="P516" t="b" cm="1">
        <f t="array" ref="P516">_xlfn.XLOOKUP(Sales_Data[[#This Row],[Stage]],_xlfn.ANCHORARRAY(Dashboard!$B$20),Dashboard!$D$20:$D$25)</f>
        <v>1</v>
      </c>
      <c r="Q516" t="b" cm="1">
        <f t="array" ref="Q516">_xlfn.XLOOKUP(Sales_Data[[#This Row],[Lead Source]],_xlfn.ANCHORARRAY(Dashboard!$B$28),Dashboard!$D$28:$D$32)</f>
        <v>1</v>
      </c>
      <c r="R516">
        <f>Sales_Data[[#This Row],[Date inc]]*Sales_Data[[#This Row],[Team Inc]]*Sales_Data[[#This Row],[Rep Inc]]*Sales_Data[[#This Row],[Stage Inc]]*Sales_Data[[#This Row],[Source Inc]]</f>
        <v>0</v>
      </c>
    </row>
    <row r="517" spans="1:18" x14ac:dyDescent="0.3">
      <c r="A517" t="s">
        <v>524</v>
      </c>
      <c r="B517" s="2">
        <v>45241</v>
      </c>
      <c r="C517" t="s">
        <v>760</v>
      </c>
      <c r="D517" t="s">
        <v>764</v>
      </c>
      <c r="E517" t="s">
        <v>767</v>
      </c>
      <c r="F517" s="5">
        <v>47600</v>
      </c>
      <c r="G517" t="s">
        <v>781</v>
      </c>
      <c r="H517" s="2">
        <v>45303</v>
      </c>
      <c r="I517" t="s">
        <v>776</v>
      </c>
      <c r="J517" t="str">
        <f>IF(Sales_Data[[#This Row],[Close Date]] &lt;&gt; 0,"Closed", "Open")</f>
        <v>Closed</v>
      </c>
      <c r="K517">
        <f>IF(Sales_Data[[#This Row],[Open/Closed]] = "Closed",Sales_Data[[#This Row],[Close Date]]-Sales_Data[[#This Row],[Created Date]],"")</f>
        <v>62</v>
      </c>
      <c r="L517" s="2">
        <f>EOMONTH(Sales_Data[[#This Row],[Created Date]],0)</f>
        <v>45260</v>
      </c>
      <c r="M517" t="b">
        <f>AND(Sales_Data[[#This Row],[EoM Created]]&gt;=Index!$E$5,Sales_Data[[#This Row],[EoM Created]]&lt;=Index!$E$4)</f>
        <v>1</v>
      </c>
      <c r="N517" t="b" cm="1">
        <f t="array" ref="N517">_xlfn.XLOOKUP(Sales_Data[[#This Row],[Sales Team]],_xlfn.ANCHORARRAY(Dashboard!$B$9),Dashboard!$D$9:$D$10,,0)</f>
        <v>1</v>
      </c>
      <c r="O517" t="b" cm="1">
        <f t="array" ref="O517">_xlfn.XLOOKUP(Sales_Data[[#This Row],[Sales Rep]],_xlfn.ANCHORARRAY(Dashboard!$B$13),Dashboard!$D$13:$D$17,,0)</f>
        <v>1</v>
      </c>
      <c r="P517" t="b" cm="1">
        <f t="array" ref="P517">_xlfn.XLOOKUP(Sales_Data[[#This Row],[Stage]],_xlfn.ANCHORARRAY(Dashboard!$B$20),Dashboard!$D$20:$D$25)</f>
        <v>1</v>
      </c>
      <c r="Q517" t="b" cm="1">
        <f t="array" ref="Q517">_xlfn.XLOOKUP(Sales_Data[[#This Row],[Lead Source]],_xlfn.ANCHORARRAY(Dashboard!$B$28),Dashboard!$D$28:$D$32)</f>
        <v>1</v>
      </c>
      <c r="R517">
        <f>Sales_Data[[#This Row],[Date inc]]*Sales_Data[[#This Row],[Team Inc]]*Sales_Data[[#This Row],[Rep Inc]]*Sales_Data[[#This Row],[Stage Inc]]*Sales_Data[[#This Row],[Source Inc]]</f>
        <v>1</v>
      </c>
    </row>
    <row r="518" spans="1:18" x14ac:dyDescent="0.3">
      <c r="A518" t="s">
        <v>525</v>
      </c>
      <c r="B518" s="2">
        <v>45553</v>
      </c>
      <c r="C518" t="s">
        <v>763</v>
      </c>
      <c r="D518" t="s">
        <v>765</v>
      </c>
      <c r="E518" t="s">
        <v>768</v>
      </c>
      <c r="F518" s="5">
        <v>45000</v>
      </c>
      <c r="G518" t="s">
        <v>781</v>
      </c>
      <c r="H518" s="2">
        <v>45629</v>
      </c>
      <c r="I518" t="s">
        <v>779</v>
      </c>
      <c r="J518" t="str">
        <f>IF(Sales_Data[[#This Row],[Close Date]] &lt;&gt; 0,"Closed", "Open")</f>
        <v>Closed</v>
      </c>
      <c r="K518">
        <f>IF(Sales_Data[[#This Row],[Open/Closed]] = "Closed",Sales_Data[[#This Row],[Close Date]]-Sales_Data[[#This Row],[Created Date]],"")</f>
        <v>76</v>
      </c>
      <c r="L518" s="2">
        <f>EOMONTH(Sales_Data[[#This Row],[Created Date]],0)</f>
        <v>45565</v>
      </c>
      <c r="M518" t="b">
        <f>AND(Sales_Data[[#This Row],[EoM Created]]&gt;=Index!$E$5,Sales_Data[[#This Row],[EoM Created]]&lt;=Index!$E$4)</f>
        <v>1</v>
      </c>
      <c r="N518" t="b" cm="1">
        <f t="array" ref="N518">_xlfn.XLOOKUP(Sales_Data[[#This Row],[Sales Team]],_xlfn.ANCHORARRAY(Dashboard!$B$9),Dashboard!$D$9:$D$10,,0)</f>
        <v>1</v>
      </c>
      <c r="O518" t="b" cm="1">
        <f t="array" ref="O518">_xlfn.XLOOKUP(Sales_Data[[#This Row],[Sales Rep]],_xlfn.ANCHORARRAY(Dashboard!$B$13),Dashboard!$D$13:$D$17,,0)</f>
        <v>1</v>
      </c>
      <c r="P518" t="b" cm="1">
        <f t="array" ref="P518">_xlfn.XLOOKUP(Sales_Data[[#This Row],[Stage]],_xlfn.ANCHORARRAY(Dashboard!$B$20),Dashboard!$D$20:$D$25)</f>
        <v>1</v>
      </c>
      <c r="Q518" t="b" cm="1">
        <f t="array" ref="Q518">_xlfn.XLOOKUP(Sales_Data[[#This Row],[Lead Source]],_xlfn.ANCHORARRAY(Dashboard!$B$28),Dashboard!$D$28:$D$32)</f>
        <v>1</v>
      </c>
      <c r="R518">
        <f>Sales_Data[[#This Row],[Date inc]]*Sales_Data[[#This Row],[Team Inc]]*Sales_Data[[#This Row],[Rep Inc]]*Sales_Data[[#This Row],[Stage Inc]]*Sales_Data[[#This Row],[Source Inc]]</f>
        <v>1</v>
      </c>
    </row>
    <row r="519" spans="1:18" x14ac:dyDescent="0.3">
      <c r="A519" t="s">
        <v>526</v>
      </c>
      <c r="B519" s="2">
        <v>45619</v>
      </c>
      <c r="C519" t="s">
        <v>761</v>
      </c>
      <c r="D519" t="s">
        <v>765</v>
      </c>
      <c r="E519" t="s">
        <v>769</v>
      </c>
      <c r="F519" s="5">
        <v>30200</v>
      </c>
      <c r="G519" t="s">
        <v>781</v>
      </c>
      <c r="H519" s="2">
        <v>45705</v>
      </c>
      <c r="I519" t="s">
        <v>778</v>
      </c>
      <c r="J519" t="str">
        <f>IF(Sales_Data[[#This Row],[Close Date]] &lt;&gt; 0,"Closed", "Open")</f>
        <v>Closed</v>
      </c>
      <c r="K519">
        <f>IF(Sales_Data[[#This Row],[Open/Closed]] = "Closed",Sales_Data[[#This Row],[Close Date]]-Sales_Data[[#This Row],[Created Date]],"")</f>
        <v>86</v>
      </c>
      <c r="L519" s="2">
        <f>EOMONTH(Sales_Data[[#This Row],[Created Date]],0)</f>
        <v>45626</v>
      </c>
      <c r="M519" t="b">
        <f>AND(Sales_Data[[#This Row],[EoM Created]]&gt;=Index!$E$5,Sales_Data[[#This Row],[EoM Created]]&lt;=Index!$E$4)</f>
        <v>1</v>
      </c>
      <c r="N519" t="b" cm="1">
        <f t="array" ref="N519">_xlfn.XLOOKUP(Sales_Data[[#This Row],[Sales Team]],_xlfn.ANCHORARRAY(Dashboard!$B$9),Dashboard!$D$9:$D$10,,0)</f>
        <v>1</v>
      </c>
      <c r="O519" t="b" cm="1">
        <f t="array" ref="O519">_xlfn.XLOOKUP(Sales_Data[[#This Row],[Sales Rep]],_xlfn.ANCHORARRAY(Dashboard!$B$13),Dashboard!$D$13:$D$17,,0)</f>
        <v>1</v>
      </c>
      <c r="P519" t="b" cm="1">
        <f t="array" ref="P519">_xlfn.XLOOKUP(Sales_Data[[#This Row],[Stage]],_xlfn.ANCHORARRAY(Dashboard!$B$20),Dashboard!$D$20:$D$25)</f>
        <v>1</v>
      </c>
      <c r="Q519" t="b" cm="1">
        <f t="array" ref="Q519">_xlfn.XLOOKUP(Sales_Data[[#This Row],[Lead Source]],_xlfn.ANCHORARRAY(Dashboard!$B$28),Dashboard!$D$28:$D$32)</f>
        <v>1</v>
      </c>
      <c r="R519">
        <f>Sales_Data[[#This Row],[Date inc]]*Sales_Data[[#This Row],[Team Inc]]*Sales_Data[[#This Row],[Rep Inc]]*Sales_Data[[#This Row],[Stage Inc]]*Sales_Data[[#This Row],[Source Inc]]</f>
        <v>1</v>
      </c>
    </row>
    <row r="520" spans="1:18" x14ac:dyDescent="0.3">
      <c r="A520" t="s">
        <v>527</v>
      </c>
      <c r="B520" s="2">
        <v>44970</v>
      </c>
      <c r="C520" t="s">
        <v>763</v>
      </c>
      <c r="D520" t="s">
        <v>765</v>
      </c>
      <c r="E520" t="s">
        <v>769</v>
      </c>
      <c r="F520" s="5">
        <v>41000</v>
      </c>
      <c r="G520" t="s">
        <v>781</v>
      </c>
      <c r="H520" s="2">
        <v>45035</v>
      </c>
      <c r="I520" t="s">
        <v>775</v>
      </c>
      <c r="J520" t="str">
        <f>IF(Sales_Data[[#This Row],[Close Date]] &lt;&gt; 0,"Closed", "Open")</f>
        <v>Closed</v>
      </c>
      <c r="K520">
        <f>IF(Sales_Data[[#This Row],[Open/Closed]] = "Closed",Sales_Data[[#This Row],[Close Date]]-Sales_Data[[#This Row],[Created Date]],"")</f>
        <v>65</v>
      </c>
      <c r="L520" s="2">
        <f>EOMONTH(Sales_Data[[#This Row],[Created Date]],0)</f>
        <v>44985</v>
      </c>
      <c r="M520" t="b">
        <f>AND(Sales_Data[[#This Row],[EoM Created]]&gt;=Index!$E$5,Sales_Data[[#This Row],[EoM Created]]&lt;=Index!$E$4)</f>
        <v>0</v>
      </c>
      <c r="N520" t="b" cm="1">
        <f t="array" ref="N520">_xlfn.XLOOKUP(Sales_Data[[#This Row],[Sales Team]],_xlfn.ANCHORARRAY(Dashboard!$B$9),Dashboard!$D$9:$D$10,,0)</f>
        <v>1</v>
      </c>
      <c r="O520" t="b" cm="1">
        <f t="array" ref="O520">_xlfn.XLOOKUP(Sales_Data[[#This Row],[Sales Rep]],_xlfn.ANCHORARRAY(Dashboard!$B$13),Dashboard!$D$13:$D$17,,0)</f>
        <v>1</v>
      </c>
      <c r="P520" t="b" cm="1">
        <f t="array" ref="P520">_xlfn.XLOOKUP(Sales_Data[[#This Row],[Stage]],_xlfn.ANCHORARRAY(Dashboard!$B$20),Dashboard!$D$20:$D$25)</f>
        <v>1</v>
      </c>
      <c r="Q520" t="b" cm="1">
        <f t="array" ref="Q520">_xlfn.XLOOKUP(Sales_Data[[#This Row],[Lead Source]],_xlfn.ANCHORARRAY(Dashboard!$B$28),Dashboard!$D$28:$D$32)</f>
        <v>1</v>
      </c>
      <c r="R520">
        <f>Sales_Data[[#This Row],[Date inc]]*Sales_Data[[#This Row],[Team Inc]]*Sales_Data[[#This Row],[Rep Inc]]*Sales_Data[[#This Row],[Stage Inc]]*Sales_Data[[#This Row],[Source Inc]]</f>
        <v>0</v>
      </c>
    </row>
    <row r="521" spans="1:18" x14ac:dyDescent="0.3">
      <c r="A521" t="s">
        <v>528</v>
      </c>
      <c r="B521" s="2">
        <v>45140</v>
      </c>
      <c r="C521" t="s">
        <v>762</v>
      </c>
      <c r="D521" t="s">
        <v>764</v>
      </c>
      <c r="E521" t="s">
        <v>767</v>
      </c>
      <c r="F521" s="5">
        <v>47500</v>
      </c>
      <c r="G521" t="s">
        <v>781</v>
      </c>
      <c r="H521" s="2">
        <v>45222</v>
      </c>
      <c r="I521" t="s">
        <v>778</v>
      </c>
      <c r="J521" t="str">
        <f>IF(Sales_Data[[#This Row],[Close Date]] &lt;&gt; 0,"Closed", "Open")</f>
        <v>Closed</v>
      </c>
      <c r="K521">
        <f>IF(Sales_Data[[#This Row],[Open/Closed]] = "Closed",Sales_Data[[#This Row],[Close Date]]-Sales_Data[[#This Row],[Created Date]],"")</f>
        <v>82</v>
      </c>
      <c r="L521" s="2">
        <f>EOMONTH(Sales_Data[[#This Row],[Created Date]],0)</f>
        <v>45169</v>
      </c>
      <c r="M521" t="b">
        <f>AND(Sales_Data[[#This Row],[EoM Created]]&gt;=Index!$E$5,Sales_Data[[#This Row],[EoM Created]]&lt;=Index!$E$4)</f>
        <v>1</v>
      </c>
      <c r="N521" t="b" cm="1">
        <f t="array" ref="N521">_xlfn.XLOOKUP(Sales_Data[[#This Row],[Sales Team]],_xlfn.ANCHORARRAY(Dashboard!$B$9),Dashboard!$D$9:$D$10,,0)</f>
        <v>1</v>
      </c>
      <c r="O521" t="b" cm="1">
        <f t="array" ref="O521">_xlfn.XLOOKUP(Sales_Data[[#This Row],[Sales Rep]],_xlfn.ANCHORARRAY(Dashboard!$B$13),Dashboard!$D$13:$D$17,,0)</f>
        <v>1</v>
      </c>
      <c r="P521" t="b" cm="1">
        <f t="array" ref="P521">_xlfn.XLOOKUP(Sales_Data[[#This Row],[Stage]],_xlfn.ANCHORARRAY(Dashboard!$B$20),Dashboard!$D$20:$D$25)</f>
        <v>1</v>
      </c>
      <c r="Q521" t="b" cm="1">
        <f t="array" ref="Q521">_xlfn.XLOOKUP(Sales_Data[[#This Row],[Lead Source]],_xlfn.ANCHORARRAY(Dashboard!$B$28),Dashboard!$D$28:$D$32)</f>
        <v>1</v>
      </c>
      <c r="R521">
        <f>Sales_Data[[#This Row],[Date inc]]*Sales_Data[[#This Row],[Team Inc]]*Sales_Data[[#This Row],[Rep Inc]]*Sales_Data[[#This Row],[Stage Inc]]*Sales_Data[[#This Row],[Source Inc]]</f>
        <v>1</v>
      </c>
    </row>
    <row r="522" spans="1:18" x14ac:dyDescent="0.3">
      <c r="A522" t="s">
        <v>529</v>
      </c>
      <c r="B522" s="2">
        <v>45140</v>
      </c>
      <c r="C522" t="s">
        <v>759</v>
      </c>
      <c r="D522" t="s">
        <v>764</v>
      </c>
      <c r="E522" t="s">
        <v>767</v>
      </c>
      <c r="F522" s="5">
        <v>23300</v>
      </c>
      <c r="G522" t="s">
        <v>781</v>
      </c>
      <c r="H522" s="2">
        <v>45212</v>
      </c>
      <c r="I522" t="s">
        <v>777</v>
      </c>
      <c r="J522" t="str">
        <f>IF(Sales_Data[[#This Row],[Close Date]] &lt;&gt; 0,"Closed", "Open")</f>
        <v>Closed</v>
      </c>
      <c r="K522">
        <f>IF(Sales_Data[[#This Row],[Open/Closed]] = "Closed",Sales_Data[[#This Row],[Close Date]]-Sales_Data[[#This Row],[Created Date]],"")</f>
        <v>72</v>
      </c>
      <c r="L522" s="2">
        <f>EOMONTH(Sales_Data[[#This Row],[Created Date]],0)</f>
        <v>45169</v>
      </c>
      <c r="M522" t="b">
        <f>AND(Sales_Data[[#This Row],[EoM Created]]&gt;=Index!$E$5,Sales_Data[[#This Row],[EoM Created]]&lt;=Index!$E$4)</f>
        <v>1</v>
      </c>
      <c r="N522" t="b" cm="1">
        <f t="array" ref="N522">_xlfn.XLOOKUP(Sales_Data[[#This Row],[Sales Team]],_xlfn.ANCHORARRAY(Dashboard!$B$9),Dashboard!$D$9:$D$10,,0)</f>
        <v>1</v>
      </c>
      <c r="O522" t="b" cm="1">
        <f t="array" ref="O522">_xlfn.XLOOKUP(Sales_Data[[#This Row],[Sales Rep]],_xlfn.ANCHORARRAY(Dashboard!$B$13),Dashboard!$D$13:$D$17,,0)</f>
        <v>1</v>
      </c>
      <c r="P522" t="b" cm="1">
        <f t="array" ref="P522">_xlfn.XLOOKUP(Sales_Data[[#This Row],[Stage]],_xlfn.ANCHORARRAY(Dashboard!$B$20),Dashboard!$D$20:$D$25)</f>
        <v>1</v>
      </c>
      <c r="Q522" t="b" cm="1">
        <f t="array" ref="Q522">_xlfn.XLOOKUP(Sales_Data[[#This Row],[Lead Source]],_xlfn.ANCHORARRAY(Dashboard!$B$28),Dashboard!$D$28:$D$32)</f>
        <v>1</v>
      </c>
      <c r="R522">
        <f>Sales_Data[[#This Row],[Date inc]]*Sales_Data[[#This Row],[Team Inc]]*Sales_Data[[#This Row],[Rep Inc]]*Sales_Data[[#This Row],[Stage Inc]]*Sales_Data[[#This Row],[Source Inc]]</f>
        <v>1</v>
      </c>
    </row>
    <row r="523" spans="1:18" x14ac:dyDescent="0.3">
      <c r="A523" t="s">
        <v>530</v>
      </c>
      <c r="B523" s="2">
        <v>45435</v>
      </c>
      <c r="C523" t="s">
        <v>759</v>
      </c>
      <c r="D523" t="s">
        <v>764</v>
      </c>
      <c r="E523" t="s">
        <v>767</v>
      </c>
      <c r="F523" s="5">
        <v>45400</v>
      </c>
      <c r="G523" t="s">
        <v>780</v>
      </c>
      <c r="H523" s="2">
        <v>45500</v>
      </c>
      <c r="J523" t="str">
        <f>IF(Sales_Data[[#This Row],[Close Date]] &lt;&gt; 0,"Closed", "Open")</f>
        <v>Closed</v>
      </c>
      <c r="K523">
        <f>IF(Sales_Data[[#This Row],[Open/Closed]] = "Closed",Sales_Data[[#This Row],[Close Date]]-Sales_Data[[#This Row],[Created Date]],"")</f>
        <v>65</v>
      </c>
      <c r="L523" s="2">
        <f>EOMONTH(Sales_Data[[#This Row],[Created Date]],0)</f>
        <v>45443</v>
      </c>
      <c r="M523" t="b">
        <f>AND(Sales_Data[[#This Row],[EoM Created]]&gt;=Index!$E$5,Sales_Data[[#This Row],[EoM Created]]&lt;=Index!$E$4)</f>
        <v>1</v>
      </c>
      <c r="N523" t="b" cm="1">
        <f t="array" ref="N523">_xlfn.XLOOKUP(Sales_Data[[#This Row],[Sales Team]],_xlfn.ANCHORARRAY(Dashboard!$B$9),Dashboard!$D$9:$D$10,,0)</f>
        <v>1</v>
      </c>
      <c r="O523" t="b" cm="1">
        <f t="array" ref="O523">_xlfn.XLOOKUP(Sales_Data[[#This Row],[Sales Rep]],_xlfn.ANCHORARRAY(Dashboard!$B$13),Dashboard!$D$13:$D$17,,0)</f>
        <v>1</v>
      </c>
      <c r="P523" t="b" cm="1">
        <f t="array" ref="P523">_xlfn.XLOOKUP(Sales_Data[[#This Row],[Stage]],_xlfn.ANCHORARRAY(Dashboard!$B$20),Dashboard!$D$20:$D$25)</f>
        <v>1</v>
      </c>
      <c r="Q523" t="b" cm="1">
        <f t="array" ref="Q523">_xlfn.XLOOKUP(Sales_Data[[#This Row],[Lead Source]],_xlfn.ANCHORARRAY(Dashboard!$B$28),Dashboard!$D$28:$D$32)</f>
        <v>1</v>
      </c>
      <c r="R523">
        <f>Sales_Data[[#This Row],[Date inc]]*Sales_Data[[#This Row],[Team Inc]]*Sales_Data[[#This Row],[Rep Inc]]*Sales_Data[[#This Row],[Stage Inc]]*Sales_Data[[#This Row],[Source Inc]]</f>
        <v>1</v>
      </c>
    </row>
    <row r="524" spans="1:18" x14ac:dyDescent="0.3">
      <c r="A524" t="s">
        <v>531</v>
      </c>
      <c r="B524" s="2">
        <v>45350</v>
      </c>
      <c r="C524" t="s">
        <v>759</v>
      </c>
      <c r="D524" t="s">
        <v>764</v>
      </c>
      <c r="E524" t="s">
        <v>766</v>
      </c>
      <c r="F524" s="5">
        <v>33400</v>
      </c>
      <c r="G524" t="s">
        <v>780</v>
      </c>
      <c r="H524" s="2">
        <v>45415</v>
      </c>
      <c r="J524" t="str">
        <f>IF(Sales_Data[[#This Row],[Close Date]] &lt;&gt; 0,"Closed", "Open")</f>
        <v>Closed</v>
      </c>
      <c r="K524">
        <f>IF(Sales_Data[[#This Row],[Open/Closed]] = "Closed",Sales_Data[[#This Row],[Close Date]]-Sales_Data[[#This Row],[Created Date]],"")</f>
        <v>65</v>
      </c>
      <c r="L524" s="2">
        <f>EOMONTH(Sales_Data[[#This Row],[Created Date]],0)</f>
        <v>45351</v>
      </c>
      <c r="M524" t="b">
        <f>AND(Sales_Data[[#This Row],[EoM Created]]&gt;=Index!$E$5,Sales_Data[[#This Row],[EoM Created]]&lt;=Index!$E$4)</f>
        <v>1</v>
      </c>
      <c r="N524" t="b" cm="1">
        <f t="array" ref="N524">_xlfn.XLOOKUP(Sales_Data[[#This Row],[Sales Team]],_xlfn.ANCHORARRAY(Dashboard!$B$9),Dashboard!$D$9:$D$10,,0)</f>
        <v>1</v>
      </c>
      <c r="O524" t="b" cm="1">
        <f t="array" ref="O524">_xlfn.XLOOKUP(Sales_Data[[#This Row],[Sales Rep]],_xlfn.ANCHORARRAY(Dashboard!$B$13),Dashboard!$D$13:$D$17,,0)</f>
        <v>1</v>
      </c>
      <c r="P524" t="b" cm="1">
        <f t="array" ref="P524">_xlfn.XLOOKUP(Sales_Data[[#This Row],[Stage]],_xlfn.ANCHORARRAY(Dashboard!$B$20),Dashboard!$D$20:$D$25)</f>
        <v>1</v>
      </c>
      <c r="Q524" t="b" cm="1">
        <f t="array" ref="Q524">_xlfn.XLOOKUP(Sales_Data[[#This Row],[Lead Source]],_xlfn.ANCHORARRAY(Dashboard!$B$28),Dashboard!$D$28:$D$32)</f>
        <v>1</v>
      </c>
      <c r="R524">
        <f>Sales_Data[[#This Row],[Date inc]]*Sales_Data[[#This Row],[Team Inc]]*Sales_Data[[#This Row],[Rep Inc]]*Sales_Data[[#This Row],[Stage Inc]]*Sales_Data[[#This Row],[Source Inc]]</f>
        <v>1</v>
      </c>
    </row>
    <row r="525" spans="1:18" x14ac:dyDescent="0.3">
      <c r="A525" t="s">
        <v>532</v>
      </c>
      <c r="B525" s="2">
        <v>44937</v>
      </c>
      <c r="C525" t="s">
        <v>761</v>
      </c>
      <c r="D525" t="s">
        <v>765</v>
      </c>
      <c r="E525" t="s">
        <v>769</v>
      </c>
      <c r="F525" s="5">
        <v>45700</v>
      </c>
      <c r="G525" t="s">
        <v>781</v>
      </c>
      <c r="H525" s="2">
        <v>45011</v>
      </c>
      <c r="I525" t="s">
        <v>779</v>
      </c>
      <c r="J525" t="str">
        <f>IF(Sales_Data[[#This Row],[Close Date]] &lt;&gt; 0,"Closed", "Open")</f>
        <v>Closed</v>
      </c>
      <c r="K525">
        <f>IF(Sales_Data[[#This Row],[Open/Closed]] = "Closed",Sales_Data[[#This Row],[Close Date]]-Sales_Data[[#This Row],[Created Date]],"")</f>
        <v>74</v>
      </c>
      <c r="L525" s="2">
        <f>EOMONTH(Sales_Data[[#This Row],[Created Date]],0)</f>
        <v>44957</v>
      </c>
      <c r="M525" t="b">
        <f>AND(Sales_Data[[#This Row],[EoM Created]]&gt;=Index!$E$5,Sales_Data[[#This Row],[EoM Created]]&lt;=Index!$E$4)</f>
        <v>0</v>
      </c>
      <c r="N525" t="b" cm="1">
        <f t="array" ref="N525">_xlfn.XLOOKUP(Sales_Data[[#This Row],[Sales Team]],_xlfn.ANCHORARRAY(Dashboard!$B$9),Dashboard!$D$9:$D$10,,0)</f>
        <v>1</v>
      </c>
      <c r="O525" t="b" cm="1">
        <f t="array" ref="O525">_xlfn.XLOOKUP(Sales_Data[[#This Row],[Sales Rep]],_xlfn.ANCHORARRAY(Dashboard!$B$13),Dashboard!$D$13:$D$17,,0)</f>
        <v>1</v>
      </c>
      <c r="P525" t="b" cm="1">
        <f t="array" ref="P525">_xlfn.XLOOKUP(Sales_Data[[#This Row],[Stage]],_xlfn.ANCHORARRAY(Dashboard!$B$20),Dashboard!$D$20:$D$25)</f>
        <v>1</v>
      </c>
      <c r="Q525" t="b" cm="1">
        <f t="array" ref="Q525">_xlfn.XLOOKUP(Sales_Data[[#This Row],[Lead Source]],_xlfn.ANCHORARRAY(Dashboard!$B$28),Dashboard!$D$28:$D$32)</f>
        <v>1</v>
      </c>
      <c r="R525">
        <f>Sales_Data[[#This Row],[Date inc]]*Sales_Data[[#This Row],[Team Inc]]*Sales_Data[[#This Row],[Rep Inc]]*Sales_Data[[#This Row],[Stage Inc]]*Sales_Data[[#This Row],[Source Inc]]</f>
        <v>0</v>
      </c>
    </row>
    <row r="526" spans="1:18" x14ac:dyDescent="0.3">
      <c r="A526" t="s">
        <v>533</v>
      </c>
      <c r="B526" s="2">
        <v>45642</v>
      </c>
      <c r="C526" t="s">
        <v>762</v>
      </c>
      <c r="D526" t="s">
        <v>764</v>
      </c>
      <c r="E526" t="s">
        <v>766</v>
      </c>
      <c r="F526" s="5">
        <v>32400</v>
      </c>
      <c r="G526" t="s">
        <v>781</v>
      </c>
      <c r="H526" s="2">
        <v>45730</v>
      </c>
      <c r="I526" t="s">
        <v>778</v>
      </c>
      <c r="J526" t="str">
        <f>IF(Sales_Data[[#This Row],[Close Date]] &lt;&gt; 0,"Closed", "Open")</f>
        <v>Closed</v>
      </c>
      <c r="K526">
        <f>IF(Sales_Data[[#This Row],[Open/Closed]] = "Closed",Sales_Data[[#This Row],[Close Date]]-Sales_Data[[#This Row],[Created Date]],"")</f>
        <v>88</v>
      </c>
      <c r="L526" s="2">
        <f>EOMONTH(Sales_Data[[#This Row],[Created Date]],0)</f>
        <v>45657</v>
      </c>
      <c r="M526" t="b">
        <f>AND(Sales_Data[[#This Row],[EoM Created]]&gt;=Index!$E$5,Sales_Data[[#This Row],[EoM Created]]&lt;=Index!$E$4)</f>
        <v>1</v>
      </c>
      <c r="N526" t="b" cm="1">
        <f t="array" ref="N526">_xlfn.XLOOKUP(Sales_Data[[#This Row],[Sales Team]],_xlfn.ANCHORARRAY(Dashboard!$B$9),Dashboard!$D$9:$D$10,,0)</f>
        <v>1</v>
      </c>
      <c r="O526" t="b" cm="1">
        <f t="array" ref="O526">_xlfn.XLOOKUP(Sales_Data[[#This Row],[Sales Rep]],_xlfn.ANCHORARRAY(Dashboard!$B$13),Dashboard!$D$13:$D$17,,0)</f>
        <v>1</v>
      </c>
      <c r="P526" t="b" cm="1">
        <f t="array" ref="P526">_xlfn.XLOOKUP(Sales_Data[[#This Row],[Stage]],_xlfn.ANCHORARRAY(Dashboard!$B$20),Dashboard!$D$20:$D$25)</f>
        <v>1</v>
      </c>
      <c r="Q526" t="b" cm="1">
        <f t="array" ref="Q526">_xlfn.XLOOKUP(Sales_Data[[#This Row],[Lead Source]],_xlfn.ANCHORARRAY(Dashboard!$B$28),Dashboard!$D$28:$D$32)</f>
        <v>1</v>
      </c>
      <c r="R526">
        <f>Sales_Data[[#This Row],[Date inc]]*Sales_Data[[#This Row],[Team Inc]]*Sales_Data[[#This Row],[Rep Inc]]*Sales_Data[[#This Row],[Stage Inc]]*Sales_Data[[#This Row],[Source Inc]]</f>
        <v>1</v>
      </c>
    </row>
    <row r="527" spans="1:18" x14ac:dyDescent="0.3">
      <c r="A527" t="s">
        <v>534</v>
      </c>
      <c r="B527" s="2">
        <v>45333</v>
      </c>
      <c r="C527" t="s">
        <v>760</v>
      </c>
      <c r="D527" t="s">
        <v>764</v>
      </c>
      <c r="E527" t="s">
        <v>766</v>
      </c>
      <c r="F527" s="5">
        <v>22000</v>
      </c>
      <c r="G527" t="s">
        <v>781</v>
      </c>
      <c r="H527" s="2">
        <v>45416</v>
      </c>
      <c r="I527" t="s">
        <v>779</v>
      </c>
      <c r="J527" t="str">
        <f>IF(Sales_Data[[#This Row],[Close Date]] &lt;&gt; 0,"Closed", "Open")</f>
        <v>Closed</v>
      </c>
      <c r="K527">
        <f>IF(Sales_Data[[#This Row],[Open/Closed]] = "Closed",Sales_Data[[#This Row],[Close Date]]-Sales_Data[[#This Row],[Created Date]],"")</f>
        <v>83</v>
      </c>
      <c r="L527" s="2">
        <f>EOMONTH(Sales_Data[[#This Row],[Created Date]],0)</f>
        <v>45351</v>
      </c>
      <c r="M527" t="b">
        <f>AND(Sales_Data[[#This Row],[EoM Created]]&gt;=Index!$E$5,Sales_Data[[#This Row],[EoM Created]]&lt;=Index!$E$4)</f>
        <v>1</v>
      </c>
      <c r="N527" t="b" cm="1">
        <f t="array" ref="N527">_xlfn.XLOOKUP(Sales_Data[[#This Row],[Sales Team]],_xlfn.ANCHORARRAY(Dashboard!$B$9),Dashboard!$D$9:$D$10,,0)</f>
        <v>1</v>
      </c>
      <c r="O527" t="b" cm="1">
        <f t="array" ref="O527">_xlfn.XLOOKUP(Sales_Data[[#This Row],[Sales Rep]],_xlfn.ANCHORARRAY(Dashboard!$B$13),Dashboard!$D$13:$D$17,,0)</f>
        <v>1</v>
      </c>
      <c r="P527" t="b" cm="1">
        <f t="array" ref="P527">_xlfn.XLOOKUP(Sales_Data[[#This Row],[Stage]],_xlfn.ANCHORARRAY(Dashboard!$B$20),Dashboard!$D$20:$D$25)</f>
        <v>1</v>
      </c>
      <c r="Q527" t="b" cm="1">
        <f t="array" ref="Q527">_xlfn.XLOOKUP(Sales_Data[[#This Row],[Lead Source]],_xlfn.ANCHORARRAY(Dashboard!$B$28),Dashboard!$D$28:$D$32)</f>
        <v>1</v>
      </c>
      <c r="R527">
        <f>Sales_Data[[#This Row],[Date inc]]*Sales_Data[[#This Row],[Team Inc]]*Sales_Data[[#This Row],[Rep Inc]]*Sales_Data[[#This Row],[Stage Inc]]*Sales_Data[[#This Row],[Source Inc]]</f>
        <v>1</v>
      </c>
    </row>
    <row r="528" spans="1:18" x14ac:dyDescent="0.3">
      <c r="A528" t="s">
        <v>535</v>
      </c>
      <c r="B528" s="2">
        <v>44955</v>
      </c>
      <c r="C528" t="s">
        <v>763</v>
      </c>
      <c r="D528" t="s">
        <v>765</v>
      </c>
      <c r="E528" t="s">
        <v>769</v>
      </c>
      <c r="F528" s="5">
        <v>23700</v>
      </c>
      <c r="G528" t="s">
        <v>781</v>
      </c>
      <c r="H528" s="2">
        <v>45019</v>
      </c>
      <c r="I528" t="s">
        <v>776</v>
      </c>
      <c r="J528" t="str">
        <f>IF(Sales_Data[[#This Row],[Close Date]] &lt;&gt; 0,"Closed", "Open")</f>
        <v>Closed</v>
      </c>
      <c r="K528">
        <f>IF(Sales_Data[[#This Row],[Open/Closed]] = "Closed",Sales_Data[[#This Row],[Close Date]]-Sales_Data[[#This Row],[Created Date]],"")</f>
        <v>64</v>
      </c>
      <c r="L528" s="2">
        <f>EOMONTH(Sales_Data[[#This Row],[Created Date]],0)</f>
        <v>44957</v>
      </c>
      <c r="M528" t="b">
        <f>AND(Sales_Data[[#This Row],[EoM Created]]&gt;=Index!$E$5,Sales_Data[[#This Row],[EoM Created]]&lt;=Index!$E$4)</f>
        <v>0</v>
      </c>
      <c r="N528" t="b" cm="1">
        <f t="array" ref="N528">_xlfn.XLOOKUP(Sales_Data[[#This Row],[Sales Team]],_xlfn.ANCHORARRAY(Dashboard!$B$9),Dashboard!$D$9:$D$10,,0)</f>
        <v>1</v>
      </c>
      <c r="O528" t="b" cm="1">
        <f t="array" ref="O528">_xlfn.XLOOKUP(Sales_Data[[#This Row],[Sales Rep]],_xlfn.ANCHORARRAY(Dashboard!$B$13),Dashboard!$D$13:$D$17,,0)</f>
        <v>1</v>
      </c>
      <c r="P528" t="b" cm="1">
        <f t="array" ref="P528">_xlfn.XLOOKUP(Sales_Data[[#This Row],[Stage]],_xlfn.ANCHORARRAY(Dashboard!$B$20),Dashboard!$D$20:$D$25)</f>
        <v>1</v>
      </c>
      <c r="Q528" t="b" cm="1">
        <f t="array" ref="Q528">_xlfn.XLOOKUP(Sales_Data[[#This Row],[Lead Source]],_xlfn.ANCHORARRAY(Dashboard!$B$28),Dashboard!$D$28:$D$32)</f>
        <v>1</v>
      </c>
      <c r="R528">
        <f>Sales_Data[[#This Row],[Date inc]]*Sales_Data[[#This Row],[Team Inc]]*Sales_Data[[#This Row],[Rep Inc]]*Sales_Data[[#This Row],[Stage Inc]]*Sales_Data[[#This Row],[Source Inc]]</f>
        <v>0</v>
      </c>
    </row>
    <row r="529" spans="1:18" x14ac:dyDescent="0.3">
      <c r="A529" t="s">
        <v>536</v>
      </c>
      <c r="B529" s="2">
        <v>45012</v>
      </c>
      <c r="C529" t="s">
        <v>759</v>
      </c>
      <c r="D529" t="s">
        <v>764</v>
      </c>
      <c r="E529" t="s">
        <v>767</v>
      </c>
      <c r="F529" s="5">
        <v>40500</v>
      </c>
      <c r="G529" t="s">
        <v>781</v>
      </c>
      <c r="H529" s="2">
        <v>45101</v>
      </c>
      <c r="I529" t="s">
        <v>778</v>
      </c>
      <c r="J529" t="str">
        <f>IF(Sales_Data[[#This Row],[Close Date]] &lt;&gt; 0,"Closed", "Open")</f>
        <v>Closed</v>
      </c>
      <c r="K529">
        <f>IF(Sales_Data[[#This Row],[Open/Closed]] = "Closed",Sales_Data[[#This Row],[Close Date]]-Sales_Data[[#This Row],[Created Date]],"")</f>
        <v>89</v>
      </c>
      <c r="L529" s="2">
        <f>EOMONTH(Sales_Data[[#This Row],[Created Date]],0)</f>
        <v>45016</v>
      </c>
      <c r="M529" t="b">
        <f>AND(Sales_Data[[#This Row],[EoM Created]]&gt;=Index!$E$5,Sales_Data[[#This Row],[EoM Created]]&lt;=Index!$E$4)</f>
        <v>0</v>
      </c>
      <c r="N529" t="b" cm="1">
        <f t="array" ref="N529">_xlfn.XLOOKUP(Sales_Data[[#This Row],[Sales Team]],_xlfn.ANCHORARRAY(Dashboard!$B$9),Dashboard!$D$9:$D$10,,0)</f>
        <v>1</v>
      </c>
      <c r="O529" t="b" cm="1">
        <f t="array" ref="O529">_xlfn.XLOOKUP(Sales_Data[[#This Row],[Sales Rep]],_xlfn.ANCHORARRAY(Dashboard!$B$13),Dashboard!$D$13:$D$17,,0)</f>
        <v>1</v>
      </c>
      <c r="P529" t="b" cm="1">
        <f t="array" ref="P529">_xlfn.XLOOKUP(Sales_Data[[#This Row],[Stage]],_xlfn.ANCHORARRAY(Dashboard!$B$20),Dashboard!$D$20:$D$25)</f>
        <v>1</v>
      </c>
      <c r="Q529" t="b" cm="1">
        <f t="array" ref="Q529">_xlfn.XLOOKUP(Sales_Data[[#This Row],[Lead Source]],_xlfn.ANCHORARRAY(Dashboard!$B$28),Dashboard!$D$28:$D$32)</f>
        <v>1</v>
      </c>
      <c r="R529">
        <f>Sales_Data[[#This Row],[Date inc]]*Sales_Data[[#This Row],[Team Inc]]*Sales_Data[[#This Row],[Rep Inc]]*Sales_Data[[#This Row],[Stage Inc]]*Sales_Data[[#This Row],[Source Inc]]</f>
        <v>0</v>
      </c>
    </row>
    <row r="530" spans="1:18" x14ac:dyDescent="0.3">
      <c r="A530" t="s">
        <v>537</v>
      </c>
      <c r="B530" s="2">
        <v>45381</v>
      </c>
      <c r="C530" t="s">
        <v>763</v>
      </c>
      <c r="D530" t="s">
        <v>765</v>
      </c>
      <c r="E530" t="s">
        <v>768</v>
      </c>
      <c r="F530" s="5">
        <v>42600</v>
      </c>
      <c r="G530" t="s">
        <v>781</v>
      </c>
      <c r="H530" s="2">
        <v>45445</v>
      </c>
      <c r="I530" t="s">
        <v>779</v>
      </c>
      <c r="J530" t="str">
        <f>IF(Sales_Data[[#This Row],[Close Date]] &lt;&gt; 0,"Closed", "Open")</f>
        <v>Closed</v>
      </c>
      <c r="K530">
        <f>IF(Sales_Data[[#This Row],[Open/Closed]] = "Closed",Sales_Data[[#This Row],[Close Date]]-Sales_Data[[#This Row],[Created Date]],"")</f>
        <v>64</v>
      </c>
      <c r="L530" s="2">
        <f>EOMONTH(Sales_Data[[#This Row],[Created Date]],0)</f>
        <v>45382</v>
      </c>
      <c r="M530" t="b">
        <f>AND(Sales_Data[[#This Row],[EoM Created]]&gt;=Index!$E$5,Sales_Data[[#This Row],[EoM Created]]&lt;=Index!$E$4)</f>
        <v>1</v>
      </c>
      <c r="N530" t="b" cm="1">
        <f t="array" ref="N530">_xlfn.XLOOKUP(Sales_Data[[#This Row],[Sales Team]],_xlfn.ANCHORARRAY(Dashboard!$B$9),Dashboard!$D$9:$D$10,,0)</f>
        <v>1</v>
      </c>
      <c r="O530" t="b" cm="1">
        <f t="array" ref="O530">_xlfn.XLOOKUP(Sales_Data[[#This Row],[Sales Rep]],_xlfn.ANCHORARRAY(Dashboard!$B$13),Dashboard!$D$13:$D$17,,0)</f>
        <v>1</v>
      </c>
      <c r="P530" t="b" cm="1">
        <f t="array" ref="P530">_xlfn.XLOOKUP(Sales_Data[[#This Row],[Stage]],_xlfn.ANCHORARRAY(Dashboard!$B$20),Dashboard!$D$20:$D$25)</f>
        <v>1</v>
      </c>
      <c r="Q530" t="b" cm="1">
        <f t="array" ref="Q530">_xlfn.XLOOKUP(Sales_Data[[#This Row],[Lead Source]],_xlfn.ANCHORARRAY(Dashboard!$B$28),Dashboard!$D$28:$D$32)</f>
        <v>1</v>
      </c>
      <c r="R530">
        <f>Sales_Data[[#This Row],[Date inc]]*Sales_Data[[#This Row],[Team Inc]]*Sales_Data[[#This Row],[Rep Inc]]*Sales_Data[[#This Row],[Stage Inc]]*Sales_Data[[#This Row],[Source Inc]]</f>
        <v>1</v>
      </c>
    </row>
    <row r="531" spans="1:18" x14ac:dyDescent="0.3">
      <c r="A531" t="s">
        <v>538</v>
      </c>
      <c r="B531" s="2">
        <v>45058</v>
      </c>
      <c r="C531" t="s">
        <v>759</v>
      </c>
      <c r="D531" t="s">
        <v>764</v>
      </c>
      <c r="E531" t="s">
        <v>766</v>
      </c>
      <c r="F531" s="5">
        <v>31000</v>
      </c>
      <c r="G531" t="s">
        <v>781</v>
      </c>
      <c r="H531" s="2">
        <v>45127</v>
      </c>
      <c r="I531" t="s">
        <v>775</v>
      </c>
      <c r="J531" t="str">
        <f>IF(Sales_Data[[#This Row],[Close Date]] &lt;&gt; 0,"Closed", "Open")</f>
        <v>Closed</v>
      </c>
      <c r="K531">
        <f>IF(Sales_Data[[#This Row],[Open/Closed]] = "Closed",Sales_Data[[#This Row],[Close Date]]-Sales_Data[[#This Row],[Created Date]],"")</f>
        <v>69</v>
      </c>
      <c r="L531" s="2">
        <f>EOMONTH(Sales_Data[[#This Row],[Created Date]],0)</f>
        <v>45077</v>
      </c>
      <c r="M531" t="b">
        <f>AND(Sales_Data[[#This Row],[EoM Created]]&gt;=Index!$E$5,Sales_Data[[#This Row],[EoM Created]]&lt;=Index!$E$4)</f>
        <v>0</v>
      </c>
      <c r="N531" t="b" cm="1">
        <f t="array" ref="N531">_xlfn.XLOOKUP(Sales_Data[[#This Row],[Sales Team]],_xlfn.ANCHORARRAY(Dashboard!$B$9),Dashboard!$D$9:$D$10,,0)</f>
        <v>1</v>
      </c>
      <c r="O531" t="b" cm="1">
        <f t="array" ref="O531">_xlfn.XLOOKUP(Sales_Data[[#This Row],[Sales Rep]],_xlfn.ANCHORARRAY(Dashboard!$B$13),Dashboard!$D$13:$D$17,,0)</f>
        <v>1</v>
      </c>
      <c r="P531" t="b" cm="1">
        <f t="array" ref="P531">_xlfn.XLOOKUP(Sales_Data[[#This Row],[Stage]],_xlfn.ANCHORARRAY(Dashboard!$B$20),Dashboard!$D$20:$D$25)</f>
        <v>1</v>
      </c>
      <c r="Q531" t="b" cm="1">
        <f t="array" ref="Q531">_xlfn.XLOOKUP(Sales_Data[[#This Row],[Lead Source]],_xlfn.ANCHORARRAY(Dashboard!$B$28),Dashboard!$D$28:$D$32)</f>
        <v>1</v>
      </c>
      <c r="R531">
        <f>Sales_Data[[#This Row],[Date inc]]*Sales_Data[[#This Row],[Team Inc]]*Sales_Data[[#This Row],[Rep Inc]]*Sales_Data[[#This Row],[Stage Inc]]*Sales_Data[[#This Row],[Source Inc]]</f>
        <v>0</v>
      </c>
    </row>
    <row r="532" spans="1:18" x14ac:dyDescent="0.3">
      <c r="A532" t="s">
        <v>539</v>
      </c>
      <c r="B532" s="2">
        <v>45328</v>
      </c>
      <c r="C532" t="s">
        <v>761</v>
      </c>
      <c r="D532" t="s">
        <v>765</v>
      </c>
      <c r="E532" t="s">
        <v>768</v>
      </c>
      <c r="F532" s="5">
        <v>46400</v>
      </c>
      <c r="G532" t="s">
        <v>781</v>
      </c>
      <c r="H532" s="2">
        <v>45395</v>
      </c>
      <c r="I532" t="s">
        <v>778</v>
      </c>
      <c r="J532" t="str">
        <f>IF(Sales_Data[[#This Row],[Close Date]] &lt;&gt; 0,"Closed", "Open")</f>
        <v>Closed</v>
      </c>
      <c r="K532">
        <f>IF(Sales_Data[[#This Row],[Open/Closed]] = "Closed",Sales_Data[[#This Row],[Close Date]]-Sales_Data[[#This Row],[Created Date]],"")</f>
        <v>67</v>
      </c>
      <c r="L532" s="2">
        <f>EOMONTH(Sales_Data[[#This Row],[Created Date]],0)</f>
        <v>45351</v>
      </c>
      <c r="M532" t="b">
        <f>AND(Sales_Data[[#This Row],[EoM Created]]&gt;=Index!$E$5,Sales_Data[[#This Row],[EoM Created]]&lt;=Index!$E$4)</f>
        <v>1</v>
      </c>
      <c r="N532" t="b" cm="1">
        <f t="array" ref="N532">_xlfn.XLOOKUP(Sales_Data[[#This Row],[Sales Team]],_xlfn.ANCHORARRAY(Dashboard!$B$9),Dashboard!$D$9:$D$10,,0)</f>
        <v>1</v>
      </c>
      <c r="O532" t="b" cm="1">
        <f t="array" ref="O532">_xlfn.XLOOKUP(Sales_Data[[#This Row],[Sales Rep]],_xlfn.ANCHORARRAY(Dashboard!$B$13),Dashboard!$D$13:$D$17,,0)</f>
        <v>1</v>
      </c>
      <c r="P532" t="b" cm="1">
        <f t="array" ref="P532">_xlfn.XLOOKUP(Sales_Data[[#This Row],[Stage]],_xlfn.ANCHORARRAY(Dashboard!$B$20),Dashboard!$D$20:$D$25)</f>
        <v>1</v>
      </c>
      <c r="Q532" t="b" cm="1">
        <f t="array" ref="Q532">_xlfn.XLOOKUP(Sales_Data[[#This Row],[Lead Source]],_xlfn.ANCHORARRAY(Dashboard!$B$28),Dashboard!$D$28:$D$32)</f>
        <v>1</v>
      </c>
      <c r="R532">
        <f>Sales_Data[[#This Row],[Date inc]]*Sales_Data[[#This Row],[Team Inc]]*Sales_Data[[#This Row],[Rep Inc]]*Sales_Data[[#This Row],[Stage Inc]]*Sales_Data[[#This Row],[Source Inc]]</f>
        <v>1</v>
      </c>
    </row>
    <row r="533" spans="1:18" x14ac:dyDescent="0.3">
      <c r="A533" t="s">
        <v>540</v>
      </c>
      <c r="B533" s="2">
        <v>45502</v>
      </c>
      <c r="C533" t="s">
        <v>760</v>
      </c>
      <c r="D533" t="s">
        <v>764</v>
      </c>
      <c r="E533" t="s">
        <v>767</v>
      </c>
      <c r="F533" s="5">
        <v>23400</v>
      </c>
      <c r="G533" t="s">
        <v>781</v>
      </c>
      <c r="H533" s="2">
        <v>45574</v>
      </c>
      <c r="I533" t="s">
        <v>775</v>
      </c>
      <c r="J533" t="str">
        <f>IF(Sales_Data[[#This Row],[Close Date]] &lt;&gt; 0,"Closed", "Open")</f>
        <v>Closed</v>
      </c>
      <c r="K533">
        <f>IF(Sales_Data[[#This Row],[Open/Closed]] = "Closed",Sales_Data[[#This Row],[Close Date]]-Sales_Data[[#This Row],[Created Date]],"")</f>
        <v>72</v>
      </c>
      <c r="L533" s="2">
        <f>EOMONTH(Sales_Data[[#This Row],[Created Date]],0)</f>
        <v>45504</v>
      </c>
      <c r="M533" t="b">
        <f>AND(Sales_Data[[#This Row],[EoM Created]]&gt;=Index!$E$5,Sales_Data[[#This Row],[EoM Created]]&lt;=Index!$E$4)</f>
        <v>1</v>
      </c>
      <c r="N533" t="b" cm="1">
        <f t="array" ref="N533">_xlfn.XLOOKUP(Sales_Data[[#This Row],[Sales Team]],_xlfn.ANCHORARRAY(Dashboard!$B$9),Dashboard!$D$9:$D$10,,0)</f>
        <v>1</v>
      </c>
      <c r="O533" t="b" cm="1">
        <f t="array" ref="O533">_xlfn.XLOOKUP(Sales_Data[[#This Row],[Sales Rep]],_xlfn.ANCHORARRAY(Dashboard!$B$13),Dashboard!$D$13:$D$17,,0)</f>
        <v>1</v>
      </c>
      <c r="P533" t="b" cm="1">
        <f t="array" ref="P533">_xlfn.XLOOKUP(Sales_Data[[#This Row],[Stage]],_xlfn.ANCHORARRAY(Dashboard!$B$20),Dashboard!$D$20:$D$25)</f>
        <v>1</v>
      </c>
      <c r="Q533" t="b" cm="1">
        <f t="array" ref="Q533">_xlfn.XLOOKUP(Sales_Data[[#This Row],[Lead Source]],_xlfn.ANCHORARRAY(Dashboard!$B$28),Dashboard!$D$28:$D$32)</f>
        <v>1</v>
      </c>
      <c r="R533">
        <f>Sales_Data[[#This Row],[Date inc]]*Sales_Data[[#This Row],[Team Inc]]*Sales_Data[[#This Row],[Rep Inc]]*Sales_Data[[#This Row],[Stage Inc]]*Sales_Data[[#This Row],[Source Inc]]</f>
        <v>1</v>
      </c>
    </row>
    <row r="534" spans="1:18" x14ac:dyDescent="0.3">
      <c r="A534" t="s">
        <v>541</v>
      </c>
      <c r="B534" s="2">
        <v>45740</v>
      </c>
      <c r="C534" t="s">
        <v>762</v>
      </c>
      <c r="D534" t="s">
        <v>764</v>
      </c>
      <c r="E534" t="s">
        <v>767</v>
      </c>
      <c r="F534" s="5">
        <v>39300</v>
      </c>
      <c r="G534" t="s">
        <v>780</v>
      </c>
      <c r="H534" s="2">
        <v>45819</v>
      </c>
      <c r="J534" t="str">
        <f>IF(Sales_Data[[#This Row],[Close Date]] &lt;&gt; 0,"Closed", "Open")</f>
        <v>Closed</v>
      </c>
      <c r="K534">
        <f>IF(Sales_Data[[#This Row],[Open/Closed]] = "Closed",Sales_Data[[#This Row],[Close Date]]-Sales_Data[[#This Row],[Created Date]],"")</f>
        <v>79</v>
      </c>
      <c r="L534" s="2">
        <f>EOMONTH(Sales_Data[[#This Row],[Created Date]],0)</f>
        <v>45747</v>
      </c>
      <c r="M534" t="b">
        <f>AND(Sales_Data[[#This Row],[EoM Created]]&gt;=Index!$E$5,Sales_Data[[#This Row],[EoM Created]]&lt;=Index!$E$4)</f>
        <v>1</v>
      </c>
      <c r="N534" t="b" cm="1">
        <f t="array" ref="N534">_xlfn.XLOOKUP(Sales_Data[[#This Row],[Sales Team]],_xlfn.ANCHORARRAY(Dashboard!$B$9),Dashboard!$D$9:$D$10,,0)</f>
        <v>1</v>
      </c>
      <c r="O534" t="b" cm="1">
        <f t="array" ref="O534">_xlfn.XLOOKUP(Sales_Data[[#This Row],[Sales Rep]],_xlfn.ANCHORARRAY(Dashboard!$B$13),Dashboard!$D$13:$D$17,,0)</f>
        <v>1</v>
      </c>
      <c r="P534" t="b" cm="1">
        <f t="array" ref="P534">_xlfn.XLOOKUP(Sales_Data[[#This Row],[Stage]],_xlfn.ANCHORARRAY(Dashboard!$B$20),Dashboard!$D$20:$D$25)</f>
        <v>1</v>
      </c>
      <c r="Q534" t="b" cm="1">
        <f t="array" ref="Q534">_xlfn.XLOOKUP(Sales_Data[[#This Row],[Lead Source]],_xlfn.ANCHORARRAY(Dashboard!$B$28),Dashboard!$D$28:$D$32)</f>
        <v>1</v>
      </c>
      <c r="R534">
        <f>Sales_Data[[#This Row],[Date inc]]*Sales_Data[[#This Row],[Team Inc]]*Sales_Data[[#This Row],[Rep Inc]]*Sales_Data[[#This Row],[Stage Inc]]*Sales_Data[[#This Row],[Source Inc]]</f>
        <v>1</v>
      </c>
    </row>
    <row r="535" spans="1:18" x14ac:dyDescent="0.3">
      <c r="A535" t="s">
        <v>542</v>
      </c>
      <c r="B535" s="2">
        <v>45365</v>
      </c>
      <c r="C535" t="s">
        <v>762</v>
      </c>
      <c r="D535" t="s">
        <v>764</v>
      </c>
      <c r="E535" t="s">
        <v>767</v>
      </c>
      <c r="F535" s="5">
        <v>27900</v>
      </c>
      <c r="G535" t="s">
        <v>780</v>
      </c>
      <c r="H535" s="2">
        <v>45431</v>
      </c>
      <c r="J535" t="str">
        <f>IF(Sales_Data[[#This Row],[Close Date]] &lt;&gt; 0,"Closed", "Open")</f>
        <v>Closed</v>
      </c>
      <c r="K535">
        <f>IF(Sales_Data[[#This Row],[Open/Closed]] = "Closed",Sales_Data[[#This Row],[Close Date]]-Sales_Data[[#This Row],[Created Date]],"")</f>
        <v>66</v>
      </c>
      <c r="L535" s="2">
        <f>EOMONTH(Sales_Data[[#This Row],[Created Date]],0)</f>
        <v>45382</v>
      </c>
      <c r="M535" t="b">
        <f>AND(Sales_Data[[#This Row],[EoM Created]]&gt;=Index!$E$5,Sales_Data[[#This Row],[EoM Created]]&lt;=Index!$E$4)</f>
        <v>1</v>
      </c>
      <c r="N535" t="b" cm="1">
        <f t="array" ref="N535">_xlfn.XLOOKUP(Sales_Data[[#This Row],[Sales Team]],_xlfn.ANCHORARRAY(Dashboard!$B$9),Dashboard!$D$9:$D$10,,0)</f>
        <v>1</v>
      </c>
      <c r="O535" t="b" cm="1">
        <f t="array" ref="O535">_xlfn.XLOOKUP(Sales_Data[[#This Row],[Sales Rep]],_xlfn.ANCHORARRAY(Dashboard!$B$13),Dashboard!$D$13:$D$17,,0)</f>
        <v>1</v>
      </c>
      <c r="P535" t="b" cm="1">
        <f t="array" ref="P535">_xlfn.XLOOKUP(Sales_Data[[#This Row],[Stage]],_xlfn.ANCHORARRAY(Dashboard!$B$20),Dashboard!$D$20:$D$25)</f>
        <v>1</v>
      </c>
      <c r="Q535" t="b" cm="1">
        <f t="array" ref="Q535">_xlfn.XLOOKUP(Sales_Data[[#This Row],[Lead Source]],_xlfn.ANCHORARRAY(Dashboard!$B$28),Dashboard!$D$28:$D$32)</f>
        <v>1</v>
      </c>
      <c r="R535">
        <f>Sales_Data[[#This Row],[Date inc]]*Sales_Data[[#This Row],[Team Inc]]*Sales_Data[[#This Row],[Rep Inc]]*Sales_Data[[#This Row],[Stage Inc]]*Sales_Data[[#This Row],[Source Inc]]</f>
        <v>1</v>
      </c>
    </row>
    <row r="536" spans="1:18" x14ac:dyDescent="0.3">
      <c r="A536" t="s">
        <v>543</v>
      </c>
      <c r="B536" s="2">
        <v>44983</v>
      </c>
      <c r="C536" t="s">
        <v>763</v>
      </c>
      <c r="D536" t="s">
        <v>765</v>
      </c>
      <c r="E536" t="s">
        <v>768</v>
      </c>
      <c r="F536" s="5">
        <v>33500</v>
      </c>
      <c r="G536" t="s">
        <v>780</v>
      </c>
      <c r="H536" s="2">
        <v>45067</v>
      </c>
      <c r="J536" t="str">
        <f>IF(Sales_Data[[#This Row],[Close Date]] &lt;&gt; 0,"Closed", "Open")</f>
        <v>Closed</v>
      </c>
      <c r="K536">
        <f>IF(Sales_Data[[#This Row],[Open/Closed]] = "Closed",Sales_Data[[#This Row],[Close Date]]-Sales_Data[[#This Row],[Created Date]],"")</f>
        <v>84</v>
      </c>
      <c r="L536" s="2">
        <f>EOMONTH(Sales_Data[[#This Row],[Created Date]],0)</f>
        <v>44985</v>
      </c>
      <c r="M536" t="b">
        <f>AND(Sales_Data[[#This Row],[EoM Created]]&gt;=Index!$E$5,Sales_Data[[#This Row],[EoM Created]]&lt;=Index!$E$4)</f>
        <v>0</v>
      </c>
      <c r="N536" t="b" cm="1">
        <f t="array" ref="N536">_xlfn.XLOOKUP(Sales_Data[[#This Row],[Sales Team]],_xlfn.ANCHORARRAY(Dashboard!$B$9),Dashboard!$D$9:$D$10,,0)</f>
        <v>1</v>
      </c>
      <c r="O536" t="b" cm="1">
        <f t="array" ref="O536">_xlfn.XLOOKUP(Sales_Data[[#This Row],[Sales Rep]],_xlfn.ANCHORARRAY(Dashboard!$B$13),Dashboard!$D$13:$D$17,,0)</f>
        <v>1</v>
      </c>
      <c r="P536" t="b" cm="1">
        <f t="array" ref="P536">_xlfn.XLOOKUP(Sales_Data[[#This Row],[Stage]],_xlfn.ANCHORARRAY(Dashboard!$B$20),Dashboard!$D$20:$D$25)</f>
        <v>1</v>
      </c>
      <c r="Q536" t="b" cm="1">
        <f t="array" ref="Q536">_xlfn.XLOOKUP(Sales_Data[[#This Row],[Lead Source]],_xlfn.ANCHORARRAY(Dashboard!$B$28),Dashboard!$D$28:$D$32)</f>
        <v>1</v>
      </c>
      <c r="R536">
        <f>Sales_Data[[#This Row],[Date inc]]*Sales_Data[[#This Row],[Team Inc]]*Sales_Data[[#This Row],[Rep Inc]]*Sales_Data[[#This Row],[Stage Inc]]*Sales_Data[[#This Row],[Source Inc]]</f>
        <v>0</v>
      </c>
    </row>
    <row r="537" spans="1:18" x14ac:dyDescent="0.3">
      <c r="A537" t="s">
        <v>544</v>
      </c>
      <c r="B537" s="2">
        <v>45619</v>
      </c>
      <c r="C537" t="s">
        <v>763</v>
      </c>
      <c r="D537" t="s">
        <v>765</v>
      </c>
      <c r="E537" t="s">
        <v>770</v>
      </c>
      <c r="F537" s="5">
        <v>40500</v>
      </c>
      <c r="G537" t="s">
        <v>781</v>
      </c>
      <c r="H537" s="2">
        <v>45707</v>
      </c>
      <c r="I537" t="s">
        <v>778</v>
      </c>
      <c r="J537" t="str">
        <f>IF(Sales_Data[[#This Row],[Close Date]] &lt;&gt; 0,"Closed", "Open")</f>
        <v>Closed</v>
      </c>
      <c r="K537">
        <f>IF(Sales_Data[[#This Row],[Open/Closed]] = "Closed",Sales_Data[[#This Row],[Close Date]]-Sales_Data[[#This Row],[Created Date]],"")</f>
        <v>88</v>
      </c>
      <c r="L537" s="2">
        <f>EOMONTH(Sales_Data[[#This Row],[Created Date]],0)</f>
        <v>45626</v>
      </c>
      <c r="M537" t="b">
        <f>AND(Sales_Data[[#This Row],[EoM Created]]&gt;=Index!$E$5,Sales_Data[[#This Row],[EoM Created]]&lt;=Index!$E$4)</f>
        <v>1</v>
      </c>
      <c r="N537" t="b" cm="1">
        <f t="array" ref="N537">_xlfn.XLOOKUP(Sales_Data[[#This Row],[Sales Team]],_xlfn.ANCHORARRAY(Dashboard!$B$9),Dashboard!$D$9:$D$10,,0)</f>
        <v>1</v>
      </c>
      <c r="O537" t="b" cm="1">
        <f t="array" ref="O537">_xlfn.XLOOKUP(Sales_Data[[#This Row],[Sales Rep]],_xlfn.ANCHORARRAY(Dashboard!$B$13),Dashboard!$D$13:$D$17,,0)</f>
        <v>1</v>
      </c>
      <c r="P537" t="b" cm="1">
        <f t="array" ref="P537">_xlfn.XLOOKUP(Sales_Data[[#This Row],[Stage]],_xlfn.ANCHORARRAY(Dashboard!$B$20),Dashboard!$D$20:$D$25)</f>
        <v>1</v>
      </c>
      <c r="Q537" t="b" cm="1">
        <f t="array" ref="Q537">_xlfn.XLOOKUP(Sales_Data[[#This Row],[Lead Source]],_xlfn.ANCHORARRAY(Dashboard!$B$28),Dashboard!$D$28:$D$32)</f>
        <v>1</v>
      </c>
      <c r="R537">
        <f>Sales_Data[[#This Row],[Date inc]]*Sales_Data[[#This Row],[Team Inc]]*Sales_Data[[#This Row],[Rep Inc]]*Sales_Data[[#This Row],[Stage Inc]]*Sales_Data[[#This Row],[Source Inc]]</f>
        <v>1</v>
      </c>
    </row>
    <row r="538" spans="1:18" x14ac:dyDescent="0.3">
      <c r="A538" t="s">
        <v>545</v>
      </c>
      <c r="B538" s="2">
        <v>44961</v>
      </c>
      <c r="C538" t="s">
        <v>762</v>
      </c>
      <c r="D538" t="s">
        <v>764</v>
      </c>
      <c r="E538" t="s">
        <v>767</v>
      </c>
      <c r="F538" s="5">
        <v>31400</v>
      </c>
      <c r="G538" t="s">
        <v>781</v>
      </c>
      <c r="H538" s="2">
        <v>45025</v>
      </c>
      <c r="I538" t="s">
        <v>777</v>
      </c>
      <c r="J538" t="str">
        <f>IF(Sales_Data[[#This Row],[Close Date]] &lt;&gt; 0,"Closed", "Open")</f>
        <v>Closed</v>
      </c>
      <c r="K538">
        <f>IF(Sales_Data[[#This Row],[Open/Closed]] = "Closed",Sales_Data[[#This Row],[Close Date]]-Sales_Data[[#This Row],[Created Date]],"")</f>
        <v>64</v>
      </c>
      <c r="L538" s="2">
        <f>EOMONTH(Sales_Data[[#This Row],[Created Date]],0)</f>
        <v>44985</v>
      </c>
      <c r="M538" t="b">
        <f>AND(Sales_Data[[#This Row],[EoM Created]]&gt;=Index!$E$5,Sales_Data[[#This Row],[EoM Created]]&lt;=Index!$E$4)</f>
        <v>0</v>
      </c>
      <c r="N538" t="b" cm="1">
        <f t="array" ref="N538">_xlfn.XLOOKUP(Sales_Data[[#This Row],[Sales Team]],_xlfn.ANCHORARRAY(Dashboard!$B$9),Dashboard!$D$9:$D$10,,0)</f>
        <v>1</v>
      </c>
      <c r="O538" t="b" cm="1">
        <f t="array" ref="O538">_xlfn.XLOOKUP(Sales_Data[[#This Row],[Sales Rep]],_xlfn.ANCHORARRAY(Dashboard!$B$13),Dashboard!$D$13:$D$17,,0)</f>
        <v>1</v>
      </c>
      <c r="P538" t="b" cm="1">
        <f t="array" ref="P538">_xlfn.XLOOKUP(Sales_Data[[#This Row],[Stage]],_xlfn.ANCHORARRAY(Dashboard!$B$20),Dashboard!$D$20:$D$25)</f>
        <v>1</v>
      </c>
      <c r="Q538" t="b" cm="1">
        <f t="array" ref="Q538">_xlfn.XLOOKUP(Sales_Data[[#This Row],[Lead Source]],_xlfn.ANCHORARRAY(Dashboard!$B$28),Dashboard!$D$28:$D$32)</f>
        <v>1</v>
      </c>
      <c r="R538">
        <f>Sales_Data[[#This Row],[Date inc]]*Sales_Data[[#This Row],[Team Inc]]*Sales_Data[[#This Row],[Rep Inc]]*Sales_Data[[#This Row],[Stage Inc]]*Sales_Data[[#This Row],[Source Inc]]</f>
        <v>0</v>
      </c>
    </row>
    <row r="539" spans="1:18" x14ac:dyDescent="0.3">
      <c r="A539" t="s">
        <v>546</v>
      </c>
      <c r="B539" s="2">
        <v>44946</v>
      </c>
      <c r="C539" t="s">
        <v>759</v>
      </c>
      <c r="D539" t="s">
        <v>764</v>
      </c>
      <c r="E539" t="s">
        <v>767</v>
      </c>
      <c r="F539" s="5">
        <v>36200</v>
      </c>
      <c r="G539" t="s">
        <v>780</v>
      </c>
      <c r="H539" s="2">
        <v>45019</v>
      </c>
      <c r="J539" t="str">
        <f>IF(Sales_Data[[#This Row],[Close Date]] &lt;&gt; 0,"Closed", "Open")</f>
        <v>Closed</v>
      </c>
      <c r="K539">
        <f>IF(Sales_Data[[#This Row],[Open/Closed]] = "Closed",Sales_Data[[#This Row],[Close Date]]-Sales_Data[[#This Row],[Created Date]],"")</f>
        <v>73</v>
      </c>
      <c r="L539" s="2">
        <f>EOMONTH(Sales_Data[[#This Row],[Created Date]],0)</f>
        <v>44957</v>
      </c>
      <c r="M539" t="b">
        <f>AND(Sales_Data[[#This Row],[EoM Created]]&gt;=Index!$E$5,Sales_Data[[#This Row],[EoM Created]]&lt;=Index!$E$4)</f>
        <v>0</v>
      </c>
      <c r="N539" t="b" cm="1">
        <f t="array" ref="N539">_xlfn.XLOOKUP(Sales_Data[[#This Row],[Sales Team]],_xlfn.ANCHORARRAY(Dashboard!$B$9),Dashboard!$D$9:$D$10,,0)</f>
        <v>1</v>
      </c>
      <c r="O539" t="b" cm="1">
        <f t="array" ref="O539">_xlfn.XLOOKUP(Sales_Data[[#This Row],[Sales Rep]],_xlfn.ANCHORARRAY(Dashboard!$B$13),Dashboard!$D$13:$D$17,,0)</f>
        <v>1</v>
      </c>
      <c r="P539" t="b" cm="1">
        <f t="array" ref="P539">_xlfn.XLOOKUP(Sales_Data[[#This Row],[Stage]],_xlfn.ANCHORARRAY(Dashboard!$B$20),Dashboard!$D$20:$D$25)</f>
        <v>1</v>
      </c>
      <c r="Q539" t="b" cm="1">
        <f t="array" ref="Q539">_xlfn.XLOOKUP(Sales_Data[[#This Row],[Lead Source]],_xlfn.ANCHORARRAY(Dashboard!$B$28),Dashboard!$D$28:$D$32)</f>
        <v>1</v>
      </c>
      <c r="R539">
        <f>Sales_Data[[#This Row],[Date inc]]*Sales_Data[[#This Row],[Team Inc]]*Sales_Data[[#This Row],[Rep Inc]]*Sales_Data[[#This Row],[Stage Inc]]*Sales_Data[[#This Row],[Source Inc]]</f>
        <v>0</v>
      </c>
    </row>
    <row r="540" spans="1:18" x14ac:dyDescent="0.3">
      <c r="A540" t="s">
        <v>547</v>
      </c>
      <c r="B540" s="2">
        <v>45355</v>
      </c>
      <c r="C540" t="s">
        <v>759</v>
      </c>
      <c r="D540" t="s">
        <v>764</v>
      </c>
      <c r="E540" t="s">
        <v>766</v>
      </c>
      <c r="F540" s="5">
        <v>50100</v>
      </c>
      <c r="G540" t="s">
        <v>781</v>
      </c>
      <c r="H540" s="2">
        <v>45420</v>
      </c>
      <c r="I540" t="s">
        <v>778</v>
      </c>
      <c r="J540" t="str">
        <f>IF(Sales_Data[[#This Row],[Close Date]] &lt;&gt; 0,"Closed", "Open")</f>
        <v>Closed</v>
      </c>
      <c r="K540">
        <f>IF(Sales_Data[[#This Row],[Open/Closed]] = "Closed",Sales_Data[[#This Row],[Close Date]]-Sales_Data[[#This Row],[Created Date]],"")</f>
        <v>65</v>
      </c>
      <c r="L540" s="2">
        <f>EOMONTH(Sales_Data[[#This Row],[Created Date]],0)</f>
        <v>45382</v>
      </c>
      <c r="M540" t="b">
        <f>AND(Sales_Data[[#This Row],[EoM Created]]&gt;=Index!$E$5,Sales_Data[[#This Row],[EoM Created]]&lt;=Index!$E$4)</f>
        <v>1</v>
      </c>
      <c r="N540" t="b" cm="1">
        <f t="array" ref="N540">_xlfn.XLOOKUP(Sales_Data[[#This Row],[Sales Team]],_xlfn.ANCHORARRAY(Dashboard!$B$9),Dashboard!$D$9:$D$10,,0)</f>
        <v>1</v>
      </c>
      <c r="O540" t="b" cm="1">
        <f t="array" ref="O540">_xlfn.XLOOKUP(Sales_Data[[#This Row],[Sales Rep]],_xlfn.ANCHORARRAY(Dashboard!$B$13),Dashboard!$D$13:$D$17,,0)</f>
        <v>1</v>
      </c>
      <c r="P540" t="b" cm="1">
        <f t="array" ref="P540">_xlfn.XLOOKUP(Sales_Data[[#This Row],[Stage]],_xlfn.ANCHORARRAY(Dashboard!$B$20),Dashboard!$D$20:$D$25)</f>
        <v>1</v>
      </c>
      <c r="Q540" t="b" cm="1">
        <f t="array" ref="Q540">_xlfn.XLOOKUP(Sales_Data[[#This Row],[Lead Source]],_xlfn.ANCHORARRAY(Dashboard!$B$28),Dashboard!$D$28:$D$32)</f>
        <v>1</v>
      </c>
      <c r="R540">
        <f>Sales_Data[[#This Row],[Date inc]]*Sales_Data[[#This Row],[Team Inc]]*Sales_Data[[#This Row],[Rep Inc]]*Sales_Data[[#This Row],[Stage Inc]]*Sales_Data[[#This Row],[Source Inc]]</f>
        <v>1</v>
      </c>
    </row>
    <row r="541" spans="1:18" x14ac:dyDescent="0.3">
      <c r="A541" t="s">
        <v>548</v>
      </c>
      <c r="B541" s="2">
        <v>45105</v>
      </c>
      <c r="C541" t="s">
        <v>761</v>
      </c>
      <c r="D541" t="s">
        <v>765</v>
      </c>
      <c r="E541" t="s">
        <v>768</v>
      </c>
      <c r="F541" s="5">
        <v>34200</v>
      </c>
      <c r="G541" t="s">
        <v>780</v>
      </c>
      <c r="H541" s="2">
        <v>45169</v>
      </c>
      <c r="J541" t="str">
        <f>IF(Sales_Data[[#This Row],[Close Date]] &lt;&gt; 0,"Closed", "Open")</f>
        <v>Closed</v>
      </c>
      <c r="K541">
        <f>IF(Sales_Data[[#This Row],[Open/Closed]] = "Closed",Sales_Data[[#This Row],[Close Date]]-Sales_Data[[#This Row],[Created Date]],"")</f>
        <v>64</v>
      </c>
      <c r="L541" s="2">
        <f>EOMONTH(Sales_Data[[#This Row],[Created Date]],0)</f>
        <v>45107</v>
      </c>
      <c r="M541" t="b">
        <f>AND(Sales_Data[[#This Row],[EoM Created]]&gt;=Index!$E$5,Sales_Data[[#This Row],[EoM Created]]&lt;=Index!$E$4)</f>
        <v>0</v>
      </c>
      <c r="N541" t="b" cm="1">
        <f t="array" ref="N541">_xlfn.XLOOKUP(Sales_Data[[#This Row],[Sales Team]],_xlfn.ANCHORARRAY(Dashboard!$B$9),Dashboard!$D$9:$D$10,,0)</f>
        <v>1</v>
      </c>
      <c r="O541" t="b" cm="1">
        <f t="array" ref="O541">_xlfn.XLOOKUP(Sales_Data[[#This Row],[Sales Rep]],_xlfn.ANCHORARRAY(Dashboard!$B$13),Dashboard!$D$13:$D$17,,0)</f>
        <v>1</v>
      </c>
      <c r="P541" t="b" cm="1">
        <f t="array" ref="P541">_xlfn.XLOOKUP(Sales_Data[[#This Row],[Stage]],_xlfn.ANCHORARRAY(Dashboard!$B$20),Dashboard!$D$20:$D$25)</f>
        <v>1</v>
      </c>
      <c r="Q541" t="b" cm="1">
        <f t="array" ref="Q541">_xlfn.XLOOKUP(Sales_Data[[#This Row],[Lead Source]],_xlfn.ANCHORARRAY(Dashboard!$B$28),Dashboard!$D$28:$D$32)</f>
        <v>1</v>
      </c>
      <c r="R541">
        <f>Sales_Data[[#This Row],[Date inc]]*Sales_Data[[#This Row],[Team Inc]]*Sales_Data[[#This Row],[Rep Inc]]*Sales_Data[[#This Row],[Stage Inc]]*Sales_Data[[#This Row],[Source Inc]]</f>
        <v>0</v>
      </c>
    </row>
    <row r="542" spans="1:18" x14ac:dyDescent="0.3">
      <c r="A542" t="s">
        <v>549</v>
      </c>
      <c r="B542" s="2">
        <v>45011</v>
      </c>
      <c r="C542" t="s">
        <v>760</v>
      </c>
      <c r="D542" t="s">
        <v>764</v>
      </c>
      <c r="E542" t="s">
        <v>767</v>
      </c>
      <c r="F542" s="5">
        <v>48400</v>
      </c>
      <c r="G542" t="s">
        <v>781</v>
      </c>
      <c r="H542" s="2">
        <v>45084</v>
      </c>
      <c r="I542" t="s">
        <v>776</v>
      </c>
      <c r="J542" t="str">
        <f>IF(Sales_Data[[#This Row],[Close Date]] &lt;&gt; 0,"Closed", "Open")</f>
        <v>Closed</v>
      </c>
      <c r="K542">
        <f>IF(Sales_Data[[#This Row],[Open/Closed]] = "Closed",Sales_Data[[#This Row],[Close Date]]-Sales_Data[[#This Row],[Created Date]],"")</f>
        <v>73</v>
      </c>
      <c r="L542" s="2">
        <f>EOMONTH(Sales_Data[[#This Row],[Created Date]],0)</f>
        <v>45016</v>
      </c>
      <c r="M542" t="b">
        <f>AND(Sales_Data[[#This Row],[EoM Created]]&gt;=Index!$E$5,Sales_Data[[#This Row],[EoM Created]]&lt;=Index!$E$4)</f>
        <v>0</v>
      </c>
      <c r="N542" t="b" cm="1">
        <f t="array" ref="N542">_xlfn.XLOOKUP(Sales_Data[[#This Row],[Sales Team]],_xlfn.ANCHORARRAY(Dashboard!$B$9),Dashboard!$D$9:$D$10,,0)</f>
        <v>1</v>
      </c>
      <c r="O542" t="b" cm="1">
        <f t="array" ref="O542">_xlfn.XLOOKUP(Sales_Data[[#This Row],[Sales Rep]],_xlfn.ANCHORARRAY(Dashboard!$B$13),Dashboard!$D$13:$D$17,,0)</f>
        <v>1</v>
      </c>
      <c r="P542" t="b" cm="1">
        <f t="array" ref="P542">_xlfn.XLOOKUP(Sales_Data[[#This Row],[Stage]],_xlfn.ANCHORARRAY(Dashboard!$B$20),Dashboard!$D$20:$D$25)</f>
        <v>1</v>
      </c>
      <c r="Q542" t="b" cm="1">
        <f t="array" ref="Q542">_xlfn.XLOOKUP(Sales_Data[[#This Row],[Lead Source]],_xlfn.ANCHORARRAY(Dashboard!$B$28),Dashboard!$D$28:$D$32)</f>
        <v>1</v>
      </c>
      <c r="R542">
        <f>Sales_Data[[#This Row],[Date inc]]*Sales_Data[[#This Row],[Team Inc]]*Sales_Data[[#This Row],[Rep Inc]]*Sales_Data[[#This Row],[Stage Inc]]*Sales_Data[[#This Row],[Source Inc]]</f>
        <v>0</v>
      </c>
    </row>
    <row r="543" spans="1:18" x14ac:dyDescent="0.3">
      <c r="A543" t="s">
        <v>550</v>
      </c>
      <c r="B543" s="2">
        <v>44948</v>
      </c>
      <c r="C543" t="s">
        <v>763</v>
      </c>
      <c r="D543" t="s">
        <v>765</v>
      </c>
      <c r="E543" t="s">
        <v>770</v>
      </c>
      <c r="F543" s="5">
        <v>28700</v>
      </c>
      <c r="G543" t="s">
        <v>781</v>
      </c>
      <c r="H543" s="2">
        <v>45031</v>
      </c>
      <c r="I543" t="s">
        <v>777</v>
      </c>
      <c r="J543" t="str">
        <f>IF(Sales_Data[[#This Row],[Close Date]] &lt;&gt; 0,"Closed", "Open")</f>
        <v>Closed</v>
      </c>
      <c r="K543">
        <f>IF(Sales_Data[[#This Row],[Open/Closed]] = "Closed",Sales_Data[[#This Row],[Close Date]]-Sales_Data[[#This Row],[Created Date]],"")</f>
        <v>83</v>
      </c>
      <c r="L543" s="2">
        <f>EOMONTH(Sales_Data[[#This Row],[Created Date]],0)</f>
        <v>44957</v>
      </c>
      <c r="M543" t="b">
        <f>AND(Sales_Data[[#This Row],[EoM Created]]&gt;=Index!$E$5,Sales_Data[[#This Row],[EoM Created]]&lt;=Index!$E$4)</f>
        <v>0</v>
      </c>
      <c r="N543" t="b" cm="1">
        <f t="array" ref="N543">_xlfn.XLOOKUP(Sales_Data[[#This Row],[Sales Team]],_xlfn.ANCHORARRAY(Dashboard!$B$9),Dashboard!$D$9:$D$10,,0)</f>
        <v>1</v>
      </c>
      <c r="O543" t="b" cm="1">
        <f t="array" ref="O543">_xlfn.XLOOKUP(Sales_Data[[#This Row],[Sales Rep]],_xlfn.ANCHORARRAY(Dashboard!$B$13),Dashboard!$D$13:$D$17,,0)</f>
        <v>1</v>
      </c>
      <c r="P543" t="b" cm="1">
        <f t="array" ref="P543">_xlfn.XLOOKUP(Sales_Data[[#This Row],[Stage]],_xlfn.ANCHORARRAY(Dashboard!$B$20),Dashboard!$D$20:$D$25)</f>
        <v>1</v>
      </c>
      <c r="Q543" t="b" cm="1">
        <f t="array" ref="Q543">_xlfn.XLOOKUP(Sales_Data[[#This Row],[Lead Source]],_xlfn.ANCHORARRAY(Dashboard!$B$28),Dashboard!$D$28:$D$32)</f>
        <v>1</v>
      </c>
      <c r="R543">
        <f>Sales_Data[[#This Row],[Date inc]]*Sales_Data[[#This Row],[Team Inc]]*Sales_Data[[#This Row],[Rep Inc]]*Sales_Data[[#This Row],[Stage Inc]]*Sales_Data[[#This Row],[Source Inc]]</f>
        <v>0</v>
      </c>
    </row>
    <row r="544" spans="1:18" x14ac:dyDescent="0.3">
      <c r="A544" t="s">
        <v>551</v>
      </c>
      <c r="B544" s="2">
        <v>44988</v>
      </c>
      <c r="C544" t="s">
        <v>761</v>
      </c>
      <c r="D544" t="s">
        <v>765</v>
      </c>
      <c r="E544" t="s">
        <v>769</v>
      </c>
      <c r="F544" s="5">
        <v>45300</v>
      </c>
      <c r="G544" t="s">
        <v>780</v>
      </c>
      <c r="H544" s="2">
        <v>45057</v>
      </c>
      <c r="J544" t="str">
        <f>IF(Sales_Data[[#This Row],[Close Date]] &lt;&gt; 0,"Closed", "Open")</f>
        <v>Closed</v>
      </c>
      <c r="K544">
        <f>IF(Sales_Data[[#This Row],[Open/Closed]] = "Closed",Sales_Data[[#This Row],[Close Date]]-Sales_Data[[#This Row],[Created Date]],"")</f>
        <v>69</v>
      </c>
      <c r="L544" s="2">
        <f>EOMONTH(Sales_Data[[#This Row],[Created Date]],0)</f>
        <v>45016</v>
      </c>
      <c r="M544" t="b">
        <f>AND(Sales_Data[[#This Row],[EoM Created]]&gt;=Index!$E$5,Sales_Data[[#This Row],[EoM Created]]&lt;=Index!$E$4)</f>
        <v>0</v>
      </c>
      <c r="N544" t="b" cm="1">
        <f t="array" ref="N544">_xlfn.XLOOKUP(Sales_Data[[#This Row],[Sales Team]],_xlfn.ANCHORARRAY(Dashboard!$B$9),Dashboard!$D$9:$D$10,,0)</f>
        <v>1</v>
      </c>
      <c r="O544" t="b" cm="1">
        <f t="array" ref="O544">_xlfn.XLOOKUP(Sales_Data[[#This Row],[Sales Rep]],_xlfn.ANCHORARRAY(Dashboard!$B$13),Dashboard!$D$13:$D$17,,0)</f>
        <v>1</v>
      </c>
      <c r="P544" t="b" cm="1">
        <f t="array" ref="P544">_xlfn.XLOOKUP(Sales_Data[[#This Row],[Stage]],_xlfn.ANCHORARRAY(Dashboard!$B$20),Dashboard!$D$20:$D$25)</f>
        <v>1</v>
      </c>
      <c r="Q544" t="b" cm="1">
        <f t="array" ref="Q544">_xlfn.XLOOKUP(Sales_Data[[#This Row],[Lead Source]],_xlfn.ANCHORARRAY(Dashboard!$B$28),Dashboard!$D$28:$D$32)</f>
        <v>1</v>
      </c>
      <c r="R544">
        <f>Sales_Data[[#This Row],[Date inc]]*Sales_Data[[#This Row],[Team Inc]]*Sales_Data[[#This Row],[Rep Inc]]*Sales_Data[[#This Row],[Stage Inc]]*Sales_Data[[#This Row],[Source Inc]]</f>
        <v>0</v>
      </c>
    </row>
    <row r="545" spans="1:18" x14ac:dyDescent="0.3">
      <c r="A545" t="s">
        <v>552</v>
      </c>
      <c r="B545" s="2">
        <v>45559</v>
      </c>
      <c r="C545" t="s">
        <v>759</v>
      </c>
      <c r="D545" t="s">
        <v>764</v>
      </c>
      <c r="E545" t="s">
        <v>766</v>
      </c>
      <c r="F545" s="5">
        <v>54400</v>
      </c>
      <c r="G545" t="s">
        <v>781</v>
      </c>
      <c r="H545" s="2">
        <v>45623</v>
      </c>
      <c r="I545" t="s">
        <v>776</v>
      </c>
      <c r="J545" t="str">
        <f>IF(Sales_Data[[#This Row],[Close Date]] &lt;&gt; 0,"Closed", "Open")</f>
        <v>Closed</v>
      </c>
      <c r="K545">
        <f>IF(Sales_Data[[#This Row],[Open/Closed]] = "Closed",Sales_Data[[#This Row],[Close Date]]-Sales_Data[[#This Row],[Created Date]],"")</f>
        <v>64</v>
      </c>
      <c r="L545" s="2">
        <f>EOMONTH(Sales_Data[[#This Row],[Created Date]],0)</f>
        <v>45565</v>
      </c>
      <c r="M545" t="b">
        <f>AND(Sales_Data[[#This Row],[EoM Created]]&gt;=Index!$E$5,Sales_Data[[#This Row],[EoM Created]]&lt;=Index!$E$4)</f>
        <v>1</v>
      </c>
      <c r="N545" t="b" cm="1">
        <f t="array" ref="N545">_xlfn.XLOOKUP(Sales_Data[[#This Row],[Sales Team]],_xlfn.ANCHORARRAY(Dashboard!$B$9),Dashboard!$D$9:$D$10,,0)</f>
        <v>1</v>
      </c>
      <c r="O545" t="b" cm="1">
        <f t="array" ref="O545">_xlfn.XLOOKUP(Sales_Data[[#This Row],[Sales Rep]],_xlfn.ANCHORARRAY(Dashboard!$B$13),Dashboard!$D$13:$D$17,,0)</f>
        <v>1</v>
      </c>
      <c r="P545" t="b" cm="1">
        <f t="array" ref="P545">_xlfn.XLOOKUP(Sales_Data[[#This Row],[Stage]],_xlfn.ANCHORARRAY(Dashboard!$B$20),Dashboard!$D$20:$D$25)</f>
        <v>1</v>
      </c>
      <c r="Q545" t="b" cm="1">
        <f t="array" ref="Q545">_xlfn.XLOOKUP(Sales_Data[[#This Row],[Lead Source]],_xlfn.ANCHORARRAY(Dashboard!$B$28),Dashboard!$D$28:$D$32)</f>
        <v>1</v>
      </c>
      <c r="R545">
        <f>Sales_Data[[#This Row],[Date inc]]*Sales_Data[[#This Row],[Team Inc]]*Sales_Data[[#This Row],[Rep Inc]]*Sales_Data[[#This Row],[Stage Inc]]*Sales_Data[[#This Row],[Source Inc]]</f>
        <v>1</v>
      </c>
    </row>
    <row r="546" spans="1:18" x14ac:dyDescent="0.3">
      <c r="A546" t="s">
        <v>553</v>
      </c>
      <c r="B546" s="2">
        <v>45780</v>
      </c>
      <c r="C546" t="s">
        <v>759</v>
      </c>
      <c r="D546" t="s">
        <v>764</v>
      </c>
      <c r="E546" t="s">
        <v>767</v>
      </c>
      <c r="F546" s="5">
        <v>15300</v>
      </c>
      <c r="G546" t="s">
        <v>772</v>
      </c>
      <c r="H546" s="2"/>
      <c r="J546" t="str">
        <f>IF(Sales_Data[[#This Row],[Close Date]] &lt;&gt; 0,"Closed", "Open")</f>
        <v>Open</v>
      </c>
      <c r="K546" t="str">
        <f>IF(Sales_Data[[#This Row],[Open/Closed]] = "Closed",Sales_Data[[#This Row],[Close Date]]-Sales_Data[[#This Row],[Created Date]],"")</f>
        <v/>
      </c>
      <c r="L546" s="2">
        <f>EOMONTH(Sales_Data[[#This Row],[Created Date]],0)</f>
        <v>45808</v>
      </c>
      <c r="M546" t="b">
        <f>AND(Sales_Data[[#This Row],[EoM Created]]&gt;=Index!$E$5,Sales_Data[[#This Row],[EoM Created]]&lt;=Index!$E$4)</f>
        <v>1</v>
      </c>
      <c r="N546" t="b" cm="1">
        <f t="array" ref="N546">_xlfn.XLOOKUP(Sales_Data[[#This Row],[Sales Team]],_xlfn.ANCHORARRAY(Dashboard!$B$9),Dashboard!$D$9:$D$10,,0)</f>
        <v>1</v>
      </c>
      <c r="O546" t="b" cm="1">
        <f t="array" ref="O546">_xlfn.XLOOKUP(Sales_Data[[#This Row],[Sales Rep]],_xlfn.ANCHORARRAY(Dashboard!$B$13),Dashboard!$D$13:$D$17,,0)</f>
        <v>1</v>
      </c>
      <c r="P546" t="b" cm="1">
        <f t="array" ref="P546">_xlfn.XLOOKUP(Sales_Data[[#This Row],[Stage]],_xlfn.ANCHORARRAY(Dashboard!$B$20),Dashboard!$D$20:$D$25)</f>
        <v>1</v>
      </c>
      <c r="Q546" t="b" cm="1">
        <f t="array" ref="Q546">_xlfn.XLOOKUP(Sales_Data[[#This Row],[Lead Source]],_xlfn.ANCHORARRAY(Dashboard!$B$28),Dashboard!$D$28:$D$32)</f>
        <v>1</v>
      </c>
      <c r="R546">
        <f>Sales_Data[[#This Row],[Date inc]]*Sales_Data[[#This Row],[Team Inc]]*Sales_Data[[#This Row],[Rep Inc]]*Sales_Data[[#This Row],[Stage Inc]]*Sales_Data[[#This Row],[Source Inc]]</f>
        <v>1</v>
      </c>
    </row>
    <row r="547" spans="1:18" x14ac:dyDescent="0.3">
      <c r="A547" t="s">
        <v>554</v>
      </c>
      <c r="B547" s="2">
        <v>45019</v>
      </c>
      <c r="C547" t="s">
        <v>761</v>
      </c>
      <c r="D547" t="s">
        <v>765</v>
      </c>
      <c r="E547" t="s">
        <v>768</v>
      </c>
      <c r="F547" s="5">
        <v>32000</v>
      </c>
      <c r="G547" t="s">
        <v>780</v>
      </c>
      <c r="H547" s="2">
        <v>45099</v>
      </c>
      <c r="J547" t="str">
        <f>IF(Sales_Data[[#This Row],[Close Date]] &lt;&gt; 0,"Closed", "Open")</f>
        <v>Closed</v>
      </c>
      <c r="K547">
        <f>IF(Sales_Data[[#This Row],[Open/Closed]] = "Closed",Sales_Data[[#This Row],[Close Date]]-Sales_Data[[#This Row],[Created Date]],"")</f>
        <v>80</v>
      </c>
      <c r="L547" s="2">
        <f>EOMONTH(Sales_Data[[#This Row],[Created Date]],0)</f>
        <v>45046</v>
      </c>
      <c r="M547" t="b">
        <f>AND(Sales_Data[[#This Row],[EoM Created]]&gt;=Index!$E$5,Sales_Data[[#This Row],[EoM Created]]&lt;=Index!$E$4)</f>
        <v>0</v>
      </c>
      <c r="N547" t="b" cm="1">
        <f t="array" ref="N547">_xlfn.XLOOKUP(Sales_Data[[#This Row],[Sales Team]],_xlfn.ANCHORARRAY(Dashboard!$B$9),Dashboard!$D$9:$D$10,,0)</f>
        <v>1</v>
      </c>
      <c r="O547" t="b" cm="1">
        <f t="array" ref="O547">_xlfn.XLOOKUP(Sales_Data[[#This Row],[Sales Rep]],_xlfn.ANCHORARRAY(Dashboard!$B$13),Dashboard!$D$13:$D$17,,0)</f>
        <v>1</v>
      </c>
      <c r="P547" t="b" cm="1">
        <f t="array" ref="P547">_xlfn.XLOOKUP(Sales_Data[[#This Row],[Stage]],_xlfn.ANCHORARRAY(Dashboard!$B$20),Dashboard!$D$20:$D$25)</f>
        <v>1</v>
      </c>
      <c r="Q547" t="b" cm="1">
        <f t="array" ref="Q547">_xlfn.XLOOKUP(Sales_Data[[#This Row],[Lead Source]],_xlfn.ANCHORARRAY(Dashboard!$B$28),Dashboard!$D$28:$D$32)</f>
        <v>1</v>
      </c>
      <c r="R547">
        <f>Sales_Data[[#This Row],[Date inc]]*Sales_Data[[#This Row],[Team Inc]]*Sales_Data[[#This Row],[Rep Inc]]*Sales_Data[[#This Row],[Stage Inc]]*Sales_Data[[#This Row],[Source Inc]]</f>
        <v>0</v>
      </c>
    </row>
    <row r="548" spans="1:18" x14ac:dyDescent="0.3">
      <c r="A548" t="s">
        <v>555</v>
      </c>
      <c r="B548" s="2">
        <v>45534</v>
      </c>
      <c r="C548" t="s">
        <v>762</v>
      </c>
      <c r="D548" t="s">
        <v>764</v>
      </c>
      <c r="E548" t="s">
        <v>766</v>
      </c>
      <c r="F548" s="5">
        <v>45800</v>
      </c>
      <c r="G548" t="s">
        <v>780</v>
      </c>
      <c r="H548" s="2">
        <v>45600</v>
      </c>
      <c r="J548" t="str">
        <f>IF(Sales_Data[[#This Row],[Close Date]] &lt;&gt; 0,"Closed", "Open")</f>
        <v>Closed</v>
      </c>
      <c r="K548">
        <f>IF(Sales_Data[[#This Row],[Open/Closed]] = "Closed",Sales_Data[[#This Row],[Close Date]]-Sales_Data[[#This Row],[Created Date]],"")</f>
        <v>66</v>
      </c>
      <c r="L548" s="2">
        <f>EOMONTH(Sales_Data[[#This Row],[Created Date]],0)</f>
        <v>45535</v>
      </c>
      <c r="M548" t="b">
        <f>AND(Sales_Data[[#This Row],[EoM Created]]&gt;=Index!$E$5,Sales_Data[[#This Row],[EoM Created]]&lt;=Index!$E$4)</f>
        <v>1</v>
      </c>
      <c r="N548" t="b" cm="1">
        <f t="array" ref="N548">_xlfn.XLOOKUP(Sales_Data[[#This Row],[Sales Team]],_xlfn.ANCHORARRAY(Dashboard!$B$9),Dashboard!$D$9:$D$10,,0)</f>
        <v>1</v>
      </c>
      <c r="O548" t="b" cm="1">
        <f t="array" ref="O548">_xlfn.XLOOKUP(Sales_Data[[#This Row],[Sales Rep]],_xlfn.ANCHORARRAY(Dashboard!$B$13),Dashboard!$D$13:$D$17,,0)</f>
        <v>1</v>
      </c>
      <c r="P548" t="b" cm="1">
        <f t="array" ref="P548">_xlfn.XLOOKUP(Sales_Data[[#This Row],[Stage]],_xlfn.ANCHORARRAY(Dashboard!$B$20),Dashboard!$D$20:$D$25)</f>
        <v>1</v>
      </c>
      <c r="Q548" t="b" cm="1">
        <f t="array" ref="Q548">_xlfn.XLOOKUP(Sales_Data[[#This Row],[Lead Source]],_xlfn.ANCHORARRAY(Dashboard!$B$28),Dashboard!$D$28:$D$32)</f>
        <v>1</v>
      </c>
      <c r="R548">
        <f>Sales_Data[[#This Row],[Date inc]]*Sales_Data[[#This Row],[Team Inc]]*Sales_Data[[#This Row],[Rep Inc]]*Sales_Data[[#This Row],[Stage Inc]]*Sales_Data[[#This Row],[Source Inc]]</f>
        <v>1</v>
      </c>
    </row>
    <row r="549" spans="1:18" x14ac:dyDescent="0.3">
      <c r="A549" t="s">
        <v>556</v>
      </c>
      <c r="B549" s="2">
        <v>45067</v>
      </c>
      <c r="C549" t="s">
        <v>763</v>
      </c>
      <c r="D549" t="s">
        <v>765</v>
      </c>
      <c r="E549" t="s">
        <v>768</v>
      </c>
      <c r="F549" s="5">
        <v>38000</v>
      </c>
      <c r="G549" t="s">
        <v>781</v>
      </c>
      <c r="H549" s="2">
        <v>45128</v>
      </c>
      <c r="I549" t="s">
        <v>778</v>
      </c>
      <c r="J549" t="str">
        <f>IF(Sales_Data[[#This Row],[Close Date]] &lt;&gt; 0,"Closed", "Open")</f>
        <v>Closed</v>
      </c>
      <c r="K549">
        <f>IF(Sales_Data[[#This Row],[Open/Closed]] = "Closed",Sales_Data[[#This Row],[Close Date]]-Sales_Data[[#This Row],[Created Date]],"")</f>
        <v>61</v>
      </c>
      <c r="L549" s="2">
        <f>EOMONTH(Sales_Data[[#This Row],[Created Date]],0)</f>
        <v>45077</v>
      </c>
      <c r="M549" t="b">
        <f>AND(Sales_Data[[#This Row],[EoM Created]]&gt;=Index!$E$5,Sales_Data[[#This Row],[EoM Created]]&lt;=Index!$E$4)</f>
        <v>0</v>
      </c>
      <c r="N549" t="b" cm="1">
        <f t="array" ref="N549">_xlfn.XLOOKUP(Sales_Data[[#This Row],[Sales Team]],_xlfn.ANCHORARRAY(Dashboard!$B$9),Dashboard!$D$9:$D$10,,0)</f>
        <v>1</v>
      </c>
      <c r="O549" t="b" cm="1">
        <f t="array" ref="O549">_xlfn.XLOOKUP(Sales_Data[[#This Row],[Sales Rep]],_xlfn.ANCHORARRAY(Dashboard!$B$13),Dashboard!$D$13:$D$17,,0)</f>
        <v>1</v>
      </c>
      <c r="P549" t="b" cm="1">
        <f t="array" ref="P549">_xlfn.XLOOKUP(Sales_Data[[#This Row],[Stage]],_xlfn.ANCHORARRAY(Dashboard!$B$20),Dashboard!$D$20:$D$25)</f>
        <v>1</v>
      </c>
      <c r="Q549" t="b" cm="1">
        <f t="array" ref="Q549">_xlfn.XLOOKUP(Sales_Data[[#This Row],[Lead Source]],_xlfn.ANCHORARRAY(Dashboard!$B$28),Dashboard!$D$28:$D$32)</f>
        <v>1</v>
      </c>
      <c r="R549">
        <f>Sales_Data[[#This Row],[Date inc]]*Sales_Data[[#This Row],[Team Inc]]*Sales_Data[[#This Row],[Rep Inc]]*Sales_Data[[#This Row],[Stage Inc]]*Sales_Data[[#This Row],[Source Inc]]</f>
        <v>0</v>
      </c>
    </row>
    <row r="550" spans="1:18" x14ac:dyDescent="0.3">
      <c r="A550" t="s">
        <v>557</v>
      </c>
      <c r="B550" s="2">
        <v>45832</v>
      </c>
      <c r="C550" t="s">
        <v>761</v>
      </c>
      <c r="D550" t="s">
        <v>765</v>
      </c>
      <c r="E550" t="s">
        <v>770</v>
      </c>
      <c r="F550" s="5">
        <v>43700</v>
      </c>
      <c r="G550" t="s">
        <v>773</v>
      </c>
      <c r="H550" s="2"/>
      <c r="J550" t="str">
        <f>IF(Sales_Data[[#This Row],[Close Date]] &lt;&gt; 0,"Closed", "Open")</f>
        <v>Open</v>
      </c>
      <c r="K550" t="str">
        <f>IF(Sales_Data[[#This Row],[Open/Closed]] = "Closed",Sales_Data[[#This Row],[Close Date]]-Sales_Data[[#This Row],[Created Date]],"")</f>
        <v/>
      </c>
      <c r="L550" s="2">
        <f>EOMONTH(Sales_Data[[#This Row],[Created Date]],0)</f>
        <v>45838</v>
      </c>
      <c r="M550" t="b">
        <f>AND(Sales_Data[[#This Row],[EoM Created]]&gt;=Index!$E$5,Sales_Data[[#This Row],[EoM Created]]&lt;=Index!$E$4)</f>
        <v>1</v>
      </c>
      <c r="N550" t="b" cm="1">
        <f t="array" ref="N550">_xlfn.XLOOKUP(Sales_Data[[#This Row],[Sales Team]],_xlfn.ANCHORARRAY(Dashboard!$B$9),Dashboard!$D$9:$D$10,,0)</f>
        <v>1</v>
      </c>
      <c r="O550" t="b" cm="1">
        <f t="array" ref="O550">_xlfn.XLOOKUP(Sales_Data[[#This Row],[Sales Rep]],_xlfn.ANCHORARRAY(Dashboard!$B$13),Dashboard!$D$13:$D$17,,0)</f>
        <v>1</v>
      </c>
      <c r="P550" t="b" cm="1">
        <f t="array" ref="P550">_xlfn.XLOOKUP(Sales_Data[[#This Row],[Stage]],_xlfn.ANCHORARRAY(Dashboard!$B$20),Dashboard!$D$20:$D$25)</f>
        <v>1</v>
      </c>
      <c r="Q550" t="b" cm="1">
        <f t="array" ref="Q550">_xlfn.XLOOKUP(Sales_Data[[#This Row],[Lead Source]],_xlfn.ANCHORARRAY(Dashboard!$B$28),Dashboard!$D$28:$D$32)</f>
        <v>1</v>
      </c>
      <c r="R550">
        <f>Sales_Data[[#This Row],[Date inc]]*Sales_Data[[#This Row],[Team Inc]]*Sales_Data[[#This Row],[Rep Inc]]*Sales_Data[[#This Row],[Stage Inc]]*Sales_Data[[#This Row],[Source Inc]]</f>
        <v>1</v>
      </c>
    </row>
    <row r="551" spans="1:18" x14ac:dyDescent="0.3">
      <c r="A551" t="s">
        <v>558</v>
      </c>
      <c r="B551" s="2">
        <v>45408</v>
      </c>
      <c r="C551" t="s">
        <v>763</v>
      </c>
      <c r="D551" t="s">
        <v>765</v>
      </c>
      <c r="E551" t="s">
        <v>768</v>
      </c>
      <c r="F551" s="5">
        <v>34000</v>
      </c>
      <c r="G551" t="s">
        <v>780</v>
      </c>
      <c r="H551" s="2">
        <v>45481</v>
      </c>
      <c r="J551" t="str">
        <f>IF(Sales_Data[[#This Row],[Close Date]] &lt;&gt; 0,"Closed", "Open")</f>
        <v>Closed</v>
      </c>
      <c r="K551">
        <f>IF(Sales_Data[[#This Row],[Open/Closed]] = "Closed",Sales_Data[[#This Row],[Close Date]]-Sales_Data[[#This Row],[Created Date]],"")</f>
        <v>73</v>
      </c>
      <c r="L551" s="2">
        <f>EOMONTH(Sales_Data[[#This Row],[Created Date]],0)</f>
        <v>45412</v>
      </c>
      <c r="M551" t="b">
        <f>AND(Sales_Data[[#This Row],[EoM Created]]&gt;=Index!$E$5,Sales_Data[[#This Row],[EoM Created]]&lt;=Index!$E$4)</f>
        <v>1</v>
      </c>
      <c r="N551" t="b" cm="1">
        <f t="array" ref="N551">_xlfn.XLOOKUP(Sales_Data[[#This Row],[Sales Team]],_xlfn.ANCHORARRAY(Dashboard!$B$9),Dashboard!$D$9:$D$10,,0)</f>
        <v>1</v>
      </c>
      <c r="O551" t="b" cm="1">
        <f t="array" ref="O551">_xlfn.XLOOKUP(Sales_Data[[#This Row],[Sales Rep]],_xlfn.ANCHORARRAY(Dashboard!$B$13),Dashboard!$D$13:$D$17,,0)</f>
        <v>1</v>
      </c>
      <c r="P551" t="b" cm="1">
        <f t="array" ref="P551">_xlfn.XLOOKUP(Sales_Data[[#This Row],[Stage]],_xlfn.ANCHORARRAY(Dashboard!$B$20),Dashboard!$D$20:$D$25)</f>
        <v>1</v>
      </c>
      <c r="Q551" t="b" cm="1">
        <f t="array" ref="Q551">_xlfn.XLOOKUP(Sales_Data[[#This Row],[Lead Source]],_xlfn.ANCHORARRAY(Dashboard!$B$28),Dashboard!$D$28:$D$32)</f>
        <v>1</v>
      </c>
      <c r="R551">
        <f>Sales_Data[[#This Row],[Date inc]]*Sales_Data[[#This Row],[Team Inc]]*Sales_Data[[#This Row],[Rep Inc]]*Sales_Data[[#This Row],[Stage Inc]]*Sales_Data[[#This Row],[Source Inc]]</f>
        <v>1</v>
      </c>
    </row>
    <row r="552" spans="1:18" x14ac:dyDescent="0.3">
      <c r="A552" t="s">
        <v>559</v>
      </c>
      <c r="B552" s="2">
        <v>45289</v>
      </c>
      <c r="C552" t="s">
        <v>761</v>
      </c>
      <c r="D552" t="s">
        <v>765</v>
      </c>
      <c r="E552" t="s">
        <v>768</v>
      </c>
      <c r="F552" s="5">
        <v>40900</v>
      </c>
      <c r="G552" t="s">
        <v>781</v>
      </c>
      <c r="H552" s="2">
        <v>45363</v>
      </c>
      <c r="I552" t="s">
        <v>778</v>
      </c>
      <c r="J552" t="str">
        <f>IF(Sales_Data[[#This Row],[Close Date]] &lt;&gt; 0,"Closed", "Open")</f>
        <v>Closed</v>
      </c>
      <c r="K552">
        <f>IF(Sales_Data[[#This Row],[Open/Closed]] = "Closed",Sales_Data[[#This Row],[Close Date]]-Sales_Data[[#This Row],[Created Date]],"")</f>
        <v>74</v>
      </c>
      <c r="L552" s="2">
        <f>EOMONTH(Sales_Data[[#This Row],[Created Date]],0)</f>
        <v>45291</v>
      </c>
      <c r="M552" t="b">
        <f>AND(Sales_Data[[#This Row],[EoM Created]]&gt;=Index!$E$5,Sales_Data[[#This Row],[EoM Created]]&lt;=Index!$E$4)</f>
        <v>1</v>
      </c>
      <c r="N552" t="b" cm="1">
        <f t="array" ref="N552">_xlfn.XLOOKUP(Sales_Data[[#This Row],[Sales Team]],_xlfn.ANCHORARRAY(Dashboard!$B$9),Dashboard!$D$9:$D$10,,0)</f>
        <v>1</v>
      </c>
      <c r="O552" t="b" cm="1">
        <f t="array" ref="O552">_xlfn.XLOOKUP(Sales_Data[[#This Row],[Sales Rep]],_xlfn.ANCHORARRAY(Dashboard!$B$13),Dashboard!$D$13:$D$17,,0)</f>
        <v>1</v>
      </c>
      <c r="P552" t="b" cm="1">
        <f t="array" ref="P552">_xlfn.XLOOKUP(Sales_Data[[#This Row],[Stage]],_xlfn.ANCHORARRAY(Dashboard!$B$20),Dashboard!$D$20:$D$25)</f>
        <v>1</v>
      </c>
      <c r="Q552" t="b" cm="1">
        <f t="array" ref="Q552">_xlfn.XLOOKUP(Sales_Data[[#This Row],[Lead Source]],_xlfn.ANCHORARRAY(Dashboard!$B$28),Dashboard!$D$28:$D$32)</f>
        <v>1</v>
      </c>
      <c r="R552">
        <f>Sales_Data[[#This Row],[Date inc]]*Sales_Data[[#This Row],[Team Inc]]*Sales_Data[[#This Row],[Rep Inc]]*Sales_Data[[#This Row],[Stage Inc]]*Sales_Data[[#This Row],[Source Inc]]</f>
        <v>1</v>
      </c>
    </row>
    <row r="553" spans="1:18" x14ac:dyDescent="0.3">
      <c r="A553" t="s">
        <v>560</v>
      </c>
      <c r="B553" s="2">
        <v>45822</v>
      </c>
      <c r="C553" t="s">
        <v>763</v>
      </c>
      <c r="D553" t="s">
        <v>765</v>
      </c>
      <c r="E553" t="s">
        <v>768</v>
      </c>
      <c r="F553" s="5">
        <v>38400</v>
      </c>
      <c r="G553" t="s">
        <v>774</v>
      </c>
      <c r="H553" s="2"/>
      <c r="J553" t="str">
        <f>IF(Sales_Data[[#This Row],[Close Date]] &lt;&gt; 0,"Closed", "Open")</f>
        <v>Open</v>
      </c>
      <c r="K553" t="str">
        <f>IF(Sales_Data[[#This Row],[Open/Closed]] = "Closed",Sales_Data[[#This Row],[Close Date]]-Sales_Data[[#This Row],[Created Date]],"")</f>
        <v/>
      </c>
      <c r="L553" s="2">
        <f>EOMONTH(Sales_Data[[#This Row],[Created Date]],0)</f>
        <v>45838</v>
      </c>
      <c r="M553" t="b">
        <f>AND(Sales_Data[[#This Row],[EoM Created]]&gt;=Index!$E$5,Sales_Data[[#This Row],[EoM Created]]&lt;=Index!$E$4)</f>
        <v>1</v>
      </c>
      <c r="N553" t="b" cm="1">
        <f t="array" ref="N553">_xlfn.XLOOKUP(Sales_Data[[#This Row],[Sales Team]],_xlfn.ANCHORARRAY(Dashboard!$B$9),Dashboard!$D$9:$D$10,,0)</f>
        <v>1</v>
      </c>
      <c r="O553" t="b" cm="1">
        <f t="array" ref="O553">_xlfn.XLOOKUP(Sales_Data[[#This Row],[Sales Rep]],_xlfn.ANCHORARRAY(Dashboard!$B$13),Dashboard!$D$13:$D$17,,0)</f>
        <v>1</v>
      </c>
      <c r="P553" t="b" cm="1">
        <f t="array" ref="P553">_xlfn.XLOOKUP(Sales_Data[[#This Row],[Stage]],_xlfn.ANCHORARRAY(Dashboard!$B$20),Dashboard!$D$20:$D$25)</f>
        <v>1</v>
      </c>
      <c r="Q553" t="b" cm="1">
        <f t="array" ref="Q553">_xlfn.XLOOKUP(Sales_Data[[#This Row],[Lead Source]],_xlfn.ANCHORARRAY(Dashboard!$B$28),Dashboard!$D$28:$D$32)</f>
        <v>1</v>
      </c>
      <c r="R553">
        <f>Sales_Data[[#This Row],[Date inc]]*Sales_Data[[#This Row],[Team Inc]]*Sales_Data[[#This Row],[Rep Inc]]*Sales_Data[[#This Row],[Stage Inc]]*Sales_Data[[#This Row],[Source Inc]]</f>
        <v>1</v>
      </c>
    </row>
    <row r="554" spans="1:18" x14ac:dyDescent="0.3">
      <c r="A554" t="s">
        <v>561</v>
      </c>
      <c r="B554" s="2">
        <v>45204</v>
      </c>
      <c r="C554" t="s">
        <v>759</v>
      </c>
      <c r="D554" t="s">
        <v>764</v>
      </c>
      <c r="E554" t="s">
        <v>767</v>
      </c>
      <c r="F554" s="5">
        <v>51700</v>
      </c>
      <c r="G554" t="s">
        <v>780</v>
      </c>
      <c r="H554" s="2">
        <v>45286</v>
      </c>
      <c r="J554" t="str">
        <f>IF(Sales_Data[[#This Row],[Close Date]] &lt;&gt; 0,"Closed", "Open")</f>
        <v>Closed</v>
      </c>
      <c r="K554">
        <f>IF(Sales_Data[[#This Row],[Open/Closed]] = "Closed",Sales_Data[[#This Row],[Close Date]]-Sales_Data[[#This Row],[Created Date]],"")</f>
        <v>82</v>
      </c>
      <c r="L554" s="2">
        <f>EOMONTH(Sales_Data[[#This Row],[Created Date]],0)</f>
        <v>45230</v>
      </c>
      <c r="M554" t="b">
        <f>AND(Sales_Data[[#This Row],[EoM Created]]&gt;=Index!$E$5,Sales_Data[[#This Row],[EoM Created]]&lt;=Index!$E$4)</f>
        <v>1</v>
      </c>
      <c r="N554" t="b" cm="1">
        <f t="array" ref="N554">_xlfn.XLOOKUP(Sales_Data[[#This Row],[Sales Team]],_xlfn.ANCHORARRAY(Dashboard!$B$9),Dashboard!$D$9:$D$10,,0)</f>
        <v>1</v>
      </c>
      <c r="O554" t="b" cm="1">
        <f t="array" ref="O554">_xlfn.XLOOKUP(Sales_Data[[#This Row],[Sales Rep]],_xlfn.ANCHORARRAY(Dashboard!$B$13),Dashboard!$D$13:$D$17,,0)</f>
        <v>1</v>
      </c>
      <c r="P554" t="b" cm="1">
        <f t="array" ref="P554">_xlfn.XLOOKUP(Sales_Data[[#This Row],[Stage]],_xlfn.ANCHORARRAY(Dashboard!$B$20),Dashboard!$D$20:$D$25)</f>
        <v>1</v>
      </c>
      <c r="Q554" t="b" cm="1">
        <f t="array" ref="Q554">_xlfn.XLOOKUP(Sales_Data[[#This Row],[Lead Source]],_xlfn.ANCHORARRAY(Dashboard!$B$28),Dashboard!$D$28:$D$32)</f>
        <v>1</v>
      </c>
      <c r="R554">
        <f>Sales_Data[[#This Row],[Date inc]]*Sales_Data[[#This Row],[Team Inc]]*Sales_Data[[#This Row],[Rep Inc]]*Sales_Data[[#This Row],[Stage Inc]]*Sales_Data[[#This Row],[Source Inc]]</f>
        <v>1</v>
      </c>
    </row>
    <row r="555" spans="1:18" x14ac:dyDescent="0.3">
      <c r="A555" t="s">
        <v>562</v>
      </c>
      <c r="B555" s="2">
        <v>45084</v>
      </c>
      <c r="C555" t="s">
        <v>759</v>
      </c>
      <c r="D555" t="s">
        <v>764</v>
      </c>
      <c r="E555" t="s">
        <v>767</v>
      </c>
      <c r="F555" s="5">
        <v>42500</v>
      </c>
      <c r="G555" t="s">
        <v>781</v>
      </c>
      <c r="H555" s="2">
        <v>45161</v>
      </c>
      <c r="I555" t="s">
        <v>776</v>
      </c>
      <c r="J555" t="str">
        <f>IF(Sales_Data[[#This Row],[Close Date]] &lt;&gt; 0,"Closed", "Open")</f>
        <v>Closed</v>
      </c>
      <c r="K555">
        <f>IF(Sales_Data[[#This Row],[Open/Closed]] = "Closed",Sales_Data[[#This Row],[Close Date]]-Sales_Data[[#This Row],[Created Date]],"")</f>
        <v>77</v>
      </c>
      <c r="L555" s="2">
        <f>EOMONTH(Sales_Data[[#This Row],[Created Date]],0)</f>
        <v>45107</v>
      </c>
      <c r="M555" t="b">
        <f>AND(Sales_Data[[#This Row],[EoM Created]]&gt;=Index!$E$5,Sales_Data[[#This Row],[EoM Created]]&lt;=Index!$E$4)</f>
        <v>0</v>
      </c>
      <c r="N555" t="b" cm="1">
        <f t="array" ref="N555">_xlfn.XLOOKUP(Sales_Data[[#This Row],[Sales Team]],_xlfn.ANCHORARRAY(Dashboard!$B$9),Dashboard!$D$9:$D$10,,0)</f>
        <v>1</v>
      </c>
      <c r="O555" t="b" cm="1">
        <f t="array" ref="O555">_xlfn.XLOOKUP(Sales_Data[[#This Row],[Sales Rep]],_xlfn.ANCHORARRAY(Dashboard!$B$13),Dashboard!$D$13:$D$17,,0)</f>
        <v>1</v>
      </c>
      <c r="P555" t="b" cm="1">
        <f t="array" ref="P555">_xlfn.XLOOKUP(Sales_Data[[#This Row],[Stage]],_xlfn.ANCHORARRAY(Dashboard!$B$20),Dashboard!$D$20:$D$25)</f>
        <v>1</v>
      </c>
      <c r="Q555" t="b" cm="1">
        <f t="array" ref="Q555">_xlfn.XLOOKUP(Sales_Data[[#This Row],[Lead Source]],_xlfn.ANCHORARRAY(Dashboard!$B$28),Dashboard!$D$28:$D$32)</f>
        <v>1</v>
      </c>
      <c r="R555">
        <f>Sales_Data[[#This Row],[Date inc]]*Sales_Data[[#This Row],[Team Inc]]*Sales_Data[[#This Row],[Rep Inc]]*Sales_Data[[#This Row],[Stage Inc]]*Sales_Data[[#This Row],[Source Inc]]</f>
        <v>0</v>
      </c>
    </row>
    <row r="556" spans="1:18" x14ac:dyDescent="0.3">
      <c r="A556" t="s">
        <v>563</v>
      </c>
      <c r="B556" s="2">
        <v>45087</v>
      </c>
      <c r="C556" t="s">
        <v>763</v>
      </c>
      <c r="D556" t="s">
        <v>765</v>
      </c>
      <c r="E556" t="s">
        <v>768</v>
      </c>
      <c r="F556" s="5">
        <v>43400</v>
      </c>
      <c r="G556" t="s">
        <v>780</v>
      </c>
      <c r="H556" s="2">
        <v>45171</v>
      </c>
      <c r="J556" t="str">
        <f>IF(Sales_Data[[#This Row],[Close Date]] &lt;&gt; 0,"Closed", "Open")</f>
        <v>Closed</v>
      </c>
      <c r="K556">
        <f>IF(Sales_Data[[#This Row],[Open/Closed]] = "Closed",Sales_Data[[#This Row],[Close Date]]-Sales_Data[[#This Row],[Created Date]],"")</f>
        <v>84</v>
      </c>
      <c r="L556" s="2">
        <f>EOMONTH(Sales_Data[[#This Row],[Created Date]],0)</f>
        <v>45107</v>
      </c>
      <c r="M556" t="b">
        <f>AND(Sales_Data[[#This Row],[EoM Created]]&gt;=Index!$E$5,Sales_Data[[#This Row],[EoM Created]]&lt;=Index!$E$4)</f>
        <v>0</v>
      </c>
      <c r="N556" t="b" cm="1">
        <f t="array" ref="N556">_xlfn.XLOOKUP(Sales_Data[[#This Row],[Sales Team]],_xlfn.ANCHORARRAY(Dashboard!$B$9),Dashboard!$D$9:$D$10,,0)</f>
        <v>1</v>
      </c>
      <c r="O556" t="b" cm="1">
        <f t="array" ref="O556">_xlfn.XLOOKUP(Sales_Data[[#This Row],[Sales Rep]],_xlfn.ANCHORARRAY(Dashboard!$B$13),Dashboard!$D$13:$D$17,,0)</f>
        <v>1</v>
      </c>
      <c r="P556" t="b" cm="1">
        <f t="array" ref="P556">_xlfn.XLOOKUP(Sales_Data[[#This Row],[Stage]],_xlfn.ANCHORARRAY(Dashboard!$B$20),Dashboard!$D$20:$D$25)</f>
        <v>1</v>
      </c>
      <c r="Q556" t="b" cm="1">
        <f t="array" ref="Q556">_xlfn.XLOOKUP(Sales_Data[[#This Row],[Lead Source]],_xlfn.ANCHORARRAY(Dashboard!$B$28),Dashboard!$D$28:$D$32)</f>
        <v>1</v>
      </c>
      <c r="R556">
        <f>Sales_Data[[#This Row],[Date inc]]*Sales_Data[[#This Row],[Team Inc]]*Sales_Data[[#This Row],[Rep Inc]]*Sales_Data[[#This Row],[Stage Inc]]*Sales_Data[[#This Row],[Source Inc]]</f>
        <v>0</v>
      </c>
    </row>
    <row r="557" spans="1:18" x14ac:dyDescent="0.3">
      <c r="A557" t="s">
        <v>564</v>
      </c>
      <c r="B557" s="2">
        <v>45124</v>
      </c>
      <c r="C557" t="s">
        <v>762</v>
      </c>
      <c r="D557" t="s">
        <v>764</v>
      </c>
      <c r="E557" t="s">
        <v>767</v>
      </c>
      <c r="F557" s="5">
        <v>35900</v>
      </c>
      <c r="G557" t="s">
        <v>780</v>
      </c>
      <c r="H557" s="2">
        <v>45191</v>
      </c>
      <c r="J557" t="str">
        <f>IF(Sales_Data[[#This Row],[Close Date]] &lt;&gt; 0,"Closed", "Open")</f>
        <v>Closed</v>
      </c>
      <c r="K557">
        <f>IF(Sales_Data[[#This Row],[Open/Closed]] = "Closed",Sales_Data[[#This Row],[Close Date]]-Sales_Data[[#This Row],[Created Date]],"")</f>
        <v>67</v>
      </c>
      <c r="L557" s="2">
        <f>EOMONTH(Sales_Data[[#This Row],[Created Date]],0)</f>
        <v>45138</v>
      </c>
      <c r="M557" t="b">
        <f>AND(Sales_Data[[#This Row],[EoM Created]]&gt;=Index!$E$5,Sales_Data[[#This Row],[EoM Created]]&lt;=Index!$E$4)</f>
        <v>1</v>
      </c>
      <c r="N557" t="b" cm="1">
        <f t="array" ref="N557">_xlfn.XLOOKUP(Sales_Data[[#This Row],[Sales Team]],_xlfn.ANCHORARRAY(Dashboard!$B$9),Dashboard!$D$9:$D$10,,0)</f>
        <v>1</v>
      </c>
      <c r="O557" t="b" cm="1">
        <f t="array" ref="O557">_xlfn.XLOOKUP(Sales_Data[[#This Row],[Sales Rep]],_xlfn.ANCHORARRAY(Dashboard!$B$13),Dashboard!$D$13:$D$17,,0)</f>
        <v>1</v>
      </c>
      <c r="P557" t="b" cm="1">
        <f t="array" ref="P557">_xlfn.XLOOKUP(Sales_Data[[#This Row],[Stage]],_xlfn.ANCHORARRAY(Dashboard!$B$20),Dashboard!$D$20:$D$25)</f>
        <v>1</v>
      </c>
      <c r="Q557" t="b" cm="1">
        <f t="array" ref="Q557">_xlfn.XLOOKUP(Sales_Data[[#This Row],[Lead Source]],_xlfn.ANCHORARRAY(Dashboard!$B$28),Dashboard!$D$28:$D$32)</f>
        <v>1</v>
      </c>
      <c r="R557">
        <f>Sales_Data[[#This Row],[Date inc]]*Sales_Data[[#This Row],[Team Inc]]*Sales_Data[[#This Row],[Rep Inc]]*Sales_Data[[#This Row],[Stage Inc]]*Sales_Data[[#This Row],[Source Inc]]</f>
        <v>1</v>
      </c>
    </row>
    <row r="558" spans="1:18" x14ac:dyDescent="0.3">
      <c r="A558" t="s">
        <v>565</v>
      </c>
      <c r="B558" s="2">
        <v>45147</v>
      </c>
      <c r="C558" t="s">
        <v>762</v>
      </c>
      <c r="D558" t="s">
        <v>764</v>
      </c>
      <c r="E558" t="s">
        <v>766</v>
      </c>
      <c r="F558" s="5">
        <v>35100</v>
      </c>
      <c r="G558" t="s">
        <v>781</v>
      </c>
      <c r="H558" s="2">
        <v>45236</v>
      </c>
      <c r="I558" t="s">
        <v>775</v>
      </c>
      <c r="J558" t="str">
        <f>IF(Sales_Data[[#This Row],[Close Date]] &lt;&gt; 0,"Closed", "Open")</f>
        <v>Closed</v>
      </c>
      <c r="K558">
        <f>IF(Sales_Data[[#This Row],[Open/Closed]] = "Closed",Sales_Data[[#This Row],[Close Date]]-Sales_Data[[#This Row],[Created Date]],"")</f>
        <v>89</v>
      </c>
      <c r="L558" s="2">
        <f>EOMONTH(Sales_Data[[#This Row],[Created Date]],0)</f>
        <v>45169</v>
      </c>
      <c r="M558" t="b">
        <f>AND(Sales_Data[[#This Row],[EoM Created]]&gt;=Index!$E$5,Sales_Data[[#This Row],[EoM Created]]&lt;=Index!$E$4)</f>
        <v>1</v>
      </c>
      <c r="N558" t="b" cm="1">
        <f t="array" ref="N558">_xlfn.XLOOKUP(Sales_Data[[#This Row],[Sales Team]],_xlfn.ANCHORARRAY(Dashboard!$B$9),Dashboard!$D$9:$D$10,,0)</f>
        <v>1</v>
      </c>
      <c r="O558" t="b" cm="1">
        <f t="array" ref="O558">_xlfn.XLOOKUP(Sales_Data[[#This Row],[Sales Rep]],_xlfn.ANCHORARRAY(Dashboard!$B$13),Dashboard!$D$13:$D$17,,0)</f>
        <v>1</v>
      </c>
      <c r="P558" t="b" cm="1">
        <f t="array" ref="P558">_xlfn.XLOOKUP(Sales_Data[[#This Row],[Stage]],_xlfn.ANCHORARRAY(Dashboard!$B$20),Dashboard!$D$20:$D$25)</f>
        <v>1</v>
      </c>
      <c r="Q558" t="b" cm="1">
        <f t="array" ref="Q558">_xlfn.XLOOKUP(Sales_Data[[#This Row],[Lead Source]],_xlfn.ANCHORARRAY(Dashboard!$B$28),Dashboard!$D$28:$D$32)</f>
        <v>1</v>
      </c>
      <c r="R558">
        <f>Sales_Data[[#This Row],[Date inc]]*Sales_Data[[#This Row],[Team Inc]]*Sales_Data[[#This Row],[Rep Inc]]*Sales_Data[[#This Row],[Stage Inc]]*Sales_Data[[#This Row],[Source Inc]]</f>
        <v>1</v>
      </c>
    </row>
    <row r="559" spans="1:18" x14ac:dyDescent="0.3">
      <c r="A559" t="s">
        <v>566</v>
      </c>
      <c r="B559" s="2">
        <v>45538</v>
      </c>
      <c r="C559" t="s">
        <v>762</v>
      </c>
      <c r="D559" t="s">
        <v>764</v>
      </c>
      <c r="E559" t="s">
        <v>766</v>
      </c>
      <c r="F559" s="5">
        <v>35700</v>
      </c>
      <c r="G559" t="s">
        <v>780</v>
      </c>
      <c r="H559" s="2">
        <v>45607</v>
      </c>
      <c r="J559" t="str">
        <f>IF(Sales_Data[[#This Row],[Close Date]] &lt;&gt; 0,"Closed", "Open")</f>
        <v>Closed</v>
      </c>
      <c r="K559">
        <f>IF(Sales_Data[[#This Row],[Open/Closed]] = "Closed",Sales_Data[[#This Row],[Close Date]]-Sales_Data[[#This Row],[Created Date]],"")</f>
        <v>69</v>
      </c>
      <c r="L559" s="2">
        <f>EOMONTH(Sales_Data[[#This Row],[Created Date]],0)</f>
        <v>45565</v>
      </c>
      <c r="M559" t="b">
        <f>AND(Sales_Data[[#This Row],[EoM Created]]&gt;=Index!$E$5,Sales_Data[[#This Row],[EoM Created]]&lt;=Index!$E$4)</f>
        <v>1</v>
      </c>
      <c r="N559" t="b" cm="1">
        <f t="array" ref="N559">_xlfn.XLOOKUP(Sales_Data[[#This Row],[Sales Team]],_xlfn.ANCHORARRAY(Dashboard!$B$9),Dashboard!$D$9:$D$10,,0)</f>
        <v>1</v>
      </c>
      <c r="O559" t="b" cm="1">
        <f t="array" ref="O559">_xlfn.XLOOKUP(Sales_Data[[#This Row],[Sales Rep]],_xlfn.ANCHORARRAY(Dashboard!$B$13),Dashboard!$D$13:$D$17,,0)</f>
        <v>1</v>
      </c>
      <c r="P559" t="b" cm="1">
        <f t="array" ref="P559">_xlfn.XLOOKUP(Sales_Data[[#This Row],[Stage]],_xlfn.ANCHORARRAY(Dashboard!$B$20),Dashboard!$D$20:$D$25)</f>
        <v>1</v>
      </c>
      <c r="Q559" t="b" cm="1">
        <f t="array" ref="Q559">_xlfn.XLOOKUP(Sales_Data[[#This Row],[Lead Source]],_xlfn.ANCHORARRAY(Dashboard!$B$28),Dashboard!$D$28:$D$32)</f>
        <v>1</v>
      </c>
      <c r="R559">
        <f>Sales_Data[[#This Row],[Date inc]]*Sales_Data[[#This Row],[Team Inc]]*Sales_Data[[#This Row],[Rep Inc]]*Sales_Data[[#This Row],[Stage Inc]]*Sales_Data[[#This Row],[Source Inc]]</f>
        <v>1</v>
      </c>
    </row>
    <row r="560" spans="1:18" x14ac:dyDescent="0.3">
      <c r="A560" t="s">
        <v>567</v>
      </c>
      <c r="B560" s="2">
        <v>45151</v>
      </c>
      <c r="C560" t="s">
        <v>761</v>
      </c>
      <c r="D560" t="s">
        <v>765</v>
      </c>
      <c r="E560" t="s">
        <v>770</v>
      </c>
      <c r="F560" s="5">
        <v>43900</v>
      </c>
      <c r="G560" t="s">
        <v>781</v>
      </c>
      <c r="H560" s="2">
        <v>45232</v>
      </c>
      <c r="I560" t="s">
        <v>776</v>
      </c>
      <c r="J560" t="str">
        <f>IF(Sales_Data[[#This Row],[Close Date]] &lt;&gt; 0,"Closed", "Open")</f>
        <v>Closed</v>
      </c>
      <c r="K560">
        <f>IF(Sales_Data[[#This Row],[Open/Closed]] = "Closed",Sales_Data[[#This Row],[Close Date]]-Sales_Data[[#This Row],[Created Date]],"")</f>
        <v>81</v>
      </c>
      <c r="L560" s="2">
        <f>EOMONTH(Sales_Data[[#This Row],[Created Date]],0)</f>
        <v>45169</v>
      </c>
      <c r="M560" t="b">
        <f>AND(Sales_Data[[#This Row],[EoM Created]]&gt;=Index!$E$5,Sales_Data[[#This Row],[EoM Created]]&lt;=Index!$E$4)</f>
        <v>1</v>
      </c>
      <c r="N560" t="b" cm="1">
        <f t="array" ref="N560">_xlfn.XLOOKUP(Sales_Data[[#This Row],[Sales Team]],_xlfn.ANCHORARRAY(Dashboard!$B$9),Dashboard!$D$9:$D$10,,0)</f>
        <v>1</v>
      </c>
      <c r="O560" t="b" cm="1">
        <f t="array" ref="O560">_xlfn.XLOOKUP(Sales_Data[[#This Row],[Sales Rep]],_xlfn.ANCHORARRAY(Dashboard!$B$13),Dashboard!$D$13:$D$17,,0)</f>
        <v>1</v>
      </c>
      <c r="P560" t="b" cm="1">
        <f t="array" ref="P560">_xlfn.XLOOKUP(Sales_Data[[#This Row],[Stage]],_xlfn.ANCHORARRAY(Dashboard!$B$20),Dashboard!$D$20:$D$25)</f>
        <v>1</v>
      </c>
      <c r="Q560" t="b" cm="1">
        <f t="array" ref="Q560">_xlfn.XLOOKUP(Sales_Data[[#This Row],[Lead Source]],_xlfn.ANCHORARRAY(Dashboard!$B$28),Dashboard!$D$28:$D$32)</f>
        <v>1</v>
      </c>
      <c r="R560">
        <f>Sales_Data[[#This Row],[Date inc]]*Sales_Data[[#This Row],[Team Inc]]*Sales_Data[[#This Row],[Rep Inc]]*Sales_Data[[#This Row],[Stage Inc]]*Sales_Data[[#This Row],[Source Inc]]</f>
        <v>1</v>
      </c>
    </row>
    <row r="561" spans="1:18" x14ac:dyDescent="0.3">
      <c r="A561" t="s">
        <v>568</v>
      </c>
      <c r="B561" s="2">
        <v>45467</v>
      </c>
      <c r="C561" t="s">
        <v>762</v>
      </c>
      <c r="D561" t="s">
        <v>764</v>
      </c>
      <c r="E561" t="s">
        <v>767</v>
      </c>
      <c r="F561" s="5">
        <v>35800</v>
      </c>
      <c r="G561" t="s">
        <v>781</v>
      </c>
      <c r="H561" s="2">
        <v>45530</v>
      </c>
      <c r="I561" t="s">
        <v>778</v>
      </c>
      <c r="J561" t="str">
        <f>IF(Sales_Data[[#This Row],[Close Date]] &lt;&gt; 0,"Closed", "Open")</f>
        <v>Closed</v>
      </c>
      <c r="K561">
        <f>IF(Sales_Data[[#This Row],[Open/Closed]] = "Closed",Sales_Data[[#This Row],[Close Date]]-Sales_Data[[#This Row],[Created Date]],"")</f>
        <v>63</v>
      </c>
      <c r="L561" s="2">
        <f>EOMONTH(Sales_Data[[#This Row],[Created Date]],0)</f>
        <v>45473</v>
      </c>
      <c r="M561" t="b">
        <f>AND(Sales_Data[[#This Row],[EoM Created]]&gt;=Index!$E$5,Sales_Data[[#This Row],[EoM Created]]&lt;=Index!$E$4)</f>
        <v>1</v>
      </c>
      <c r="N561" t="b" cm="1">
        <f t="array" ref="N561">_xlfn.XLOOKUP(Sales_Data[[#This Row],[Sales Team]],_xlfn.ANCHORARRAY(Dashboard!$B$9),Dashboard!$D$9:$D$10,,0)</f>
        <v>1</v>
      </c>
      <c r="O561" t="b" cm="1">
        <f t="array" ref="O561">_xlfn.XLOOKUP(Sales_Data[[#This Row],[Sales Rep]],_xlfn.ANCHORARRAY(Dashboard!$B$13),Dashboard!$D$13:$D$17,,0)</f>
        <v>1</v>
      </c>
      <c r="P561" t="b" cm="1">
        <f t="array" ref="P561">_xlfn.XLOOKUP(Sales_Data[[#This Row],[Stage]],_xlfn.ANCHORARRAY(Dashboard!$B$20),Dashboard!$D$20:$D$25)</f>
        <v>1</v>
      </c>
      <c r="Q561" t="b" cm="1">
        <f t="array" ref="Q561">_xlfn.XLOOKUP(Sales_Data[[#This Row],[Lead Source]],_xlfn.ANCHORARRAY(Dashboard!$B$28),Dashboard!$D$28:$D$32)</f>
        <v>1</v>
      </c>
      <c r="R561">
        <f>Sales_Data[[#This Row],[Date inc]]*Sales_Data[[#This Row],[Team Inc]]*Sales_Data[[#This Row],[Rep Inc]]*Sales_Data[[#This Row],[Stage Inc]]*Sales_Data[[#This Row],[Source Inc]]</f>
        <v>1</v>
      </c>
    </row>
    <row r="562" spans="1:18" x14ac:dyDescent="0.3">
      <c r="A562" t="s">
        <v>569</v>
      </c>
      <c r="B562" s="2">
        <v>45813</v>
      </c>
      <c r="C562" t="s">
        <v>760</v>
      </c>
      <c r="D562" t="s">
        <v>764</v>
      </c>
      <c r="E562" t="s">
        <v>767</v>
      </c>
      <c r="F562" s="5">
        <v>42900</v>
      </c>
      <c r="G562" t="s">
        <v>781</v>
      </c>
      <c r="H562" s="2">
        <v>45900</v>
      </c>
      <c r="I562" t="s">
        <v>776</v>
      </c>
      <c r="J562" t="str">
        <f>IF(Sales_Data[[#This Row],[Close Date]] &lt;&gt; 0,"Closed", "Open")</f>
        <v>Closed</v>
      </c>
      <c r="K562">
        <f>IF(Sales_Data[[#This Row],[Open/Closed]] = "Closed",Sales_Data[[#This Row],[Close Date]]-Sales_Data[[#This Row],[Created Date]],"")</f>
        <v>87</v>
      </c>
      <c r="L562" s="2">
        <f>EOMONTH(Sales_Data[[#This Row],[Created Date]],0)</f>
        <v>45838</v>
      </c>
      <c r="M562" t="b">
        <f>AND(Sales_Data[[#This Row],[EoM Created]]&gt;=Index!$E$5,Sales_Data[[#This Row],[EoM Created]]&lt;=Index!$E$4)</f>
        <v>1</v>
      </c>
      <c r="N562" t="b" cm="1">
        <f t="array" ref="N562">_xlfn.XLOOKUP(Sales_Data[[#This Row],[Sales Team]],_xlfn.ANCHORARRAY(Dashboard!$B$9),Dashboard!$D$9:$D$10,,0)</f>
        <v>1</v>
      </c>
      <c r="O562" t="b" cm="1">
        <f t="array" ref="O562">_xlfn.XLOOKUP(Sales_Data[[#This Row],[Sales Rep]],_xlfn.ANCHORARRAY(Dashboard!$B$13),Dashboard!$D$13:$D$17,,0)</f>
        <v>1</v>
      </c>
      <c r="P562" t="b" cm="1">
        <f t="array" ref="P562">_xlfn.XLOOKUP(Sales_Data[[#This Row],[Stage]],_xlfn.ANCHORARRAY(Dashboard!$B$20),Dashboard!$D$20:$D$25)</f>
        <v>1</v>
      </c>
      <c r="Q562" t="b" cm="1">
        <f t="array" ref="Q562">_xlfn.XLOOKUP(Sales_Data[[#This Row],[Lead Source]],_xlfn.ANCHORARRAY(Dashboard!$B$28),Dashboard!$D$28:$D$32)</f>
        <v>1</v>
      </c>
      <c r="R562">
        <f>Sales_Data[[#This Row],[Date inc]]*Sales_Data[[#This Row],[Team Inc]]*Sales_Data[[#This Row],[Rep Inc]]*Sales_Data[[#This Row],[Stage Inc]]*Sales_Data[[#This Row],[Source Inc]]</f>
        <v>1</v>
      </c>
    </row>
    <row r="563" spans="1:18" x14ac:dyDescent="0.3">
      <c r="A563" t="s">
        <v>570</v>
      </c>
      <c r="B563" s="2">
        <v>45791</v>
      </c>
      <c r="C563" t="s">
        <v>761</v>
      </c>
      <c r="D563" t="s">
        <v>765</v>
      </c>
      <c r="E563" t="s">
        <v>770</v>
      </c>
      <c r="F563" s="5">
        <v>60800</v>
      </c>
      <c r="G563" t="s">
        <v>772</v>
      </c>
      <c r="H563" s="2"/>
      <c r="J563" t="str">
        <f>IF(Sales_Data[[#This Row],[Close Date]] &lt;&gt; 0,"Closed", "Open")</f>
        <v>Open</v>
      </c>
      <c r="K563" t="str">
        <f>IF(Sales_Data[[#This Row],[Open/Closed]] = "Closed",Sales_Data[[#This Row],[Close Date]]-Sales_Data[[#This Row],[Created Date]],"")</f>
        <v/>
      </c>
      <c r="L563" s="2">
        <f>EOMONTH(Sales_Data[[#This Row],[Created Date]],0)</f>
        <v>45808</v>
      </c>
      <c r="M563" t="b">
        <f>AND(Sales_Data[[#This Row],[EoM Created]]&gt;=Index!$E$5,Sales_Data[[#This Row],[EoM Created]]&lt;=Index!$E$4)</f>
        <v>1</v>
      </c>
      <c r="N563" t="b" cm="1">
        <f t="array" ref="N563">_xlfn.XLOOKUP(Sales_Data[[#This Row],[Sales Team]],_xlfn.ANCHORARRAY(Dashboard!$B$9),Dashboard!$D$9:$D$10,,0)</f>
        <v>1</v>
      </c>
      <c r="O563" t="b" cm="1">
        <f t="array" ref="O563">_xlfn.XLOOKUP(Sales_Data[[#This Row],[Sales Rep]],_xlfn.ANCHORARRAY(Dashboard!$B$13),Dashboard!$D$13:$D$17,,0)</f>
        <v>1</v>
      </c>
      <c r="P563" t="b" cm="1">
        <f t="array" ref="P563">_xlfn.XLOOKUP(Sales_Data[[#This Row],[Stage]],_xlfn.ANCHORARRAY(Dashboard!$B$20),Dashboard!$D$20:$D$25)</f>
        <v>1</v>
      </c>
      <c r="Q563" t="b" cm="1">
        <f t="array" ref="Q563">_xlfn.XLOOKUP(Sales_Data[[#This Row],[Lead Source]],_xlfn.ANCHORARRAY(Dashboard!$B$28),Dashboard!$D$28:$D$32)</f>
        <v>1</v>
      </c>
      <c r="R563">
        <f>Sales_Data[[#This Row],[Date inc]]*Sales_Data[[#This Row],[Team Inc]]*Sales_Data[[#This Row],[Rep Inc]]*Sales_Data[[#This Row],[Stage Inc]]*Sales_Data[[#This Row],[Source Inc]]</f>
        <v>1</v>
      </c>
    </row>
    <row r="564" spans="1:18" x14ac:dyDescent="0.3">
      <c r="A564" t="s">
        <v>571</v>
      </c>
      <c r="B564" s="2">
        <v>45483</v>
      </c>
      <c r="C564" t="s">
        <v>760</v>
      </c>
      <c r="D564" t="s">
        <v>764</v>
      </c>
      <c r="E564" t="s">
        <v>766</v>
      </c>
      <c r="F564" s="5">
        <v>48700</v>
      </c>
      <c r="G564" t="s">
        <v>781</v>
      </c>
      <c r="H564" s="2">
        <v>45553</v>
      </c>
      <c r="I564" t="s">
        <v>777</v>
      </c>
      <c r="J564" t="str">
        <f>IF(Sales_Data[[#This Row],[Close Date]] &lt;&gt; 0,"Closed", "Open")</f>
        <v>Closed</v>
      </c>
      <c r="K564">
        <f>IF(Sales_Data[[#This Row],[Open/Closed]] = "Closed",Sales_Data[[#This Row],[Close Date]]-Sales_Data[[#This Row],[Created Date]],"")</f>
        <v>70</v>
      </c>
      <c r="L564" s="2">
        <f>EOMONTH(Sales_Data[[#This Row],[Created Date]],0)</f>
        <v>45504</v>
      </c>
      <c r="M564" t="b">
        <f>AND(Sales_Data[[#This Row],[EoM Created]]&gt;=Index!$E$5,Sales_Data[[#This Row],[EoM Created]]&lt;=Index!$E$4)</f>
        <v>1</v>
      </c>
      <c r="N564" t="b" cm="1">
        <f t="array" ref="N564">_xlfn.XLOOKUP(Sales_Data[[#This Row],[Sales Team]],_xlfn.ANCHORARRAY(Dashboard!$B$9),Dashboard!$D$9:$D$10,,0)</f>
        <v>1</v>
      </c>
      <c r="O564" t="b" cm="1">
        <f t="array" ref="O564">_xlfn.XLOOKUP(Sales_Data[[#This Row],[Sales Rep]],_xlfn.ANCHORARRAY(Dashboard!$B$13),Dashboard!$D$13:$D$17,,0)</f>
        <v>1</v>
      </c>
      <c r="P564" t="b" cm="1">
        <f t="array" ref="P564">_xlfn.XLOOKUP(Sales_Data[[#This Row],[Stage]],_xlfn.ANCHORARRAY(Dashboard!$B$20),Dashboard!$D$20:$D$25)</f>
        <v>1</v>
      </c>
      <c r="Q564" t="b" cm="1">
        <f t="array" ref="Q564">_xlfn.XLOOKUP(Sales_Data[[#This Row],[Lead Source]],_xlfn.ANCHORARRAY(Dashboard!$B$28),Dashboard!$D$28:$D$32)</f>
        <v>1</v>
      </c>
      <c r="R564">
        <f>Sales_Data[[#This Row],[Date inc]]*Sales_Data[[#This Row],[Team Inc]]*Sales_Data[[#This Row],[Rep Inc]]*Sales_Data[[#This Row],[Stage Inc]]*Sales_Data[[#This Row],[Source Inc]]</f>
        <v>1</v>
      </c>
    </row>
    <row r="565" spans="1:18" x14ac:dyDescent="0.3">
      <c r="A565" t="s">
        <v>572</v>
      </c>
      <c r="B565" s="2">
        <v>45808</v>
      </c>
      <c r="C565" t="s">
        <v>763</v>
      </c>
      <c r="D565" t="s">
        <v>765</v>
      </c>
      <c r="E565" t="s">
        <v>770</v>
      </c>
      <c r="F565" s="5">
        <v>36700</v>
      </c>
      <c r="G565" t="s">
        <v>773</v>
      </c>
      <c r="H565" s="2"/>
      <c r="J565" t="str">
        <f>IF(Sales_Data[[#This Row],[Close Date]] &lt;&gt; 0,"Closed", "Open")</f>
        <v>Open</v>
      </c>
      <c r="K565" t="str">
        <f>IF(Sales_Data[[#This Row],[Open/Closed]] = "Closed",Sales_Data[[#This Row],[Close Date]]-Sales_Data[[#This Row],[Created Date]],"")</f>
        <v/>
      </c>
      <c r="L565" s="2">
        <f>EOMONTH(Sales_Data[[#This Row],[Created Date]],0)</f>
        <v>45808</v>
      </c>
      <c r="M565" t="b">
        <f>AND(Sales_Data[[#This Row],[EoM Created]]&gt;=Index!$E$5,Sales_Data[[#This Row],[EoM Created]]&lt;=Index!$E$4)</f>
        <v>1</v>
      </c>
      <c r="N565" t="b" cm="1">
        <f t="array" ref="N565">_xlfn.XLOOKUP(Sales_Data[[#This Row],[Sales Team]],_xlfn.ANCHORARRAY(Dashboard!$B$9),Dashboard!$D$9:$D$10,,0)</f>
        <v>1</v>
      </c>
      <c r="O565" t="b" cm="1">
        <f t="array" ref="O565">_xlfn.XLOOKUP(Sales_Data[[#This Row],[Sales Rep]],_xlfn.ANCHORARRAY(Dashboard!$B$13),Dashboard!$D$13:$D$17,,0)</f>
        <v>1</v>
      </c>
      <c r="P565" t="b" cm="1">
        <f t="array" ref="P565">_xlfn.XLOOKUP(Sales_Data[[#This Row],[Stage]],_xlfn.ANCHORARRAY(Dashboard!$B$20),Dashboard!$D$20:$D$25)</f>
        <v>1</v>
      </c>
      <c r="Q565" t="b" cm="1">
        <f t="array" ref="Q565">_xlfn.XLOOKUP(Sales_Data[[#This Row],[Lead Source]],_xlfn.ANCHORARRAY(Dashboard!$B$28),Dashboard!$D$28:$D$32)</f>
        <v>1</v>
      </c>
      <c r="R565">
        <f>Sales_Data[[#This Row],[Date inc]]*Sales_Data[[#This Row],[Team Inc]]*Sales_Data[[#This Row],[Rep Inc]]*Sales_Data[[#This Row],[Stage Inc]]*Sales_Data[[#This Row],[Source Inc]]</f>
        <v>1</v>
      </c>
    </row>
    <row r="566" spans="1:18" x14ac:dyDescent="0.3">
      <c r="A566" t="s">
        <v>573</v>
      </c>
      <c r="B566" s="2">
        <v>45391</v>
      </c>
      <c r="C566" t="s">
        <v>759</v>
      </c>
      <c r="D566" t="s">
        <v>764</v>
      </c>
      <c r="E566" t="s">
        <v>766</v>
      </c>
      <c r="F566" s="5">
        <v>52000</v>
      </c>
      <c r="G566" t="s">
        <v>781</v>
      </c>
      <c r="H566" s="2">
        <v>45476</v>
      </c>
      <c r="I566" t="s">
        <v>777</v>
      </c>
      <c r="J566" t="str">
        <f>IF(Sales_Data[[#This Row],[Close Date]] &lt;&gt; 0,"Closed", "Open")</f>
        <v>Closed</v>
      </c>
      <c r="K566">
        <f>IF(Sales_Data[[#This Row],[Open/Closed]] = "Closed",Sales_Data[[#This Row],[Close Date]]-Sales_Data[[#This Row],[Created Date]],"")</f>
        <v>85</v>
      </c>
      <c r="L566" s="2">
        <f>EOMONTH(Sales_Data[[#This Row],[Created Date]],0)</f>
        <v>45412</v>
      </c>
      <c r="M566" t="b">
        <f>AND(Sales_Data[[#This Row],[EoM Created]]&gt;=Index!$E$5,Sales_Data[[#This Row],[EoM Created]]&lt;=Index!$E$4)</f>
        <v>1</v>
      </c>
      <c r="N566" t="b" cm="1">
        <f t="array" ref="N566">_xlfn.XLOOKUP(Sales_Data[[#This Row],[Sales Team]],_xlfn.ANCHORARRAY(Dashboard!$B$9),Dashboard!$D$9:$D$10,,0)</f>
        <v>1</v>
      </c>
      <c r="O566" t="b" cm="1">
        <f t="array" ref="O566">_xlfn.XLOOKUP(Sales_Data[[#This Row],[Sales Rep]],_xlfn.ANCHORARRAY(Dashboard!$B$13),Dashboard!$D$13:$D$17,,0)</f>
        <v>1</v>
      </c>
      <c r="P566" t="b" cm="1">
        <f t="array" ref="P566">_xlfn.XLOOKUP(Sales_Data[[#This Row],[Stage]],_xlfn.ANCHORARRAY(Dashboard!$B$20),Dashboard!$D$20:$D$25)</f>
        <v>1</v>
      </c>
      <c r="Q566" t="b" cm="1">
        <f t="array" ref="Q566">_xlfn.XLOOKUP(Sales_Data[[#This Row],[Lead Source]],_xlfn.ANCHORARRAY(Dashboard!$B$28),Dashboard!$D$28:$D$32)</f>
        <v>1</v>
      </c>
      <c r="R566">
        <f>Sales_Data[[#This Row],[Date inc]]*Sales_Data[[#This Row],[Team Inc]]*Sales_Data[[#This Row],[Rep Inc]]*Sales_Data[[#This Row],[Stage Inc]]*Sales_Data[[#This Row],[Source Inc]]</f>
        <v>1</v>
      </c>
    </row>
    <row r="567" spans="1:18" x14ac:dyDescent="0.3">
      <c r="A567" t="s">
        <v>574</v>
      </c>
      <c r="B567" s="2">
        <v>45423</v>
      </c>
      <c r="C567" t="s">
        <v>763</v>
      </c>
      <c r="D567" t="s">
        <v>765</v>
      </c>
      <c r="E567" t="s">
        <v>769</v>
      </c>
      <c r="F567" s="5">
        <v>35900</v>
      </c>
      <c r="G567" t="s">
        <v>781</v>
      </c>
      <c r="H567" s="2">
        <v>45509</v>
      </c>
      <c r="I567" t="s">
        <v>776</v>
      </c>
      <c r="J567" t="str">
        <f>IF(Sales_Data[[#This Row],[Close Date]] &lt;&gt; 0,"Closed", "Open")</f>
        <v>Closed</v>
      </c>
      <c r="K567">
        <f>IF(Sales_Data[[#This Row],[Open/Closed]] = "Closed",Sales_Data[[#This Row],[Close Date]]-Sales_Data[[#This Row],[Created Date]],"")</f>
        <v>86</v>
      </c>
      <c r="L567" s="2">
        <f>EOMONTH(Sales_Data[[#This Row],[Created Date]],0)</f>
        <v>45443</v>
      </c>
      <c r="M567" t="b">
        <f>AND(Sales_Data[[#This Row],[EoM Created]]&gt;=Index!$E$5,Sales_Data[[#This Row],[EoM Created]]&lt;=Index!$E$4)</f>
        <v>1</v>
      </c>
      <c r="N567" t="b" cm="1">
        <f t="array" ref="N567">_xlfn.XLOOKUP(Sales_Data[[#This Row],[Sales Team]],_xlfn.ANCHORARRAY(Dashboard!$B$9),Dashboard!$D$9:$D$10,,0)</f>
        <v>1</v>
      </c>
      <c r="O567" t="b" cm="1">
        <f t="array" ref="O567">_xlfn.XLOOKUP(Sales_Data[[#This Row],[Sales Rep]],_xlfn.ANCHORARRAY(Dashboard!$B$13),Dashboard!$D$13:$D$17,,0)</f>
        <v>1</v>
      </c>
      <c r="P567" t="b" cm="1">
        <f t="array" ref="P567">_xlfn.XLOOKUP(Sales_Data[[#This Row],[Stage]],_xlfn.ANCHORARRAY(Dashboard!$B$20),Dashboard!$D$20:$D$25)</f>
        <v>1</v>
      </c>
      <c r="Q567" t="b" cm="1">
        <f t="array" ref="Q567">_xlfn.XLOOKUP(Sales_Data[[#This Row],[Lead Source]],_xlfn.ANCHORARRAY(Dashboard!$B$28),Dashboard!$D$28:$D$32)</f>
        <v>1</v>
      </c>
      <c r="R567">
        <f>Sales_Data[[#This Row],[Date inc]]*Sales_Data[[#This Row],[Team Inc]]*Sales_Data[[#This Row],[Rep Inc]]*Sales_Data[[#This Row],[Stage Inc]]*Sales_Data[[#This Row],[Source Inc]]</f>
        <v>1</v>
      </c>
    </row>
    <row r="568" spans="1:18" x14ac:dyDescent="0.3">
      <c r="A568" t="s">
        <v>575</v>
      </c>
      <c r="B568" s="2">
        <v>45762</v>
      </c>
      <c r="C568" t="s">
        <v>760</v>
      </c>
      <c r="D568" t="s">
        <v>764</v>
      </c>
      <c r="E568" t="s">
        <v>767</v>
      </c>
      <c r="F568" s="5">
        <v>19600</v>
      </c>
      <c r="G568" t="s">
        <v>781</v>
      </c>
      <c r="H568" s="2">
        <v>45832</v>
      </c>
      <c r="I568" t="s">
        <v>779</v>
      </c>
      <c r="J568" t="str">
        <f>IF(Sales_Data[[#This Row],[Close Date]] &lt;&gt; 0,"Closed", "Open")</f>
        <v>Closed</v>
      </c>
      <c r="K568">
        <f>IF(Sales_Data[[#This Row],[Open/Closed]] = "Closed",Sales_Data[[#This Row],[Close Date]]-Sales_Data[[#This Row],[Created Date]],"")</f>
        <v>70</v>
      </c>
      <c r="L568" s="2">
        <f>EOMONTH(Sales_Data[[#This Row],[Created Date]],0)</f>
        <v>45777</v>
      </c>
      <c r="M568" t="b">
        <f>AND(Sales_Data[[#This Row],[EoM Created]]&gt;=Index!$E$5,Sales_Data[[#This Row],[EoM Created]]&lt;=Index!$E$4)</f>
        <v>1</v>
      </c>
      <c r="N568" t="b" cm="1">
        <f t="array" ref="N568">_xlfn.XLOOKUP(Sales_Data[[#This Row],[Sales Team]],_xlfn.ANCHORARRAY(Dashboard!$B$9),Dashboard!$D$9:$D$10,,0)</f>
        <v>1</v>
      </c>
      <c r="O568" t="b" cm="1">
        <f t="array" ref="O568">_xlfn.XLOOKUP(Sales_Data[[#This Row],[Sales Rep]],_xlfn.ANCHORARRAY(Dashboard!$B$13),Dashboard!$D$13:$D$17,,0)</f>
        <v>1</v>
      </c>
      <c r="P568" t="b" cm="1">
        <f t="array" ref="P568">_xlfn.XLOOKUP(Sales_Data[[#This Row],[Stage]],_xlfn.ANCHORARRAY(Dashboard!$B$20),Dashboard!$D$20:$D$25)</f>
        <v>1</v>
      </c>
      <c r="Q568" t="b" cm="1">
        <f t="array" ref="Q568">_xlfn.XLOOKUP(Sales_Data[[#This Row],[Lead Source]],_xlfn.ANCHORARRAY(Dashboard!$B$28),Dashboard!$D$28:$D$32)</f>
        <v>1</v>
      </c>
      <c r="R568">
        <f>Sales_Data[[#This Row],[Date inc]]*Sales_Data[[#This Row],[Team Inc]]*Sales_Data[[#This Row],[Rep Inc]]*Sales_Data[[#This Row],[Stage Inc]]*Sales_Data[[#This Row],[Source Inc]]</f>
        <v>1</v>
      </c>
    </row>
    <row r="569" spans="1:18" x14ac:dyDescent="0.3">
      <c r="A569" t="s">
        <v>576</v>
      </c>
      <c r="B569" s="2">
        <v>45345</v>
      </c>
      <c r="C569" t="s">
        <v>761</v>
      </c>
      <c r="D569" t="s">
        <v>765</v>
      </c>
      <c r="E569" t="s">
        <v>770</v>
      </c>
      <c r="F569" s="5">
        <v>29900</v>
      </c>
      <c r="G569" t="s">
        <v>781</v>
      </c>
      <c r="H569" s="2">
        <v>45406</v>
      </c>
      <c r="I569" t="s">
        <v>779</v>
      </c>
      <c r="J569" t="str">
        <f>IF(Sales_Data[[#This Row],[Close Date]] &lt;&gt; 0,"Closed", "Open")</f>
        <v>Closed</v>
      </c>
      <c r="K569">
        <f>IF(Sales_Data[[#This Row],[Open/Closed]] = "Closed",Sales_Data[[#This Row],[Close Date]]-Sales_Data[[#This Row],[Created Date]],"")</f>
        <v>61</v>
      </c>
      <c r="L569" s="2">
        <f>EOMONTH(Sales_Data[[#This Row],[Created Date]],0)</f>
        <v>45351</v>
      </c>
      <c r="M569" t="b">
        <f>AND(Sales_Data[[#This Row],[EoM Created]]&gt;=Index!$E$5,Sales_Data[[#This Row],[EoM Created]]&lt;=Index!$E$4)</f>
        <v>1</v>
      </c>
      <c r="N569" t="b" cm="1">
        <f t="array" ref="N569">_xlfn.XLOOKUP(Sales_Data[[#This Row],[Sales Team]],_xlfn.ANCHORARRAY(Dashboard!$B$9),Dashboard!$D$9:$D$10,,0)</f>
        <v>1</v>
      </c>
      <c r="O569" t="b" cm="1">
        <f t="array" ref="O569">_xlfn.XLOOKUP(Sales_Data[[#This Row],[Sales Rep]],_xlfn.ANCHORARRAY(Dashboard!$B$13),Dashboard!$D$13:$D$17,,0)</f>
        <v>1</v>
      </c>
      <c r="P569" t="b" cm="1">
        <f t="array" ref="P569">_xlfn.XLOOKUP(Sales_Data[[#This Row],[Stage]],_xlfn.ANCHORARRAY(Dashboard!$B$20),Dashboard!$D$20:$D$25)</f>
        <v>1</v>
      </c>
      <c r="Q569" t="b" cm="1">
        <f t="array" ref="Q569">_xlfn.XLOOKUP(Sales_Data[[#This Row],[Lead Source]],_xlfn.ANCHORARRAY(Dashboard!$B$28),Dashboard!$D$28:$D$32)</f>
        <v>1</v>
      </c>
      <c r="R569">
        <f>Sales_Data[[#This Row],[Date inc]]*Sales_Data[[#This Row],[Team Inc]]*Sales_Data[[#This Row],[Rep Inc]]*Sales_Data[[#This Row],[Stage Inc]]*Sales_Data[[#This Row],[Source Inc]]</f>
        <v>1</v>
      </c>
    </row>
    <row r="570" spans="1:18" x14ac:dyDescent="0.3">
      <c r="A570" t="s">
        <v>577</v>
      </c>
      <c r="B570" s="2">
        <v>45521</v>
      </c>
      <c r="C570" t="s">
        <v>761</v>
      </c>
      <c r="D570" t="s">
        <v>765</v>
      </c>
      <c r="E570" t="s">
        <v>769</v>
      </c>
      <c r="F570" s="5">
        <v>21300</v>
      </c>
      <c r="G570" t="s">
        <v>781</v>
      </c>
      <c r="H570" s="2">
        <v>45582</v>
      </c>
      <c r="I570" t="s">
        <v>777</v>
      </c>
      <c r="J570" t="str">
        <f>IF(Sales_Data[[#This Row],[Close Date]] &lt;&gt; 0,"Closed", "Open")</f>
        <v>Closed</v>
      </c>
      <c r="K570">
        <f>IF(Sales_Data[[#This Row],[Open/Closed]] = "Closed",Sales_Data[[#This Row],[Close Date]]-Sales_Data[[#This Row],[Created Date]],"")</f>
        <v>61</v>
      </c>
      <c r="L570" s="2">
        <f>EOMONTH(Sales_Data[[#This Row],[Created Date]],0)</f>
        <v>45535</v>
      </c>
      <c r="M570" t="b">
        <f>AND(Sales_Data[[#This Row],[EoM Created]]&gt;=Index!$E$5,Sales_Data[[#This Row],[EoM Created]]&lt;=Index!$E$4)</f>
        <v>1</v>
      </c>
      <c r="N570" t="b" cm="1">
        <f t="array" ref="N570">_xlfn.XLOOKUP(Sales_Data[[#This Row],[Sales Team]],_xlfn.ANCHORARRAY(Dashboard!$B$9),Dashboard!$D$9:$D$10,,0)</f>
        <v>1</v>
      </c>
      <c r="O570" t="b" cm="1">
        <f t="array" ref="O570">_xlfn.XLOOKUP(Sales_Data[[#This Row],[Sales Rep]],_xlfn.ANCHORARRAY(Dashboard!$B$13),Dashboard!$D$13:$D$17,,0)</f>
        <v>1</v>
      </c>
      <c r="P570" t="b" cm="1">
        <f t="array" ref="P570">_xlfn.XLOOKUP(Sales_Data[[#This Row],[Stage]],_xlfn.ANCHORARRAY(Dashboard!$B$20),Dashboard!$D$20:$D$25)</f>
        <v>1</v>
      </c>
      <c r="Q570" t="b" cm="1">
        <f t="array" ref="Q570">_xlfn.XLOOKUP(Sales_Data[[#This Row],[Lead Source]],_xlfn.ANCHORARRAY(Dashboard!$B$28),Dashboard!$D$28:$D$32)</f>
        <v>1</v>
      </c>
      <c r="R570">
        <f>Sales_Data[[#This Row],[Date inc]]*Sales_Data[[#This Row],[Team Inc]]*Sales_Data[[#This Row],[Rep Inc]]*Sales_Data[[#This Row],[Stage Inc]]*Sales_Data[[#This Row],[Source Inc]]</f>
        <v>1</v>
      </c>
    </row>
    <row r="571" spans="1:18" x14ac:dyDescent="0.3">
      <c r="A571" t="s">
        <v>578</v>
      </c>
      <c r="B571" s="2">
        <v>45186</v>
      </c>
      <c r="C571" t="s">
        <v>761</v>
      </c>
      <c r="D571" t="s">
        <v>765</v>
      </c>
      <c r="E571" t="s">
        <v>769</v>
      </c>
      <c r="F571" s="5">
        <v>36500</v>
      </c>
      <c r="G571" t="s">
        <v>781</v>
      </c>
      <c r="H571" s="2">
        <v>45255</v>
      </c>
      <c r="I571" t="s">
        <v>778</v>
      </c>
      <c r="J571" t="str">
        <f>IF(Sales_Data[[#This Row],[Close Date]] &lt;&gt; 0,"Closed", "Open")</f>
        <v>Closed</v>
      </c>
      <c r="K571">
        <f>IF(Sales_Data[[#This Row],[Open/Closed]] = "Closed",Sales_Data[[#This Row],[Close Date]]-Sales_Data[[#This Row],[Created Date]],"")</f>
        <v>69</v>
      </c>
      <c r="L571" s="2">
        <f>EOMONTH(Sales_Data[[#This Row],[Created Date]],0)</f>
        <v>45199</v>
      </c>
      <c r="M571" t="b">
        <f>AND(Sales_Data[[#This Row],[EoM Created]]&gt;=Index!$E$5,Sales_Data[[#This Row],[EoM Created]]&lt;=Index!$E$4)</f>
        <v>1</v>
      </c>
      <c r="N571" t="b" cm="1">
        <f t="array" ref="N571">_xlfn.XLOOKUP(Sales_Data[[#This Row],[Sales Team]],_xlfn.ANCHORARRAY(Dashboard!$B$9),Dashboard!$D$9:$D$10,,0)</f>
        <v>1</v>
      </c>
      <c r="O571" t="b" cm="1">
        <f t="array" ref="O571">_xlfn.XLOOKUP(Sales_Data[[#This Row],[Sales Rep]],_xlfn.ANCHORARRAY(Dashboard!$B$13),Dashboard!$D$13:$D$17,,0)</f>
        <v>1</v>
      </c>
      <c r="P571" t="b" cm="1">
        <f t="array" ref="P571">_xlfn.XLOOKUP(Sales_Data[[#This Row],[Stage]],_xlfn.ANCHORARRAY(Dashboard!$B$20),Dashboard!$D$20:$D$25)</f>
        <v>1</v>
      </c>
      <c r="Q571" t="b" cm="1">
        <f t="array" ref="Q571">_xlfn.XLOOKUP(Sales_Data[[#This Row],[Lead Source]],_xlfn.ANCHORARRAY(Dashboard!$B$28),Dashboard!$D$28:$D$32)</f>
        <v>1</v>
      </c>
      <c r="R571">
        <f>Sales_Data[[#This Row],[Date inc]]*Sales_Data[[#This Row],[Team Inc]]*Sales_Data[[#This Row],[Rep Inc]]*Sales_Data[[#This Row],[Stage Inc]]*Sales_Data[[#This Row],[Source Inc]]</f>
        <v>1</v>
      </c>
    </row>
    <row r="572" spans="1:18" x14ac:dyDescent="0.3">
      <c r="A572" t="s">
        <v>579</v>
      </c>
      <c r="B572" s="2">
        <v>45224</v>
      </c>
      <c r="C572" t="s">
        <v>760</v>
      </c>
      <c r="D572" t="s">
        <v>764</v>
      </c>
      <c r="E572" t="s">
        <v>767</v>
      </c>
      <c r="F572" s="5">
        <v>40200</v>
      </c>
      <c r="G572" t="s">
        <v>781</v>
      </c>
      <c r="H572" s="2">
        <v>45286</v>
      </c>
      <c r="I572" t="s">
        <v>777</v>
      </c>
      <c r="J572" t="str">
        <f>IF(Sales_Data[[#This Row],[Close Date]] &lt;&gt; 0,"Closed", "Open")</f>
        <v>Closed</v>
      </c>
      <c r="K572">
        <f>IF(Sales_Data[[#This Row],[Open/Closed]] = "Closed",Sales_Data[[#This Row],[Close Date]]-Sales_Data[[#This Row],[Created Date]],"")</f>
        <v>62</v>
      </c>
      <c r="L572" s="2">
        <f>EOMONTH(Sales_Data[[#This Row],[Created Date]],0)</f>
        <v>45230</v>
      </c>
      <c r="M572" t="b">
        <f>AND(Sales_Data[[#This Row],[EoM Created]]&gt;=Index!$E$5,Sales_Data[[#This Row],[EoM Created]]&lt;=Index!$E$4)</f>
        <v>1</v>
      </c>
      <c r="N572" t="b" cm="1">
        <f t="array" ref="N572">_xlfn.XLOOKUP(Sales_Data[[#This Row],[Sales Team]],_xlfn.ANCHORARRAY(Dashboard!$B$9),Dashboard!$D$9:$D$10,,0)</f>
        <v>1</v>
      </c>
      <c r="O572" t="b" cm="1">
        <f t="array" ref="O572">_xlfn.XLOOKUP(Sales_Data[[#This Row],[Sales Rep]],_xlfn.ANCHORARRAY(Dashboard!$B$13),Dashboard!$D$13:$D$17,,0)</f>
        <v>1</v>
      </c>
      <c r="P572" t="b" cm="1">
        <f t="array" ref="P572">_xlfn.XLOOKUP(Sales_Data[[#This Row],[Stage]],_xlfn.ANCHORARRAY(Dashboard!$B$20),Dashboard!$D$20:$D$25)</f>
        <v>1</v>
      </c>
      <c r="Q572" t="b" cm="1">
        <f t="array" ref="Q572">_xlfn.XLOOKUP(Sales_Data[[#This Row],[Lead Source]],_xlfn.ANCHORARRAY(Dashboard!$B$28),Dashboard!$D$28:$D$32)</f>
        <v>1</v>
      </c>
      <c r="R572">
        <f>Sales_Data[[#This Row],[Date inc]]*Sales_Data[[#This Row],[Team Inc]]*Sales_Data[[#This Row],[Rep Inc]]*Sales_Data[[#This Row],[Stage Inc]]*Sales_Data[[#This Row],[Source Inc]]</f>
        <v>1</v>
      </c>
    </row>
    <row r="573" spans="1:18" x14ac:dyDescent="0.3">
      <c r="A573" t="s">
        <v>580</v>
      </c>
      <c r="B573" s="2">
        <v>45751</v>
      </c>
      <c r="C573" t="s">
        <v>761</v>
      </c>
      <c r="D573" t="s">
        <v>765</v>
      </c>
      <c r="E573" t="s">
        <v>768</v>
      </c>
      <c r="F573" s="5">
        <v>56800</v>
      </c>
      <c r="G573" t="s">
        <v>780</v>
      </c>
      <c r="H573" s="2">
        <v>45826</v>
      </c>
      <c r="J573" t="str">
        <f>IF(Sales_Data[[#This Row],[Close Date]] &lt;&gt; 0,"Closed", "Open")</f>
        <v>Closed</v>
      </c>
      <c r="K573">
        <f>IF(Sales_Data[[#This Row],[Open/Closed]] = "Closed",Sales_Data[[#This Row],[Close Date]]-Sales_Data[[#This Row],[Created Date]],"")</f>
        <v>75</v>
      </c>
      <c r="L573" s="2">
        <f>EOMONTH(Sales_Data[[#This Row],[Created Date]],0)</f>
        <v>45777</v>
      </c>
      <c r="M573" t="b">
        <f>AND(Sales_Data[[#This Row],[EoM Created]]&gt;=Index!$E$5,Sales_Data[[#This Row],[EoM Created]]&lt;=Index!$E$4)</f>
        <v>1</v>
      </c>
      <c r="N573" t="b" cm="1">
        <f t="array" ref="N573">_xlfn.XLOOKUP(Sales_Data[[#This Row],[Sales Team]],_xlfn.ANCHORARRAY(Dashboard!$B$9),Dashboard!$D$9:$D$10,,0)</f>
        <v>1</v>
      </c>
      <c r="O573" t="b" cm="1">
        <f t="array" ref="O573">_xlfn.XLOOKUP(Sales_Data[[#This Row],[Sales Rep]],_xlfn.ANCHORARRAY(Dashboard!$B$13),Dashboard!$D$13:$D$17,,0)</f>
        <v>1</v>
      </c>
      <c r="P573" t="b" cm="1">
        <f t="array" ref="P573">_xlfn.XLOOKUP(Sales_Data[[#This Row],[Stage]],_xlfn.ANCHORARRAY(Dashboard!$B$20),Dashboard!$D$20:$D$25)</f>
        <v>1</v>
      </c>
      <c r="Q573" t="b" cm="1">
        <f t="array" ref="Q573">_xlfn.XLOOKUP(Sales_Data[[#This Row],[Lead Source]],_xlfn.ANCHORARRAY(Dashboard!$B$28),Dashboard!$D$28:$D$32)</f>
        <v>1</v>
      </c>
      <c r="R573">
        <f>Sales_Data[[#This Row],[Date inc]]*Sales_Data[[#This Row],[Team Inc]]*Sales_Data[[#This Row],[Rep Inc]]*Sales_Data[[#This Row],[Stage Inc]]*Sales_Data[[#This Row],[Source Inc]]</f>
        <v>1</v>
      </c>
    </row>
    <row r="574" spans="1:18" x14ac:dyDescent="0.3">
      <c r="A574" t="s">
        <v>581</v>
      </c>
      <c r="B574" s="2">
        <v>45828</v>
      </c>
      <c r="C574" t="s">
        <v>759</v>
      </c>
      <c r="D574" t="s">
        <v>764</v>
      </c>
      <c r="E574" t="s">
        <v>766</v>
      </c>
      <c r="F574" s="5">
        <v>43300</v>
      </c>
      <c r="G574" t="s">
        <v>774</v>
      </c>
      <c r="H574" s="2"/>
      <c r="J574" t="str">
        <f>IF(Sales_Data[[#This Row],[Close Date]] &lt;&gt; 0,"Closed", "Open")</f>
        <v>Open</v>
      </c>
      <c r="K574" t="str">
        <f>IF(Sales_Data[[#This Row],[Open/Closed]] = "Closed",Sales_Data[[#This Row],[Close Date]]-Sales_Data[[#This Row],[Created Date]],"")</f>
        <v/>
      </c>
      <c r="L574" s="2">
        <f>EOMONTH(Sales_Data[[#This Row],[Created Date]],0)</f>
        <v>45838</v>
      </c>
      <c r="M574" t="b">
        <f>AND(Sales_Data[[#This Row],[EoM Created]]&gt;=Index!$E$5,Sales_Data[[#This Row],[EoM Created]]&lt;=Index!$E$4)</f>
        <v>1</v>
      </c>
      <c r="N574" t="b" cm="1">
        <f t="array" ref="N574">_xlfn.XLOOKUP(Sales_Data[[#This Row],[Sales Team]],_xlfn.ANCHORARRAY(Dashboard!$B$9),Dashboard!$D$9:$D$10,,0)</f>
        <v>1</v>
      </c>
      <c r="O574" t="b" cm="1">
        <f t="array" ref="O574">_xlfn.XLOOKUP(Sales_Data[[#This Row],[Sales Rep]],_xlfn.ANCHORARRAY(Dashboard!$B$13),Dashboard!$D$13:$D$17,,0)</f>
        <v>1</v>
      </c>
      <c r="P574" t="b" cm="1">
        <f t="array" ref="P574">_xlfn.XLOOKUP(Sales_Data[[#This Row],[Stage]],_xlfn.ANCHORARRAY(Dashboard!$B$20),Dashboard!$D$20:$D$25)</f>
        <v>1</v>
      </c>
      <c r="Q574" t="b" cm="1">
        <f t="array" ref="Q574">_xlfn.XLOOKUP(Sales_Data[[#This Row],[Lead Source]],_xlfn.ANCHORARRAY(Dashboard!$B$28),Dashboard!$D$28:$D$32)</f>
        <v>1</v>
      </c>
      <c r="R574">
        <f>Sales_Data[[#This Row],[Date inc]]*Sales_Data[[#This Row],[Team Inc]]*Sales_Data[[#This Row],[Rep Inc]]*Sales_Data[[#This Row],[Stage Inc]]*Sales_Data[[#This Row],[Source Inc]]</f>
        <v>1</v>
      </c>
    </row>
    <row r="575" spans="1:18" x14ac:dyDescent="0.3">
      <c r="A575" t="s">
        <v>582</v>
      </c>
      <c r="B575" s="2">
        <v>45007</v>
      </c>
      <c r="C575" t="s">
        <v>761</v>
      </c>
      <c r="D575" t="s">
        <v>765</v>
      </c>
      <c r="E575" t="s">
        <v>770</v>
      </c>
      <c r="F575" s="5">
        <v>37800</v>
      </c>
      <c r="G575" t="s">
        <v>781</v>
      </c>
      <c r="H575" s="2">
        <v>45086</v>
      </c>
      <c r="I575" t="s">
        <v>776</v>
      </c>
      <c r="J575" t="str">
        <f>IF(Sales_Data[[#This Row],[Close Date]] &lt;&gt; 0,"Closed", "Open")</f>
        <v>Closed</v>
      </c>
      <c r="K575">
        <f>IF(Sales_Data[[#This Row],[Open/Closed]] = "Closed",Sales_Data[[#This Row],[Close Date]]-Sales_Data[[#This Row],[Created Date]],"")</f>
        <v>79</v>
      </c>
      <c r="L575" s="2">
        <f>EOMONTH(Sales_Data[[#This Row],[Created Date]],0)</f>
        <v>45016</v>
      </c>
      <c r="M575" t="b">
        <f>AND(Sales_Data[[#This Row],[EoM Created]]&gt;=Index!$E$5,Sales_Data[[#This Row],[EoM Created]]&lt;=Index!$E$4)</f>
        <v>0</v>
      </c>
      <c r="N575" t="b" cm="1">
        <f t="array" ref="N575">_xlfn.XLOOKUP(Sales_Data[[#This Row],[Sales Team]],_xlfn.ANCHORARRAY(Dashboard!$B$9),Dashboard!$D$9:$D$10,,0)</f>
        <v>1</v>
      </c>
      <c r="O575" t="b" cm="1">
        <f t="array" ref="O575">_xlfn.XLOOKUP(Sales_Data[[#This Row],[Sales Rep]],_xlfn.ANCHORARRAY(Dashboard!$B$13),Dashboard!$D$13:$D$17,,0)</f>
        <v>1</v>
      </c>
      <c r="P575" t="b" cm="1">
        <f t="array" ref="P575">_xlfn.XLOOKUP(Sales_Data[[#This Row],[Stage]],_xlfn.ANCHORARRAY(Dashboard!$B$20),Dashboard!$D$20:$D$25)</f>
        <v>1</v>
      </c>
      <c r="Q575" t="b" cm="1">
        <f t="array" ref="Q575">_xlfn.XLOOKUP(Sales_Data[[#This Row],[Lead Source]],_xlfn.ANCHORARRAY(Dashboard!$B$28),Dashboard!$D$28:$D$32)</f>
        <v>1</v>
      </c>
      <c r="R575">
        <f>Sales_Data[[#This Row],[Date inc]]*Sales_Data[[#This Row],[Team Inc]]*Sales_Data[[#This Row],[Rep Inc]]*Sales_Data[[#This Row],[Stage Inc]]*Sales_Data[[#This Row],[Source Inc]]</f>
        <v>0</v>
      </c>
    </row>
    <row r="576" spans="1:18" x14ac:dyDescent="0.3">
      <c r="A576" t="s">
        <v>583</v>
      </c>
      <c r="B576" s="2">
        <v>45458</v>
      </c>
      <c r="C576" t="s">
        <v>760</v>
      </c>
      <c r="D576" t="s">
        <v>764</v>
      </c>
      <c r="E576" t="s">
        <v>766</v>
      </c>
      <c r="F576" s="5">
        <v>48300</v>
      </c>
      <c r="G576" t="s">
        <v>781</v>
      </c>
      <c r="H576" s="2">
        <v>45544</v>
      </c>
      <c r="I576" t="s">
        <v>779</v>
      </c>
      <c r="J576" t="str">
        <f>IF(Sales_Data[[#This Row],[Close Date]] &lt;&gt; 0,"Closed", "Open")</f>
        <v>Closed</v>
      </c>
      <c r="K576">
        <f>IF(Sales_Data[[#This Row],[Open/Closed]] = "Closed",Sales_Data[[#This Row],[Close Date]]-Sales_Data[[#This Row],[Created Date]],"")</f>
        <v>86</v>
      </c>
      <c r="L576" s="2">
        <f>EOMONTH(Sales_Data[[#This Row],[Created Date]],0)</f>
        <v>45473</v>
      </c>
      <c r="M576" t="b">
        <f>AND(Sales_Data[[#This Row],[EoM Created]]&gt;=Index!$E$5,Sales_Data[[#This Row],[EoM Created]]&lt;=Index!$E$4)</f>
        <v>1</v>
      </c>
      <c r="N576" t="b" cm="1">
        <f t="array" ref="N576">_xlfn.XLOOKUP(Sales_Data[[#This Row],[Sales Team]],_xlfn.ANCHORARRAY(Dashboard!$B$9),Dashboard!$D$9:$D$10,,0)</f>
        <v>1</v>
      </c>
      <c r="O576" t="b" cm="1">
        <f t="array" ref="O576">_xlfn.XLOOKUP(Sales_Data[[#This Row],[Sales Rep]],_xlfn.ANCHORARRAY(Dashboard!$B$13),Dashboard!$D$13:$D$17,,0)</f>
        <v>1</v>
      </c>
      <c r="P576" t="b" cm="1">
        <f t="array" ref="P576">_xlfn.XLOOKUP(Sales_Data[[#This Row],[Stage]],_xlfn.ANCHORARRAY(Dashboard!$B$20),Dashboard!$D$20:$D$25)</f>
        <v>1</v>
      </c>
      <c r="Q576" t="b" cm="1">
        <f t="array" ref="Q576">_xlfn.XLOOKUP(Sales_Data[[#This Row],[Lead Source]],_xlfn.ANCHORARRAY(Dashboard!$B$28),Dashboard!$D$28:$D$32)</f>
        <v>1</v>
      </c>
      <c r="R576">
        <f>Sales_Data[[#This Row],[Date inc]]*Sales_Data[[#This Row],[Team Inc]]*Sales_Data[[#This Row],[Rep Inc]]*Sales_Data[[#This Row],[Stage Inc]]*Sales_Data[[#This Row],[Source Inc]]</f>
        <v>1</v>
      </c>
    </row>
    <row r="577" spans="1:18" x14ac:dyDescent="0.3">
      <c r="A577" t="s">
        <v>584</v>
      </c>
      <c r="B577" s="2">
        <v>45691</v>
      </c>
      <c r="C577" t="s">
        <v>760</v>
      </c>
      <c r="D577" t="s">
        <v>764</v>
      </c>
      <c r="E577" t="s">
        <v>766</v>
      </c>
      <c r="F577" s="5">
        <v>17900</v>
      </c>
      <c r="G577" t="s">
        <v>781</v>
      </c>
      <c r="H577" s="2">
        <v>45758</v>
      </c>
      <c r="I577" t="s">
        <v>775</v>
      </c>
      <c r="J577" t="str">
        <f>IF(Sales_Data[[#This Row],[Close Date]] &lt;&gt; 0,"Closed", "Open")</f>
        <v>Closed</v>
      </c>
      <c r="K577">
        <f>IF(Sales_Data[[#This Row],[Open/Closed]] = "Closed",Sales_Data[[#This Row],[Close Date]]-Sales_Data[[#This Row],[Created Date]],"")</f>
        <v>67</v>
      </c>
      <c r="L577" s="2">
        <f>EOMONTH(Sales_Data[[#This Row],[Created Date]],0)</f>
        <v>45716</v>
      </c>
      <c r="M577" t="b">
        <f>AND(Sales_Data[[#This Row],[EoM Created]]&gt;=Index!$E$5,Sales_Data[[#This Row],[EoM Created]]&lt;=Index!$E$4)</f>
        <v>1</v>
      </c>
      <c r="N577" t="b" cm="1">
        <f t="array" ref="N577">_xlfn.XLOOKUP(Sales_Data[[#This Row],[Sales Team]],_xlfn.ANCHORARRAY(Dashboard!$B$9),Dashboard!$D$9:$D$10,,0)</f>
        <v>1</v>
      </c>
      <c r="O577" t="b" cm="1">
        <f t="array" ref="O577">_xlfn.XLOOKUP(Sales_Data[[#This Row],[Sales Rep]],_xlfn.ANCHORARRAY(Dashboard!$B$13),Dashboard!$D$13:$D$17,,0)</f>
        <v>1</v>
      </c>
      <c r="P577" t="b" cm="1">
        <f t="array" ref="P577">_xlfn.XLOOKUP(Sales_Data[[#This Row],[Stage]],_xlfn.ANCHORARRAY(Dashboard!$B$20),Dashboard!$D$20:$D$25)</f>
        <v>1</v>
      </c>
      <c r="Q577" t="b" cm="1">
        <f t="array" ref="Q577">_xlfn.XLOOKUP(Sales_Data[[#This Row],[Lead Source]],_xlfn.ANCHORARRAY(Dashboard!$B$28),Dashboard!$D$28:$D$32)</f>
        <v>1</v>
      </c>
      <c r="R577">
        <f>Sales_Data[[#This Row],[Date inc]]*Sales_Data[[#This Row],[Team Inc]]*Sales_Data[[#This Row],[Rep Inc]]*Sales_Data[[#This Row],[Stage Inc]]*Sales_Data[[#This Row],[Source Inc]]</f>
        <v>1</v>
      </c>
    </row>
    <row r="578" spans="1:18" x14ac:dyDescent="0.3">
      <c r="A578" t="s">
        <v>585</v>
      </c>
      <c r="B578" s="2">
        <v>45426</v>
      </c>
      <c r="C578" t="s">
        <v>763</v>
      </c>
      <c r="D578" t="s">
        <v>765</v>
      </c>
      <c r="E578" t="s">
        <v>770</v>
      </c>
      <c r="F578" s="5">
        <v>42400</v>
      </c>
      <c r="G578" t="s">
        <v>781</v>
      </c>
      <c r="H578" s="2">
        <v>45497</v>
      </c>
      <c r="I578" t="s">
        <v>776</v>
      </c>
      <c r="J578" t="str">
        <f>IF(Sales_Data[[#This Row],[Close Date]] &lt;&gt; 0,"Closed", "Open")</f>
        <v>Closed</v>
      </c>
      <c r="K578">
        <f>IF(Sales_Data[[#This Row],[Open/Closed]] = "Closed",Sales_Data[[#This Row],[Close Date]]-Sales_Data[[#This Row],[Created Date]],"")</f>
        <v>71</v>
      </c>
      <c r="L578" s="2">
        <f>EOMONTH(Sales_Data[[#This Row],[Created Date]],0)</f>
        <v>45443</v>
      </c>
      <c r="M578" t="b">
        <f>AND(Sales_Data[[#This Row],[EoM Created]]&gt;=Index!$E$5,Sales_Data[[#This Row],[EoM Created]]&lt;=Index!$E$4)</f>
        <v>1</v>
      </c>
      <c r="N578" t="b" cm="1">
        <f t="array" ref="N578">_xlfn.XLOOKUP(Sales_Data[[#This Row],[Sales Team]],_xlfn.ANCHORARRAY(Dashboard!$B$9),Dashboard!$D$9:$D$10,,0)</f>
        <v>1</v>
      </c>
      <c r="O578" t="b" cm="1">
        <f t="array" ref="O578">_xlfn.XLOOKUP(Sales_Data[[#This Row],[Sales Rep]],_xlfn.ANCHORARRAY(Dashboard!$B$13),Dashboard!$D$13:$D$17,,0)</f>
        <v>1</v>
      </c>
      <c r="P578" t="b" cm="1">
        <f t="array" ref="P578">_xlfn.XLOOKUP(Sales_Data[[#This Row],[Stage]],_xlfn.ANCHORARRAY(Dashboard!$B$20),Dashboard!$D$20:$D$25)</f>
        <v>1</v>
      </c>
      <c r="Q578" t="b" cm="1">
        <f t="array" ref="Q578">_xlfn.XLOOKUP(Sales_Data[[#This Row],[Lead Source]],_xlfn.ANCHORARRAY(Dashboard!$B$28),Dashboard!$D$28:$D$32)</f>
        <v>1</v>
      </c>
      <c r="R578">
        <f>Sales_Data[[#This Row],[Date inc]]*Sales_Data[[#This Row],[Team Inc]]*Sales_Data[[#This Row],[Rep Inc]]*Sales_Data[[#This Row],[Stage Inc]]*Sales_Data[[#This Row],[Source Inc]]</f>
        <v>1</v>
      </c>
    </row>
    <row r="579" spans="1:18" x14ac:dyDescent="0.3">
      <c r="A579" t="s">
        <v>586</v>
      </c>
      <c r="B579" s="2">
        <v>45371</v>
      </c>
      <c r="C579" t="s">
        <v>762</v>
      </c>
      <c r="D579" t="s">
        <v>764</v>
      </c>
      <c r="E579" t="s">
        <v>767</v>
      </c>
      <c r="F579" s="5">
        <v>47700</v>
      </c>
      <c r="G579" t="s">
        <v>780</v>
      </c>
      <c r="H579" s="2">
        <v>45443</v>
      </c>
      <c r="J579" t="str">
        <f>IF(Sales_Data[[#This Row],[Close Date]] &lt;&gt; 0,"Closed", "Open")</f>
        <v>Closed</v>
      </c>
      <c r="K579">
        <f>IF(Sales_Data[[#This Row],[Open/Closed]] = "Closed",Sales_Data[[#This Row],[Close Date]]-Sales_Data[[#This Row],[Created Date]],"")</f>
        <v>72</v>
      </c>
      <c r="L579" s="2">
        <f>EOMONTH(Sales_Data[[#This Row],[Created Date]],0)</f>
        <v>45382</v>
      </c>
      <c r="M579" t="b">
        <f>AND(Sales_Data[[#This Row],[EoM Created]]&gt;=Index!$E$5,Sales_Data[[#This Row],[EoM Created]]&lt;=Index!$E$4)</f>
        <v>1</v>
      </c>
      <c r="N579" t="b" cm="1">
        <f t="array" ref="N579">_xlfn.XLOOKUP(Sales_Data[[#This Row],[Sales Team]],_xlfn.ANCHORARRAY(Dashboard!$B$9),Dashboard!$D$9:$D$10,,0)</f>
        <v>1</v>
      </c>
      <c r="O579" t="b" cm="1">
        <f t="array" ref="O579">_xlfn.XLOOKUP(Sales_Data[[#This Row],[Sales Rep]],_xlfn.ANCHORARRAY(Dashboard!$B$13),Dashboard!$D$13:$D$17,,0)</f>
        <v>1</v>
      </c>
      <c r="P579" t="b" cm="1">
        <f t="array" ref="P579">_xlfn.XLOOKUP(Sales_Data[[#This Row],[Stage]],_xlfn.ANCHORARRAY(Dashboard!$B$20),Dashboard!$D$20:$D$25)</f>
        <v>1</v>
      </c>
      <c r="Q579" t="b" cm="1">
        <f t="array" ref="Q579">_xlfn.XLOOKUP(Sales_Data[[#This Row],[Lead Source]],_xlfn.ANCHORARRAY(Dashboard!$B$28),Dashboard!$D$28:$D$32)</f>
        <v>1</v>
      </c>
      <c r="R579">
        <f>Sales_Data[[#This Row],[Date inc]]*Sales_Data[[#This Row],[Team Inc]]*Sales_Data[[#This Row],[Rep Inc]]*Sales_Data[[#This Row],[Stage Inc]]*Sales_Data[[#This Row],[Source Inc]]</f>
        <v>1</v>
      </c>
    </row>
    <row r="580" spans="1:18" x14ac:dyDescent="0.3">
      <c r="A580" t="s">
        <v>587</v>
      </c>
      <c r="B580" s="2">
        <v>45239</v>
      </c>
      <c r="C580" t="s">
        <v>762</v>
      </c>
      <c r="D580" t="s">
        <v>764</v>
      </c>
      <c r="E580" t="s">
        <v>766</v>
      </c>
      <c r="F580" s="5">
        <v>25200</v>
      </c>
      <c r="G580" t="s">
        <v>781</v>
      </c>
      <c r="H580" s="2">
        <v>45308</v>
      </c>
      <c r="I580" t="s">
        <v>778</v>
      </c>
      <c r="J580" t="str">
        <f>IF(Sales_Data[[#This Row],[Close Date]] &lt;&gt; 0,"Closed", "Open")</f>
        <v>Closed</v>
      </c>
      <c r="K580">
        <f>IF(Sales_Data[[#This Row],[Open/Closed]] = "Closed",Sales_Data[[#This Row],[Close Date]]-Sales_Data[[#This Row],[Created Date]],"")</f>
        <v>69</v>
      </c>
      <c r="L580" s="2">
        <f>EOMONTH(Sales_Data[[#This Row],[Created Date]],0)</f>
        <v>45260</v>
      </c>
      <c r="M580" t="b">
        <f>AND(Sales_Data[[#This Row],[EoM Created]]&gt;=Index!$E$5,Sales_Data[[#This Row],[EoM Created]]&lt;=Index!$E$4)</f>
        <v>1</v>
      </c>
      <c r="N580" t="b" cm="1">
        <f t="array" ref="N580">_xlfn.XLOOKUP(Sales_Data[[#This Row],[Sales Team]],_xlfn.ANCHORARRAY(Dashboard!$B$9),Dashboard!$D$9:$D$10,,0)</f>
        <v>1</v>
      </c>
      <c r="O580" t="b" cm="1">
        <f t="array" ref="O580">_xlfn.XLOOKUP(Sales_Data[[#This Row],[Sales Rep]],_xlfn.ANCHORARRAY(Dashboard!$B$13),Dashboard!$D$13:$D$17,,0)</f>
        <v>1</v>
      </c>
      <c r="P580" t="b" cm="1">
        <f t="array" ref="P580">_xlfn.XLOOKUP(Sales_Data[[#This Row],[Stage]],_xlfn.ANCHORARRAY(Dashboard!$B$20),Dashboard!$D$20:$D$25)</f>
        <v>1</v>
      </c>
      <c r="Q580" t="b" cm="1">
        <f t="array" ref="Q580">_xlfn.XLOOKUP(Sales_Data[[#This Row],[Lead Source]],_xlfn.ANCHORARRAY(Dashboard!$B$28),Dashboard!$D$28:$D$32)</f>
        <v>1</v>
      </c>
      <c r="R580">
        <f>Sales_Data[[#This Row],[Date inc]]*Sales_Data[[#This Row],[Team Inc]]*Sales_Data[[#This Row],[Rep Inc]]*Sales_Data[[#This Row],[Stage Inc]]*Sales_Data[[#This Row],[Source Inc]]</f>
        <v>1</v>
      </c>
    </row>
    <row r="581" spans="1:18" x14ac:dyDescent="0.3">
      <c r="A581" t="s">
        <v>588</v>
      </c>
      <c r="B581" s="2">
        <v>45325</v>
      </c>
      <c r="C581" t="s">
        <v>760</v>
      </c>
      <c r="D581" t="s">
        <v>764</v>
      </c>
      <c r="E581" t="s">
        <v>766</v>
      </c>
      <c r="F581" s="5">
        <v>51400</v>
      </c>
      <c r="G581" t="s">
        <v>780</v>
      </c>
      <c r="H581" s="2">
        <v>45412</v>
      </c>
      <c r="J581" t="str">
        <f>IF(Sales_Data[[#This Row],[Close Date]] &lt;&gt; 0,"Closed", "Open")</f>
        <v>Closed</v>
      </c>
      <c r="K581">
        <f>IF(Sales_Data[[#This Row],[Open/Closed]] = "Closed",Sales_Data[[#This Row],[Close Date]]-Sales_Data[[#This Row],[Created Date]],"")</f>
        <v>87</v>
      </c>
      <c r="L581" s="2">
        <f>EOMONTH(Sales_Data[[#This Row],[Created Date]],0)</f>
        <v>45351</v>
      </c>
      <c r="M581" t="b">
        <f>AND(Sales_Data[[#This Row],[EoM Created]]&gt;=Index!$E$5,Sales_Data[[#This Row],[EoM Created]]&lt;=Index!$E$4)</f>
        <v>1</v>
      </c>
      <c r="N581" t="b" cm="1">
        <f t="array" ref="N581">_xlfn.XLOOKUP(Sales_Data[[#This Row],[Sales Team]],_xlfn.ANCHORARRAY(Dashboard!$B$9),Dashboard!$D$9:$D$10,,0)</f>
        <v>1</v>
      </c>
      <c r="O581" t="b" cm="1">
        <f t="array" ref="O581">_xlfn.XLOOKUP(Sales_Data[[#This Row],[Sales Rep]],_xlfn.ANCHORARRAY(Dashboard!$B$13),Dashboard!$D$13:$D$17,,0)</f>
        <v>1</v>
      </c>
      <c r="P581" t="b" cm="1">
        <f t="array" ref="P581">_xlfn.XLOOKUP(Sales_Data[[#This Row],[Stage]],_xlfn.ANCHORARRAY(Dashboard!$B$20),Dashboard!$D$20:$D$25)</f>
        <v>1</v>
      </c>
      <c r="Q581" t="b" cm="1">
        <f t="array" ref="Q581">_xlfn.XLOOKUP(Sales_Data[[#This Row],[Lead Source]],_xlfn.ANCHORARRAY(Dashboard!$B$28),Dashboard!$D$28:$D$32)</f>
        <v>1</v>
      </c>
      <c r="R581">
        <f>Sales_Data[[#This Row],[Date inc]]*Sales_Data[[#This Row],[Team Inc]]*Sales_Data[[#This Row],[Rep Inc]]*Sales_Data[[#This Row],[Stage Inc]]*Sales_Data[[#This Row],[Source Inc]]</f>
        <v>1</v>
      </c>
    </row>
    <row r="582" spans="1:18" x14ac:dyDescent="0.3">
      <c r="A582" t="s">
        <v>589</v>
      </c>
      <c r="B582" s="2">
        <v>45364</v>
      </c>
      <c r="C582" t="s">
        <v>761</v>
      </c>
      <c r="D582" t="s">
        <v>765</v>
      </c>
      <c r="E582" t="s">
        <v>768</v>
      </c>
      <c r="F582" s="5">
        <v>43400</v>
      </c>
      <c r="G582" t="s">
        <v>781</v>
      </c>
      <c r="H582" s="2">
        <v>45454</v>
      </c>
      <c r="I582" t="s">
        <v>777</v>
      </c>
      <c r="J582" t="str">
        <f>IF(Sales_Data[[#This Row],[Close Date]] &lt;&gt; 0,"Closed", "Open")</f>
        <v>Closed</v>
      </c>
      <c r="K582">
        <f>IF(Sales_Data[[#This Row],[Open/Closed]] = "Closed",Sales_Data[[#This Row],[Close Date]]-Sales_Data[[#This Row],[Created Date]],"")</f>
        <v>90</v>
      </c>
      <c r="L582" s="2">
        <f>EOMONTH(Sales_Data[[#This Row],[Created Date]],0)</f>
        <v>45382</v>
      </c>
      <c r="M582" t="b">
        <f>AND(Sales_Data[[#This Row],[EoM Created]]&gt;=Index!$E$5,Sales_Data[[#This Row],[EoM Created]]&lt;=Index!$E$4)</f>
        <v>1</v>
      </c>
      <c r="N582" t="b" cm="1">
        <f t="array" ref="N582">_xlfn.XLOOKUP(Sales_Data[[#This Row],[Sales Team]],_xlfn.ANCHORARRAY(Dashboard!$B$9),Dashboard!$D$9:$D$10,,0)</f>
        <v>1</v>
      </c>
      <c r="O582" t="b" cm="1">
        <f t="array" ref="O582">_xlfn.XLOOKUP(Sales_Data[[#This Row],[Sales Rep]],_xlfn.ANCHORARRAY(Dashboard!$B$13),Dashboard!$D$13:$D$17,,0)</f>
        <v>1</v>
      </c>
      <c r="P582" t="b" cm="1">
        <f t="array" ref="P582">_xlfn.XLOOKUP(Sales_Data[[#This Row],[Stage]],_xlfn.ANCHORARRAY(Dashboard!$B$20),Dashboard!$D$20:$D$25)</f>
        <v>1</v>
      </c>
      <c r="Q582" t="b" cm="1">
        <f t="array" ref="Q582">_xlfn.XLOOKUP(Sales_Data[[#This Row],[Lead Source]],_xlfn.ANCHORARRAY(Dashboard!$B$28),Dashboard!$D$28:$D$32)</f>
        <v>1</v>
      </c>
      <c r="R582">
        <f>Sales_Data[[#This Row],[Date inc]]*Sales_Data[[#This Row],[Team Inc]]*Sales_Data[[#This Row],[Rep Inc]]*Sales_Data[[#This Row],[Stage Inc]]*Sales_Data[[#This Row],[Source Inc]]</f>
        <v>1</v>
      </c>
    </row>
    <row r="583" spans="1:18" x14ac:dyDescent="0.3">
      <c r="A583" t="s">
        <v>590</v>
      </c>
      <c r="B583" s="2">
        <v>45564</v>
      </c>
      <c r="C583" t="s">
        <v>759</v>
      </c>
      <c r="D583" t="s">
        <v>764</v>
      </c>
      <c r="E583" t="s">
        <v>767</v>
      </c>
      <c r="F583" s="5">
        <v>35800</v>
      </c>
      <c r="G583" t="s">
        <v>781</v>
      </c>
      <c r="H583" s="2">
        <v>45643</v>
      </c>
      <c r="I583" t="s">
        <v>776</v>
      </c>
      <c r="J583" t="str">
        <f>IF(Sales_Data[[#This Row],[Close Date]] &lt;&gt; 0,"Closed", "Open")</f>
        <v>Closed</v>
      </c>
      <c r="K583">
        <f>IF(Sales_Data[[#This Row],[Open/Closed]] = "Closed",Sales_Data[[#This Row],[Close Date]]-Sales_Data[[#This Row],[Created Date]],"")</f>
        <v>79</v>
      </c>
      <c r="L583" s="2">
        <f>EOMONTH(Sales_Data[[#This Row],[Created Date]],0)</f>
        <v>45565</v>
      </c>
      <c r="M583" t="b">
        <f>AND(Sales_Data[[#This Row],[EoM Created]]&gt;=Index!$E$5,Sales_Data[[#This Row],[EoM Created]]&lt;=Index!$E$4)</f>
        <v>1</v>
      </c>
      <c r="N583" t="b" cm="1">
        <f t="array" ref="N583">_xlfn.XLOOKUP(Sales_Data[[#This Row],[Sales Team]],_xlfn.ANCHORARRAY(Dashboard!$B$9),Dashboard!$D$9:$D$10,,0)</f>
        <v>1</v>
      </c>
      <c r="O583" t="b" cm="1">
        <f t="array" ref="O583">_xlfn.XLOOKUP(Sales_Data[[#This Row],[Sales Rep]],_xlfn.ANCHORARRAY(Dashboard!$B$13),Dashboard!$D$13:$D$17,,0)</f>
        <v>1</v>
      </c>
      <c r="P583" t="b" cm="1">
        <f t="array" ref="P583">_xlfn.XLOOKUP(Sales_Data[[#This Row],[Stage]],_xlfn.ANCHORARRAY(Dashboard!$B$20),Dashboard!$D$20:$D$25)</f>
        <v>1</v>
      </c>
      <c r="Q583" t="b" cm="1">
        <f t="array" ref="Q583">_xlfn.XLOOKUP(Sales_Data[[#This Row],[Lead Source]],_xlfn.ANCHORARRAY(Dashboard!$B$28),Dashboard!$D$28:$D$32)</f>
        <v>1</v>
      </c>
      <c r="R583">
        <f>Sales_Data[[#This Row],[Date inc]]*Sales_Data[[#This Row],[Team Inc]]*Sales_Data[[#This Row],[Rep Inc]]*Sales_Data[[#This Row],[Stage Inc]]*Sales_Data[[#This Row],[Source Inc]]</f>
        <v>1</v>
      </c>
    </row>
    <row r="584" spans="1:18" x14ac:dyDescent="0.3">
      <c r="A584" t="s">
        <v>591</v>
      </c>
      <c r="B584" s="2">
        <v>44930</v>
      </c>
      <c r="C584" t="s">
        <v>762</v>
      </c>
      <c r="D584" t="s">
        <v>764</v>
      </c>
      <c r="E584" t="s">
        <v>767</v>
      </c>
      <c r="F584" s="5">
        <v>46300</v>
      </c>
      <c r="G584" t="s">
        <v>781</v>
      </c>
      <c r="H584" s="2">
        <v>44997</v>
      </c>
      <c r="I584" t="s">
        <v>776</v>
      </c>
      <c r="J584" t="str">
        <f>IF(Sales_Data[[#This Row],[Close Date]] &lt;&gt; 0,"Closed", "Open")</f>
        <v>Closed</v>
      </c>
      <c r="K584">
        <f>IF(Sales_Data[[#This Row],[Open/Closed]] = "Closed",Sales_Data[[#This Row],[Close Date]]-Sales_Data[[#This Row],[Created Date]],"")</f>
        <v>67</v>
      </c>
      <c r="L584" s="2">
        <f>EOMONTH(Sales_Data[[#This Row],[Created Date]],0)</f>
        <v>44957</v>
      </c>
      <c r="M584" t="b">
        <f>AND(Sales_Data[[#This Row],[EoM Created]]&gt;=Index!$E$5,Sales_Data[[#This Row],[EoM Created]]&lt;=Index!$E$4)</f>
        <v>0</v>
      </c>
      <c r="N584" t="b" cm="1">
        <f t="array" ref="N584">_xlfn.XLOOKUP(Sales_Data[[#This Row],[Sales Team]],_xlfn.ANCHORARRAY(Dashboard!$B$9),Dashboard!$D$9:$D$10,,0)</f>
        <v>1</v>
      </c>
      <c r="O584" t="b" cm="1">
        <f t="array" ref="O584">_xlfn.XLOOKUP(Sales_Data[[#This Row],[Sales Rep]],_xlfn.ANCHORARRAY(Dashboard!$B$13),Dashboard!$D$13:$D$17,,0)</f>
        <v>1</v>
      </c>
      <c r="P584" t="b" cm="1">
        <f t="array" ref="P584">_xlfn.XLOOKUP(Sales_Data[[#This Row],[Stage]],_xlfn.ANCHORARRAY(Dashboard!$B$20),Dashboard!$D$20:$D$25)</f>
        <v>1</v>
      </c>
      <c r="Q584" t="b" cm="1">
        <f t="array" ref="Q584">_xlfn.XLOOKUP(Sales_Data[[#This Row],[Lead Source]],_xlfn.ANCHORARRAY(Dashboard!$B$28),Dashboard!$D$28:$D$32)</f>
        <v>1</v>
      </c>
      <c r="R584">
        <f>Sales_Data[[#This Row],[Date inc]]*Sales_Data[[#This Row],[Team Inc]]*Sales_Data[[#This Row],[Rep Inc]]*Sales_Data[[#This Row],[Stage Inc]]*Sales_Data[[#This Row],[Source Inc]]</f>
        <v>0</v>
      </c>
    </row>
    <row r="585" spans="1:18" x14ac:dyDescent="0.3">
      <c r="A585" t="s">
        <v>592</v>
      </c>
      <c r="B585" s="2">
        <v>45750</v>
      </c>
      <c r="C585" t="s">
        <v>763</v>
      </c>
      <c r="D585" t="s">
        <v>765</v>
      </c>
      <c r="E585" t="s">
        <v>769</v>
      </c>
      <c r="F585" s="5">
        <v>62700</v>
      </c>
      <c r="G585" t="s">
        <v>781</v>
      </c>
      <c r="H585" s="2">
        <v>45830</v>
      </c>
      <c r="I585" t="s">
        <v>778</v>
      </c>
      <c r="J585" t="str">
        <f>IF(Sales_Data[[#This Row],[Close Date]] &lt;&gt; 0,"Closed", "Open")</f>
        <v>Closed</v>
      </c>
      <c r="K585">
        <f>IF(Sales_Data[[#This Row],[Open/Closed]] = "Closed",Sales_Data[[#This Row],[Close Date]]-Sales_Data[[#This Row],[Created Date]],"")</f>
        <v>80</v>
      </c>
      <c r="L585" s="2">
        <f>EOMONTH(Sales_Data[[#This Row],[Created Date]],0)</f>
        <v>45777</v>
      </c>
      <c r="M585" t="b">
        <f>AND(Sales_Data[[#This Row],[EoM Created]]&gt;=Index!$E$5,Sales_Data[[#This Row],[EoM Created]]&lt;=Index!$E$4)</f>
        <v>1</v>
      </c>
      <c r="N585" t="b" cm="1">
        <f t="array" ref="N585">_xlfn.XLOOKUP(Sales_Data[[#This Row],[Sales Team]],_xlfn.ANCHORARRAY(Dashboard!$B$9),Dashboard!$D$9:$D$10,,0)</f>
        <v>1</v>
      </c>
      <c r="O585" t="b" cm="1">
        <f t="array" ref="O585">_xlfn.XLOOKUP(Sales_Data[[#This Row],[Sales Rep]],_xlfn.ANCHORARRAY(Dashboard!$B$13),Dashboard!$D$13:$D$17,,0)</f>
        <v>1</v>
      </c>
      <c r="P585" t="b" cm="1">
        <f t="array" ref="P585">_xlfn.XLOOKUP(Sales_Data[[#This Row],[Stage]],_xlfn.ANCHORARRAY(Dashboard!$B$20),Dashboard!$D$20:$D$25)</f>
        <v>1</v>
      </c>
      <c r="Q585" t="b" cm="1">
        <f t="array" ref="Q585">_xlfn.XLOOKUP(Sales_Data[[#This Row],[Lead Source]],_xlfn.ANCHORARRAY(Dashboard!$B$28),Dashboard!$D$28:$D$32)</f>
        <v>1</v>
      </c>
      <c r="R585">
        <f>Sales_Data[[#This Row],[Date inc]]*Sales_Data[[#This Row],[Team Inc]]*Sales_Data[[#This Row],[Rep Inc]]*Sales_Data[[#This Row],[Stage Inc]]*Sales_Data[[#This Row],[Source Inc]]</f>
        <v>1</v>
      </c>
    </row>
    <row r="586" spans="1:18" x14ac:dyDescent="0.3">
      <c r="A586" t="s">
        <v>593</v>
      </c>
      <c r="B586" s="2">
        <v>45743</v>
      </c>
      <c r="C586" t="s">
        <v>761</v>
      </c>
      <c r="D586" t="s">
        <v>765</v>
      </c>
      <c r="E586" t="s">
        <v>770</v>
      </c>
      <c r="F586" s="5">
        <v>41800</v>
      </c>
      <c r="G586" t="s">
        <v>781</v>
      </c>
      <c r="H586" s="2">
        <v>45817</v>
      </c>
      <c r="I586" t="s">
        <v>779</v>
      </c>
      <c r="J586" t="str">
        <f>IF(Sales_Data[[#This Row],[Close Date]] &lt;&gt; 0,"Closed", "Open")</f>
        <v>Closed</v>
      </c>
      <c r="K586">
        <f>IF(Sales_Data[[#This Row],[Open/Closed]] = "Closed",Sales_Data[[#This Row],[Close Date]]-Sales_Data[[#This Row],[Created Date]],"")</f>
        <v>74</v>
      </c>
      <c r="L586" s="2">
        <f>EOMONTH(Sales_Data[[#This Row],[Created Date]],0)</f>
        <v>45747</v>
      </c>
      <c r="M586" t="b">
        <f>AND(Sales_Data[[#This Row],[EoM Created]]&gt;=Index!$E$5,Sales_Data[[#This Row],[EoM Created]]&lt;=Index!$E$4)</f>
        <v>1</v>
      </c>
      <c r="N586" t="b" cm="1">
        <f t="array" ref="N586">_xlfn.XLOOKUP(Sales_Data[[#This Row],[Sales Team]],_xlfn.ANCHORARRAY(Dashboard!$B$9),Dashboard!$D$9:$D$10,,0)</f>
        <v>1</v>
      </c>
      <c r="O586" t="b" cm="1">
        <f t="array" ref="O586">_xlfn.XLOOKUP(Sales_Data[[#This Row],[Sales Rep]],_xlfn.ANCHORARRAY(Dashboard!$B$13),Dashboard!$D$13:$D$17,,0)</f>
        <v>1</v>
      </c>
      <c r="P586" t="b" cm="1">
        <f t="array" ref="P586">_xlfn.XLOOKUP(Sales_Data[[#This Row],[Stage]],_xlfn.ANCHORARRAY(Dashboard!$B$20),Dashboard!$D$20:$D$25)</f>
        <v>1</v>
      </c>
      <c r="Q586" t="b" cm="1">
        <f t="array" ref="Q586">_xlfn.XLOOKUP(Sales_Data[[#This Row],[Lead Source]],_xlfn.ANCHORARRAY(Dashboard!$B$28),Dashboard!$D$28:$D$32)</f>
        <v>1</v>
      </c>
      <c r="R586">
        <f>Sales_Data[[#This Row],[Date inc]]*Sales_Data[[#This Row],[Team Inc]]*Sales_Data[[#This Row],[Rep Inc]]*Sales_Data[[#This Row],[Stage Inc]]*Sales_Data[[#This Row],[Source Inc]]</f>
        <v>1</v>
      </c>
    </row>
    <row r="587" spans="1:18" x14ac:dyDescent="0.3">
      <c r="A587" t="s">
        <v>594</v>
      </c>
      <c r="B587" s="2">
        <v>45051</v>
      </c>
      <c r="C587" t="s">
        <v>759</v>
      </c>
      <c r="D587" t="s">
        <v>764</v>
      </c>
      <c r="E587" t="s">
        <v>767</v>
      </c>
      <c r="F587" s="5">
        <v>42500</v>
      </c>
      <c r="G587" t="s">
        <v>781</v>
      </c>
      <c r="H587" s="2">
        <v>45141</v>
      </c>
      <c r="I587" t="s">
        <v>777</v>
      </c>
      <c r="J587" t="str">
        <f>IF(Sales_Data[[#This Row],[Close Date]] &lt;&gt; 0,"Closed", "Open")</f>
        <v>Closed</v>
      </c>
      <c r="K587">
        <f>IF(Sales_Data[[#This Row],[Open/Closed]] = "Closed",Sales_Data[[#This Row],[Close Date]]-Sales_Data[[#This Row],[Created Date]],"")</f>
        <v>90</v>
      </c>
      <c r="L587" s="2">
        <f>EOMONTH(Sales_Data[[#This Row],[Created Date]],0)</f>
        <v>45077</v>
      </c>
      <c r="M587" t="b">
        <f>AND(Sales_Data[[#This Row],[EoM Created]]&gt;=Index!$E$5,Sales_Data[[#This Row],[EoM Created]]&lt;=Index!$E$4)</f>
        <v>0</v>
      </c>
      <c r="N587" t="b" cm="1">
        <f t="array" ref="N587">_xlfn.XLOOKUP(Sales_Data[[#This Row],[Sales Team]],_xlfn.ANCHORARRAY(Dashboard!$B$9),Dashboard!$D$9:$D$10,,0)</f>
        <v>1</v>
      </c>
      <c r="O587" t="b" cm="1">
        <f t="array" ref="O587">_xlfn.XLOOKUP(Sales_Data[[#This Row],[Sales Rep]],_xlfn.ANCHORARRAY(Dashboard!$B$13),Dashboard!$D$13:$D$17,,0)</f>
        <v>1</v>
      </c>
      <c r="P587" t="b" cm="1">
        <f t="array" ref="P587">_xlfn.XLOOKUP(Sales_Data[[#This Row],[Stage]],_xlfn.ANCHORARRAY(Dashboard!$B$20),Dashboard!$D$20:$D$25)</f>
        <v>1</v>
      </c>
      <c r="Q587" t="b" cm="1">
        <f t="array" ref="Q587">_xlfn.XLOOKUP(Sales_Data[[#This Row],[Lead Source]],_xlfn.ANCHORARRAY(Dashboard!$B$28),Dashboard!$D$28:$D$32)</f>
        <v>1</v>
      </c>
      <c r="R587">
        <f>Sales_Data[[#This Row],[Date inc]]*Sales_Data[[#This Row],[Team Inc]]*Sales_Data[[#This Row],[Rep Inc]]*Sales_Data[[#This Row],[Stage Inc]]*Sales_Data[[#This Row],[Source Inc]]</f>
        <v>0</v>
      </c>
    </row>
    <row r="588" spans="1:18" x14ac:dyDescent="0.3">
      <c r="A588" t="s">
        <v>595</v>
      </c>
      <c r="B588" s="2">
        <v>45837</v>
      </c>
      <c r="C588" t="s">
        <v>759</v>
      </c>
      <c r="D588" t="s">
        <v>764</v>
      </c>
      <c r="E588" t="s">
        <v>766</v>
      </c>
      <c r="F588" s="5">
        <v>35400</v>
      </c>
      <c r="G588" t="s">
        <v>781</v>
      </c>
      <c r="H588" s="2">
        <v>45906</v>
      </c>
      <c r="I588" t="s">
        <v>776</v>
      </c>
      <c r="J588" t="str">
        <f>IF(Sales_Data[[#This Row],[Close Date]] &lt;&gt; 0,"Closed", "Open")</f>
        <v>Closed</v>
      </c>
      <c r="K588">
        <f>IF(Sales_Data[[#This Row],[Open/Closed]] = "Closed",Sales_Data[[#This Row],[Close Date]]-Sales_Data[[#This Row],[Created Date]],"")</f>
        <v>69</v>
      </c>
      <c r="L588" s="2">
        <f>EOMONTH(Sales_Data[[#This Row],[Created Date]],0)</f>
        <v>45838</v>
      </c>
      <c r="M588" t="b">
        <f>AND(Sales_Data[[#This Row],[EoM Created]]&gt;=Index!$E$5,Sales_Data[[#This Row],[EoM Created]]&lt;=Index!$E$4)</f>
        <v>1</v>
      </c>
      <c r="N588" t="b" cm="1">
        <f t="array" ref="N588">_xlfn.XLOOKUP(Sales_Data[[#This Row],[Sales Team]],_xlfn.ANCHORARRAY(Dashboard!$B$9),Dashboard!$D$9:$D$10,,0)</f>
        <v>1</v>
      </c>
      <c r="O588" t="b" cm="1">
        <f t="array" ref="O588">_xlfn.XLOOKUP(Sales_Data[[#This Row],[Sales Rep]],_xlfn.ANCHORARRAY(Dashboard!$B$13),Dashboard!$D$13:$D$17,,0)</f>
        <v>1</v>
      </c>
      <c r="P588" t="b" cm="1">
        <f t="array" ref="P588">_xlfn.XLOOKUP(Sales_Data[[#This Row],[Stage]],_xlfn.ANCHORARRAY(Dashboard!$B$20),Dashboard!$D$20:$D$25)</f>
        <v>1</v>
      </c>
      <c r="Q588" t="b" cm="1">
        <f t="array" ref="Q588">_xlfn.XLOOKUP(Sales_Data[[#This Row],[Lead Source]],_xlfn.ANCHORARRAY(Dashboard!$B$28),Dashboard!$D$28:$D$32)</f>
        <v>1</v>
      </c>
      <c r="R588">
        <f>Sales_Data[[#This Row],[Date inc]]*Sales_Data[[#This Row],[Team Inc]]*Sales_Data[[#This Row],[Rep Inc]]*Sales_Data[[#This Row],[Stage Inc]]*Sales_Data[[#This Row],[Source Inc]]</f>
        <v>1</v>
      </c>
    </row>
    <row r="589" spans="1:18" x14ac:dyDescent="0.3">
      <c r="A589" t="s">
        <v>596</v>
      </c>
      <c r="B589" s="2">
        <v>45761</v>
      </c>
      <c r="C589" t="s">
        <v>763</v>
      </c>
      <c r="D589" t="s">
        <v>765</v>
      </c>
      <c r="E589" t="s">
        <v>769</v>
      </c>
      <c r="F589" s="5">
        <v>31500</v>
      </c>
      <c r="G589" t="s">
        <v>772</v>
      </c>
      <c r="H589" s="2"/>
      <c r="J589" t="str">
        <f>IF(Sales_Data[[#This Row],[Close Date]] &lt;&gt; 0,"Closed", "Open")</f>
        <v>Open</v>
      </c>
      <c r="K589" t="str">
        <f>IF(Sales_Data[[#This Row],[Open/Closed]] = "Closed",Sales_Data[[#This Row],[Close Date]]-Sales_Data[[#This Row],[Created Date]],"")</f>
        <v/>
      </c>
      <c r="L589" s="2">
        <f>EOMONTH(Sales_Data[[#This Row],[Created Date]],0)</f>
        <v>45777</v>
      </c>
      <c r="M589" t="b">
        <f>AND(Sales_Data[[#This Row],[EoM Created]]&gt;=Index!$E$5,Sales_Data[[#This Row],[EoM Created]]&lt;=Index!$E$4)</f>
        <v>1</v>
      </c>
      <c r="N589" t="b" cm="1">
        <f t="array" ref="N589">_xlfn.XLOOKUP(Sales_Data[[#This Row],[Sales Team]],_xlfn.ANCHORARRAY(Dashboard!$B$9),Dashboard!$D$9:$D$10,,0)</f>
        <v>1</v>
      </c>
      <c r="O589" t="b" cm="1">
        <f t="array" ref="O589">_xlfn.XLOOKUP(Sales_Data[[#This Row],[Sales Rep]],_xlfn.ANCHORARRAY(Dashboard!$B$13),Dashboard!$D$13:$D$17,,0)</f>
        <v>1</v>
      </c>
      <c r="P589" t="b" cm="1">
        <f t="array" ref="P589">_xlfn.XLOOKUP(Sales_Data[[#This Row],[Stage]],_xlfn.ANCHORARRAY(Dashboard!$B$20),Dashboard!$D$20:$D$25)</f>
        <v>1</v>
      </c>
      <c r="Q589" t="b" cm="1">
        <f t="array" ref="Q589">_xlfn.XLOOKUP(Sales_Data[[#This Row],[Lead Source]],_xlfn.ANCHORARRAY(Dashboard!$B$28),Dashboard!$D$28:$D$32)</f>
        <v>1</v>
      </c>
      <c r="R589">
        <f>Sales_Data[[#This Row],[Date inc]]*Sales_Data[[#This Row],[Team Inc]]*Sales_Data[[#This Row],[Rep Inc]]*Sales_Data[[#This Row],[Stage Inc]]*Sales_Data[[#This Row],[Source Inc]]</f>
        <v>1</v>
      </c>
    </row>
    <row r="590" spans="1:18" x14ac:dyDescent="0.3">
      <c r="A590" t="s">
        <v>597</v>
      </c>
      <c r="B590" s="2">
        <v>45577</v>
      </c>
      <c r="C590" t="s">
        <v>762</v>
      </c>
      <c r="D590" t="s">
        <v>764</v>
      </c>
      <c r="E590" t="s">
        <v>767</v>
      </c>
      <c r="F590" s="5">
        <v>48300</v>
      </c>
      <c r="G590" t="s">
        <v>780</v>
      </c>
      <c r="H590" s="2">
        <v>45643</v>
      </c>
      <c r="J590" t="str">
        <f>IF(Sales_Data[[#This Row],[Close Date]] &lt;&gt; 0,"Closed", "Open")</f>
        <v>Closed</v>
      </c>
      <c r="K590">
        <f>IF(Sales_Data[[#This Row],[Open/Closed]] = "Closed",Sales_Data[[#This Row],[Close Date]]-Sales_Data[[#This Row],[Created Date]],"")</f>
        <v>66</v>
      </c>
      <c r="L590" s="2">
        <f>EOMONTH(Sales_Data[[#This Row],[Created Date]],0)</f>
        <v>45596</v>
      </c>
      <c r="M590" t="b">
        <f>AND(Sales_Data[[#This Row],[EoM Created]]&gt;=Index!$E$5,Sales_Data[[#This Row],[EoM Created]]&lt;=Index!$E$4)</f>
        <v>1</v>
      </c>
      <c r="N590" t="b" cm="1">
        <f t="array" ref="N590">_xlfn.XLOOKUP(Sales_Data[[#This Row],[Sales Team]],_xlfn.ANCHORARRAY(Dashboard!$B$9),Dashboard!$D$9:$D$10,,0)</f>
        <v>1</v>
      </c>
      <c r="O590" t="b" cm="1">
        <f t="array" ref="O590">_xlfn.XLOOKUP(Sales_Data[[#This Row],[Sales Rep]],_xlfn.ANCHORARRAY(Dashboard!$B$13),Dashboard!$D$13:$D$17,,0)</f>
        <v>1</v>
      </c>
      <c r="P590" t="b" cm="1">
        <f t="array" ref="P590">_xlfn.XLOOKUP(Sales_Data[[#This Row],[Stage]],_xlfn.ANCHORARRAY(Dashboard!$B$20),Dashboard!$D$20:$D$25)</f>
        <v>1</v>
      </c>
      <c r="Q590" t="b" cm="1">
        <f t="array" ref="Q590">_xlfn.XLOOKUP(Sales_Data[[#This Row],[Lead Source]],_xlfn.ANCHORARRAY(Dashboard!$B$28),Dashboard!$D$28:$D$32)</f>
        <v>1</v>
      </c>
      <c r="R590">
        <f>Sales_Data[[#This Row],[Date inc]]*Sales_Data[[#This Row],[Team Inc]]*Sales_Data[[#This Row],[Rep Inc]]*Sales_Data[[#This Row],[Stage Inc]]*Sales_Data[[#This Row],[Source Inc]]</f>
        <v>1</v>
      </c>
    </row>
    <row r="591" spans="1:18" x14ac:dyDescent="0.3">
      <c r="A591" t="s">
        <v>598</v>
      </c>
      <c r="B591" s="2">
        <v>45285</v>
      </c>
      <c r="C591" t="s">
        <v>759</v>
      </c>
      <c r="D591" t="s">
        <v>764</v>
      </c>
      <c r="E591" t="s">
        <v>767</v>
      </c>
      <c r="F591" s="5">
        <v>31400</v>
      </c>
      <c r="G591" t="s">
        <v>780</v>
      </c>
      <c r="H591" s="2">
        <v>45345</v>
      </c>
      <c r="J591" t="str">
        <f>IF(Sales_Data[[#This Row],[Close Date]] &lt;&gt; 0,"Closed", "Open")</f>
        <v>Closed</v>
      </c>
      <c r="K591">
        <f>IF(Sales_Data[[#This Row],[Open/Closed]] = "Closed",Sales_Data[[#This Row],[Close Date]]-Sales_Data[[#This Row],[Created Date]],"")</f>
        <v>60</v>
      </c>
      <c r="L591" s="2">
        <f>EOMONTH(Sales_Data[[#This Row],[Created Date]],0)</f>
        <v>45291</v>
      </c>
      <c r="M591" t="b">
        <f>AND(Sales_Data[[#This Row],[EoM Created]]&gt;=Index!$E$5,Sales_Data[[#This Row],[EoM Created]]&lt;=Index!$E$4)</f>
        <v>1</v>
      </c>
      <c r="N591" t="b" cm="1">
        <f t="array" ref="N591">_xlfn.XLOOKUP(Sales_Data[[#This Row],[Sales Team]],_xlfn.ANCHORARRAY(Dashboard!$B$9),Dashboard!$D$9:$D$10,,0)</f>
        <v>1</v>
      </c>
      <c r="O591" t="b" cm="1">
        <f t="array" ref="O591">_xlfn.XLOOKUP(Sales_Data[[#This Row],[Sales Rep]],_xlfn.ANCHORARRAY(Dashboard!$B$13),Dashboard!$D$13:$D$17,,0)</f>
        <v>1</v>
      </c>
      <c r="P591" t="b" cm="1">
        <f t="array" ref="P591">_xlfn.XLOOKUP(Sales_Data[[#This Row],[Stage]],_xlfn.ANCHORARRAY(Dashboard!$B$20),Dashboard!$D$20:$D$25)</f>
        <v>1</v>
      </c>
      <c r="Q591" t="b" cm="1">
        <f t="array" ref="Q591">_xlfn.XLOOKUP(Sales_Data[[#This Row],[Lead Source]],_xlfn.ANCHORARRAY(Dashboard!$B$28),Dashboard!$D$28:$D$32)</f>
        <v>1</v>
      </c>
      <c r="R591">
        <f>Sales_Data[[#This Row],[Date inc]]*Sales_Data[[#This Row],[Team Inc]]*Sales_Data[[#This Row],[Rep Inc]]*Sales_Data[[#This Row],[Stage Inc]]*Sales_Data[[#This Row],[Source Inc]]</f>
        <v>1</v>
      </c>
    </row>
    <row r="592" spans="1:18" x14ac:dyDescent="0.3">
      <c r="A592" t="s">
        <v>599</v>
      </c>
      <c r="B592" s="2">
        <v>45064</v>
      </c>
      <c r="C592" t="s">
        <v>762</v>
      </c>
      <c r="D592" t="s">
        <v>764</v>
      </c>
      <c r="E592" t="s">
        <v>767</v>
      </c>
      <c r="F592" s="5">
        <v>40700</v>
      </c>
      <c r="G592" t="s">
        <v>780</v>
      </c>
      <c r="H592" s="2">
        <v>45128</v>
      </c>
      <c r="J592" t="str">
        <f>IF(Sales_Data[[#This Row],[Close Date]] &lt;&gt; 0,"Closed", "Open")</f>
        <v>Closed</v>
      </c>
      <c r="K592">
        <f>IF(Sales_Data[[#This Row],[Open/Closed]] = "Closed",Sales_Data[[#This Row],[Close Date]]-Sales_Data[[#This Row],[Created Date]],"")</f>
        <v>64</v>
      </c>
      <c r="L592" s="2">
        <f>EOMONTH(Sales_Data[[#This Row],[Created Date]],0)</f>
        <v>45077</v>
      </c>
      <c r="M592" t="b">
        <f>AND(Sales_Data[[#This Row],[EoM Created]]&gt;=Index!$E$5,Sales_Data[[#This Row],[EoM Created]]&lt;=Index!$E$4)</f>
        <v>0</v>
      </c>
      <c r="N592" t="b" cm="1">
        <f t="array" ref="N592">_xlfn.XLOOKUP(Sales_Data[[#This Row],[Sales Team]],_xlfn.ANCHORARRAY(Dashboard!$B$9),Dashboard!$D$9:$D$10,,0)</f>
        <v>1</v>
      </c>
      <c r="O592" t="b" cm="1">
        <f t="array" ref="O592">_xlfn.XLOOKUP(Sales_Data[[#This Row],[Sales Rep]],_xlfn.ANCHORARRAY(Dashboard!$B$13),Dashboard!$D$13:$D$17,,0)</f>
        <v>1</v>
      </c>
      <c r="P592" t="b" cm="1">
        <f t="array" ref="P592">_xlfn.XLOOKUP(Sales_Data[[#This Row],[Stage]],_xlfn.ANCHORARRAY(Dashboard!$B$20),Dashboard!$D$20:$D$25)</f>
        <v>1</v>
      </c>
      <c r="Q592" t="b" cm="1">
        <f t="array" ref="Q592">_xlfn.XLOOKUP(Sales_Data[[#This Row],[Lead Source]],_xlfn.ANCHORARRAY(Dashboard!$B$28),Dashboard!$D$28:$D$32)</f>
        <v>1</v>
      </c>
      <c r="R592">
        <f>Sales_Data[[#This Row],[Date inc]]*Sales_Data[[#This Row],[Team Inc]]*Sales_Data[[#This Row],[Rep Inc]]*Sales_Data[[#This Row],[Stage Inc]]*Sales_Data[[#This Row],[Source Inc]]</f>
        <v>0</v>
      </c>
    </row>
    <row r="593" spans="1:18" x14ac:dyDescent="0.3">
      <c r="A593" t="s">
        <v>600</v>
      </c>
      <c r="B593" s="2">
        <v>45630</v>
      </c>
      <c r="C593" t="s">
        <v>763</v>
      </c>
      <c r="D593" t="s">
        <v>765</v>
      </c>
      <c r="E593" t="s">
        <v>768</v>
      </c>
      <c r="F593" s="5">
        <v>35200</v>
      </c>
      <c r="G593" t="s">
        <v>781</v>
      </c>
      <c r="H593" s="2">
        <v>45717</v>
      </c>
      <c r="I593" t="s">
        <v>777</v>
      </c>
      <c r="J593" t="str">
        <f>IF(Sales_Data[[#This Row],[Close Date]] &lt;&gt; 0,"Closed", "Open")</f>
        <v>Closed</v>
      </c>
      <c r="K593">
        <f>IF(Sales_Data[[#This Row],[Open/Closed]] = "Closed",Sales_Data[[#This Row],[Close Date]]-Sales_Data[[#This Row],[Created Date]],"")</f>
        <v>87</v>
      </c>
      <c r="L593" s="2">
        <f>EOMONTH(Sales_Data[[#This Row],[Created Date]],0)</f>
        <v>45657</v>
      </c>
      <c r="M593" t="b">
        <f>AND(Sales_Data[[#This Row],[EoM Created]]&gt;=Index!$E$5,Sales_Data[[#This Row],[EoM Created]]&lt;=Index!$E$4)</f>
        <v>1</v>
      </c>
      <c r="N593" t="b" cm="1">
        <f t="array" ref="N593">_xlfn.XLOOKUP(Sales_Data[[#This Row],[Sales Team]],_xlfn.ANCHORARRAY(Dashboard!$B$9),Dashboard!$D$9:$D$10,,0)</f>
        <v>1</v>
      </c>
      <c r="O593" t="b" cm="1">
        <f t="array" ref="O593">_xlfn.XLOOKUP(Sales_Data[[#This Row],[Sales Rep]],_xlfn.ANCHORARRAY(Dashboard!$B$13),Dashboard!$D$13:$D$17,,0)</f>
        <v>1</v>
      </c>
      <c r="P593" t="b" cm="1">
        <f t="array" ref="P593">_xlfn.XLOOKUP(Sales_Data[[#This Row],[Stage]],_xlfn.ANCHORARRAY(Dashboard!$B$20),Dashboard!$D$20:$D$25)</f>
        <v>1</v>
      </c>
      <c r="Q593" t="b" cm="1">
        <f t="array" ref="Q593">_xlfn.XLOOKUP(Sales_Data[[#This Row],[Lead Source]],_xlfn.ANCHORARRAY(Dashboard!$B$28),Dashboard!$D$28:$D$32)</f>
        <v>1</v>
      </c>
      <c r="R593">
        <f>Sales_Data[[#This Row],[Date inc]]*Sales_Data[[#This Row],[Team Inc]]*Sales_Data[[#This Row],[Rep Inc]]*Sales_Data[[#This Row],[Stage Inc]]*Sales_Data[[#This Row],[Source Inc]]</f>
        <v>1</v>
      </c>
    </row>
    <row r="594" spans="1:18" x14ac:dyDescent="0.3">
      <c r="A594" t="s">
        <v>601</v>
      </c>
      <c r="B594" s="2">
        <v>45143</v>
      </c>
      <c r="C594" t="s">
        <v>763</v>
      </c>
      <c r="D594" t="s">
        <v>765</v>
      </c>
      <c r="E594" t="s">
        <v>768</v>
      </c>
      <c r="F594" s="5">
        <v>44800</v>
      </c>
      <c r="G594" t="s">
        <v>781</v>
      </c>
      <c r="H594" s="2">
        <v>45232</v>
      </c>
      <c r="I594" t="s">
        <v>775</v>
      </c>
      <c r="J594" t="str">
        <f>IF(Sales_Data[[#This Row],[Close Date]] &lt;&gt; 0,"Closed", "Open")</f>
        <v>Closed</v>
      </c>
      <c r="K594">
        <f>IF(Sales_Data[[#This Row],[Open/Closed]] = "Closed",Sales_Data[[#This Row],[Close Date]]-Sales_Data[[#This Row],[Created Date]],"")</f>
        <v>89</v>
      </c>
      <c r="L594" s="2">
        <f>EOMONTH(Sales_Data[[#This Row],[Created Date]],0)</f>
        <v>45169</v>
      </c>
      <c r="M594" t="b">
        <f>AND(Sales_Data[[#This Row],[EoM Created]]&gt;=Index!$E$5,Sales_Data[[#This Row],[EoM Created]]&lt;=Index!$E$4)</f>
        <v>1</v>
      </c>
      <c r="N594" t="b" cm="1">
        <f t="array" ref="N594">_xlfn.XLOOKUP(Sales_Data[[#This Row],[Sales Team]],_xlfn.ANCHORARRAY(Dashboard!$B$9),Dashboard!$D$9:$D$10,,0)</f>
        <v>1</v>
      </c>
      <c r="O594" t="b" cm="1">
        <f t="array" ref="O594">_xlfn.XLOOKUP(Sales_Data[[#This Row],[Sales Rep]],_xlfn.ANCHORARRAY(Dashboard!$B$13),Dashboard!$D$13:$D$17,,0)</f>
        <v>1</v>
      </c>
      <c r="P594" t="b" cm="1">
        <f t="array" ref="P594">_xlfn.XLOOKUP(Sales_Data[[#This Row],[Stage]],_xlfn.ANCHORARRAY(Dashboard!$B$20),Dashboard!$D$20:$D$25)</f>
        <v>1</v>
      </c>
      <c r="Q594" t="b" cm="1">
        <f t="array" ref="Q594">_xlfn.XLOOKUP(Sales_Data[[#This Row],[Lead Source]],_xlfn.ANCHORARRAY(Dashboard!$B$28),Dashboard!$D$28:$D$32)</f>
        <v>1</v>
      </c>
      <c r="R594">
        <f>Sales_Data[[#This Row],[Date inc]]*Sales_Data[[#This Row],[Team Inc]]*Sales_Data[[#This Row],[Rep Inc]]*Sales_Data[[#This Row],[Stage Inc]]*Sales_Data[[#This Row],[Source Inc]]</f>
        <v>1</v>
      </c>
    </row>
    <row r="595" spans="1:18" x14ac:dyDescent="0.3">
      <c r="A595" t="s">
        <v>602</v>
      </c>
      <c r="B595" s="2">
        <v>45392</v>
      </c>
      <c r="C595" t="s">
        <v>763</v>
      </c>
      <c r="D595" t="s">
        <v>765</v>
      </c>
      <c r="E595" t="s">
        <v>769</v>
      </c>
      <c r="F595" s="5">
        <v>43300</v>
      </c>
      <c r="G595" t="s">
        <v>781</v>
      </c>
      <c r="H595" s="2">
        <v>45464</v>
      </c>
      <c r="I595" t="s">
        <v>777</v>
      </c>
      <c r="J595" t="str">
        <f>IF(Sales_Data[[#This Row],[Close Date]] &lt;&gt; 0,"Closed", "Open")</f>
        <v>Closed</v>
      </c>
      <c r="K595">
        <f>IF(Sales_Data[[#This Row],[Open/Closed]] = "Closed",Sales_Data[[#This Row],[Close Date]]-Sales_Data[[#This Row],[Created Date]],"")</f>
        <v>72</v>
      </c>
      <c r="L595" s="2">
        <f>EOMONTH(Sales_Data[[#This Row],[Created Date]],0)</f>
        <v>45412</v>
      </c>
      <c r="M595" t="b">
        <f>AND(Sales_Data[[#This Row],[EoM Created]]&gt;=Index!$E$5,Sales_Data[[#This Row],[EoM Created]]&lt;=Index!$E$4)</f>
        <v>1</v>
      </c>
      <c r="N595" t="b" cm="1">
        <f t="array" ref="N595">_xlfn.XLOOKUP(Sales_Data[[#This Row],[Sales Team]],_xlfn.ANCHORARRAY(Dashboard!$B$9),Dashboard!$D$9:$D$10,,0)</f>
        <v>1</v>
      </c>
      <c r="O595" t="b" cm="1">
        <f t="array" ref="O595">_xlfn.XLOOKUP(Sales_Data[[#This Row],[Sales Rep]],_xlfn.ANCHORARRAY(Dashboard!$B$13),Dashboard!$D$13:$D$17,,0)</f>
        <v>1</v>
      </c>
      <c r="P595" t="b" cm="1">
        <f t="array" ref="P595">_xlfn.XLOOKUP(Sales_Data[[#This Row],[Stage]],_xlfn.ANCHORARRAY(Dashboard!$B$20),Dashboard!$D$20:$D$25)</f>
        <v>1</v>
      </c>
      <c r="Q595" t="b" cm="1">
        <f t="array" ref="Q595">_xlfn.XLOOKUP(Sales_Data[[#This Row],[Lead Source]],_xlfn.ANCHORARRAY(Dashboard!$B$28),Dashboard!$D$28:$D$32)</f>
        <v>1</v>
      </c>
      <c r="R595">
        <f>Sales_Data[[#This Row],[Date inc]]*Sales_Data[[#This Row],[Team Inc]]*Sales_Data[[#This Row],[Rep Inc]]*Sales_Data[[#This Row],[Stage Inc]]*Sales_Data[[#This Row],[Source Inc]]</f>
        <v>1</v>
      </c>
    </row>
    <row r="596" spans="1:18" x14ac:dyDescent="0.3">
      <c r="A596" t="s">
        <v>603</v>
      </c>
      <c r="B596" s="2">
        <v>44945</v>
      </c>
      <c r="C596" t="s">
        <v>760</v>
      </c>
      <c r="D596" t="s">
        <v>764</v>
      </c>
      <c r="E596" t="s">
        <v>766</v>
      </c>
      <c r="F596" s="5">
        <v>50400</v>
      </c>
      <c r="G596" t="s">
        <v>780</v>
      </c>
      <c r="H596" s="2">
        <v>45014</v>
      </c>
      <c r="J596" t="str">
        <f>IF(Sales_Data[[#This Row],[Close Date]] &lt;&gt; 0,"Closed", "Open")</f>
        <v>Closed</v>
      </c>
      <c r="K596">
        <f>IF(Sales_Data[[#This Row],[Open/Closed]] = "Closed",Sales_Data[[#This Row],[Close Date]]-Sales_Data[[#This Row],[Created Date]],"")</f>
        <v>69</v>
      </c>
      <c r="L596" s="2">
        <f>EOMONTH(Sales_Data[[#This Row],[Created Date]],0)</f>
        <v>44957</v>
      </c>
      <c r="M596" t="b">
        <f>AND(Sales_Data[[#This Row],[EoM Created]]&gt;=Index!$E$5,Sales_Data[[#This Row],[EoM Created]]&lt;=Index!$E$4)</f>
        <v>0</v>
      </c>
      <c r="N596" t="b" cm="1">
        <f t="array" ref="N596">_xlfn.XLOOKUP(Sales_Data[[#This Row],[Sales Team]],_xlfn.ANCHORARRAY(Dashboard!$B$9),Dashboard!$D$9:$D$10,,0)</f>
        <v>1</v>
      </c>
      <c r="O596" t="b" cm="1">
        <f t="array" ref="O596">_xlfn.XLOOKUP(Sales_Data[[#This Row],[Sales Rep]],_xlfn.ANCHORARRAY(Dashboard!$B$13),Dashboard!$D$13:$D$17,,0)</f>
        <v>1</v>
      </c>
      <c r="P596" t="b" cm="1">
        <f t="array" ref="P596">_xlfn.XLOOKUP(Sales_Data[[#This Row],[Stage]],_xlfn.ANCHORARRAY(Dashboard!$B$20),Dashboard!$D$20:$D$25)</f>
        <v>1</v>
      </c>
      <c r="Q596" t="b" cm="1">
        <f t="array" ref="Q596">_xlfn.XLOOKUP(Sales_Data[[#This Row],[Lead Source]],_xlfn.ANCHORARRAY(Dashboard!$B$28),Dashboard!$D$28:$D$32)</f>
        <v>1</v>
      </c>
      <c r="R596">
        <f>Sales_Data[[#This Row],[Date inc]]*Sales_Data[[#This Row],[Team Inc]]*Sales_Data[[#This Row],[Rep Inc]]*Sales_Data[[#This Row],[Stage Inc]]*Sales_Data[[#This Row],[Source Inc]]</f>
        <v>0</v>
      </c>
    </row>
    <row r="597" spans="1:18" x14ac:dyDescent="0.3">
      <c r="A597" t="s">
        <v>604</v>
      </c>
      <c r="B597" s="2">
        <v>45005</v>
      </c>
      <c r="C597" t="s">
        <v>760</v>
      </c>
      <c r="D597" t="s">
        <v>764</v>
      </c>
      <c r="E597" t="s">
        <v>767</v>
      </c>
      <c r="F597" s="5">
        <v>34900</v>
      </c>
      <c r="G597" t="s">
        <v>781</v>
      </c>
      <c r="H597" s="2">
        <v>45065</v>
      </c>
      <c r="I597" t="s">
        <v>775</v>
      </c>
      <c r="J597" t="str">
        <f>IF(Sales_Data[[#This Row],[Close Date]] &lt;&gt; 0,"Closed", "Open")</f>
        <v>Closed</v>
      </c>
      <c r="K597">
        <f>IF(Sales_Data[[#This Row],[Open/Closed]] = "Closed",Sales_Data[[#This Row],[Close Date]]-Sales_Data[[#This Row],[Created Date]],"")</f>
        <v>60</v>
      </c>
      <c r="L597" s="2">
        <f>EOMONTH(Sales_Data[[#This Row],[Created Date]],0)</f>
        <v>45016</v>
      </c>
      <c r="M597" t="b">
        <f>AND(Sales_Data[[#This Row],[EoM Created]]&gt;=Index!$E$5,Sales_Data[[#This Row],[EoM Created]]&lt;=Index!$E$4)</f>
        <v>0</v>
      </c>
      <c r="N597" t="b" cm="1">
        <f t="array" ref="N597">_xlfn.XLOOKUP(Sales_Data[[#This Row],[Sales Team]],_xlfn.ANCHORARRAY(Dashboard!$B$9),Dashboard!$D$9:$D$10,,0)</f>
        <v>1</v>
      </c>
      <c r="O597" t="b" cm="1">
        <f t="array" ref="O597">_xlfn.XLOOKUP(Sales_Data[[#This Row],[Sales Rep]],_xlfn.ANCHORARRAY(Dashboard!$B$13),Dashboard!$D$13:$D$17,,0)</f>
        <v>1</v>
      </c>
      <c r="P597" t="b" cm="1">
        <f t="array" ref="P597">_xlfn.XLOOKUP(Sales_Data[[#This Row],[Stage]],_xlfn.ANCHORARRAY(Dashboard!$B$20),Dashboard!$D$20:$D$25)</f>
        <v>1</v>
      </c>
      <c r="Q597" t="b" cm="1">
        <f t="array" ref="Q597">_xlfn.XLOOKUP(Sales_Data[[#This Row],[Lead Source]],_xlfn.ANCHORARRAY(Dashboard!$B$28),Dashboard!$D$28:$D$32)</f>
        <v>1</v>
      </c>
      <c r="R597">
        <f>Sales_Data[[#This Row],[Date inc]]*Sales_Data[[#This Row],[Team Inc]]*Sales_Data[[#This Row],[Rep Inc]]*Sales_Data[[#This Row],[Stage Inc]]*Sales_Data[[#This Row],[Source Inc]]</f>
        <v>0</v>
      </c>
    </row>
    <row r="598" spans="1:18" x14ac:dyDescent="0.3">
      <c r="A598" t="s">
        <v>605</v>
      </c>
      <c r="B598" s="2">
        <v>44984</v>
      </c>
      <c r="C598" t="s">
        <v>763</v>
      </c>
      <c r="D598" t="s">
        <v>765</v>
      </c>
      <c r="E598" t="s">
        <v>769</v>
      </c>
      <c r="F598" s="5">
        <v>37300</v>
      </c>
      <c r="G598" t="s">
        <v>781</v>
      </c>
      <c r="H598" s="2">
        <v>45055</v>
      </c>
      <c r="I598" t="s">
        <v>777</v>
      </c>
      <c r="J598" t="str">
        <f>IF(Sales_Data[[#This Row],[Close Date]] &lt;&gt; 0,"Closed", "Open")</f>
        <v>Closed</v>
      </c>
      <c r="K598">
        <f>IF(Sales_Data[[#This Row],[Open/Closed]] = "Closed",Sales_Data[[#This Row],[Close Date]]-Sales_Data[[#This Row],[Created Date]],"")</f>
        <v>71</v>
      </c>
      <c r="L598" s="2">
        <f>EOMONTH(Sales_Data[[#This Row],[Created Date]],0)</f>
        <v>44985</v>
      </c>
      <c r="M598" t="b">
        <f>AND(Sales_Data[[#This Row],[EoM Created]]&gt;=Index!$E$5,Sales_Data[[#This Row],[EoM Created]]&lt;=Index!$E$4)</f>
        <v>0</v>
      </c>
      <c r="N598" t="b" cm="1">
        <f t="array" ref="N598">_xlfn.XLOOKUP(Sales_Data[[#This Row],[Sales Team]],_xlfn.ANCHORARRAY(Dashboard!$B$9),Dashboard!$D$9:$D$10,,0)</f>
        <v>1</v>
      </c>
      <c r="O598" t="b" cm="1">
        <f t="array" ref="O598">_xlfn.XLOOKUP(Sales_Data[[#This Row],[Sales Rep]],_xlfn.ANCHORARRAY(Dashboard!$B$13),Dashboard!$D$13:$D$17,,0)</f>
        <v>1</v>
      </c>
      <c r="P598" t="b" cm="1">
        <f t="array" ref="P598">_xlfn.XLOOKUP(Sales_Data[[#This Row],[Stage]],_xlfn.ANCHORARRAY(Dashboard!$B$20),Dashboard!$D$20:$D$25)</f>
        <v>1</v>
      </c>
      <c r="Q598" t="b" cm="1">
        <f t="array" ref="Q598">_xlfn.XLOOKUP(Sales_Data[[#This Row],[Lead Source]],_xlfn.ANCHORARRAY(Dashboard!$B$28),Dashboard!$D$28:$D$32)</f>
        <v>1</v>
      </c>
      <c r="R598">
        <f>Sales_Data[[#This Row],[Date inc]]*Sales_Data[[#This Row],[Team Inc]]*Sales_Data[[#This Row],[Rep Inc]]*Sales_Data[[#This Row],[Stage Inc]]*Sales_Data[[#This Row],[Source Inc]]</f>
        <v>0</v>
      </c>
    </row>
    <row r="599" spans="1:18" x14ac:dyDescent="0.3">
      <c r="A599" t="s">
        <v>606</v>
      </c>
      <c r="B599" s="2">
        <v>45010</v>
      </c>
      <c r="C599" t="s">
        <v>761</v>
      </c>
      <c r="D599" t="s">
        <v>765</v>
      </c>
      <c r="E599" t="s">
        <v>768</v>
      </c>
      <c r="F599" s="5">
        <v>30200</v>
      </c>
      <c r="G599" t="s">
        <v>781</v>
      </c>
      <c r="H599" s="2">
        <v>45089</v>
      </c>
      <c r="I599" t="s">
        <v>776</v>
      </c>
      <c r="J599" t="str">
        <f>IF(Sales_Data[[#This Row],[Close Date]] &lt;&gt; 0,"Closed", "Open")</f>
        <v>Closed</v>
      </c>
      <c r="K599">
        <f>IF(Sales_Data[[#This Row],[Open/Closed]] = "Closed",Sales_Data[[#This Row],[Close Date]]-Sales_Data[[#This Row],[Created Date]],"")</f>
        <v>79</v>
      </c>
      <c r="L599" s="2">
        <f>EOMONTH(Sales_Data[[#This Row],[Created Date]],0)</f>
        <v>45016</v>
      </c>
      <c r="M599" t="b">
        <f>AND(Sales_Data[[#This Row],[EoM Created]]&gt;=Index!$E$5,Sales_Data[[#This Row],[EoM Created]]&lt;=Index!$E$4)</f>
        <v>0</v>
      </c>
      <c r="N599" t="b" cm="1">
        <f t="array" ref="N599">_xlfn.XLOOKUP(Sales_Data[[#This Row],[Sales Team]],_xlfn.ANCHORARRAY(Dashboard!$B$9),Dashboard!$D$9:$D$10,,0)</f>
        <v>1</v>
      </c>
      <c r="O599" t="b" cm="1">
        <f t="array" ref="O599">_xlfn.XLOOKUP(Sales_Data[[#This Row],[Sales Rep]],_xlfn.ANCHORARRAY(Dashboard!$B$13),Dashboard!$D$13:$D$17,,0)</f>
        <v>1</v>
      </c>
      <c r="P599" t="b" cm="1">
        <f t="array" ref="P599">_xlfn.XLOOKUP(Sales_Data[[#This Row],[Stage]],_xlfn.ANCHORARRAY(Dashboard!$B$20),Dashboard!$D$20:$D$25)</f>
        <v>1</v>
      </c>
      <c r="Q599" t="b" cm="1">
        <f t="array" ref="Q599">_xlfn.XLOOKUP(Sales_Data[[#This Row],[Lead Source]],_xlfn.ANCHORARRAY(Dashboard!$B$28),Dashboard!$D$28:$D$32)</f>
        <v>1</v>
      </c>
      <c r="R599">
        <f>Sales_Data[[#This Row],[Date inc]]*Sales_Data[[#This Row],[Team Inc]]*Sales_Data[[#This Row],[Rep Inc]]*Sales_Data[[#This Row],[Stage Inc]]*Sales_Data[[#This Row],[Source Inc]]</f>
        <v>0</v>
      </c>
    </row>
    <row r="600" spans="1:18" x14ac:dyDescent="0.3">
      <c r="A600" t="s">
        <v>607</v>
      </c>
      <c r="B600" s="2">
        <v>45591</v>
      </c>
      <c r="C600" t="s">
        <v>761</v>
      </c>
      <c r="D600" t="s">
        <v>765</v>
      </c>
      <c r="E600" t="s">
        <v>770</v>
      </c>
      <c r="F600" s="5">
        <v>35600</v>
      </c>
      <c r="G600" t="s">
        <v>781</v>
      </c>
      <c r="H600" s="2">
        <v>45680</v>
      </c>
      <c r="I600" t="s">
        <v>779</v>
      </c>
      <c r="J600" t="str">
        <f>IF(Sales_Data[[#This Row],[Close Date]] &lt;&gt; 0,"Closed", "Open")</f>
        <v>Closed</v>
      </c>
      <c r="K600">
        <f>IF(Sales_Data[[#This Row],[Open/Closed]] = "Closed",Sales_Data[[#This Row],[Close Date]]-Sales_Data[[#This Row],[Created Date]],"")</f>
        <v>89</v>
      </c>
      <c r="L600" s="2">
        <f>EOMONTH(Sales_Data[[#This Row],[Created Date]],0)</f>
        <v>45596</v>
      </c>
      <c r="M600" t="b">
        <f>AND(Sales_Data[[#This Row],[EoM Created]]&gt;=Index!$E$5,Sales_Data[[#This Row],[EoM Created]]&lt;=Index!$E$4)</f>
        <v>1</v>
      </c>
      <c r="N600" t="b" cm="1">
        <f t="array" ref="N600">_xlfn.XLOOKUP(Sales_Data[[#This Row],[Sales Team]],_xlfn.ANCHORARRAY(Dashboard!$B$9),Dashboard!$D$9:$D$10,,0)</f>
        <v>1</v>
      </c>
      <c r="O600" t="b" cm="1">
        <f t="array" ref="O600">_xlfn.XLOOKUP(Sales_Data[[#This Row],[Sales Rep]],_xlfn.ANCHORARRAY(Dashboard!$B$13),Dashboard!$D$13:$D$17,,0)</f>
        <v>1</v>
      </c>
      <c r="P600" t="b" cm="1">
        <f t="array" ref="P600">_xlfn.XLOOKUP(Sales_Data[[#This Row],[Stage]],_xlfn.ANCHORARRAY(Dashboard!$B$20),Dashboard!$D$20:$D$25)</f>
        <v>1</v>
      </c>
      <c r="Q600" t="b" cm="1">
        <f t="array" ref="Q600">_xlfn.XLOOKUP(Sales_Data[[#This Row],[Lead Source]],_xlfn.ANCHORARRAY(Dashboard!$B$28),Dashboard!$D$28:$D$32)</f>
        <v>1</v>
      </c>
      <c r="R600">
        <f>Sales_Data[[#This Row],[Date inc]]*Sales_Data[[#This Row],[Team Inc]]*Sales_Data[[#This Row],[Rep Inc]]*Sales_Data[[#This Row],[Stage Inc]]*Sales_Data[[#This Row],[Source Inc]]</f>
        <v>1</v>
      </c>
    </row>
    <row r="601" spans="1:18" x14ac:dyDescent="0.3">
      <c r="A601" t="s">
        <v>608</v>
      </c>
      <c r="B601" s="2">
        <v>45319</v>
      </c>
      <c r="C601" t="s">
        <v>760</v>
      </c>
      <c r="D601" t="s">
        <v>764</v>
      </c>
      <c r="E601" t="s">
        <v>766</v>
      </c>
      <c r="F601" s="5">
        <v>43800</v>
      </c>
      <c r="G601" t="s">
        <v>780</v>
      </c>
      <c r="H601" s="2">
        <v>45396</v>
      </c>
      <c r="J601" t="str">
        <f>IF(Sales_Data[[#This Row],[Close Date]] &lt;&gt; 0,"Closed", "Open")</f>
        <v>Closed</v>
      </c>
      <c r="K601">
        <f>IF(Sales_Data[[#This Row],[Open/Closed]] = "Closed",Sales_Data[[#This Row],[Close Date]]-Sales_Data[[#This Row],[Created Date]],"")</f>
        <v>77</v>
      </c>
      <c r="L601" s="2">
        <f>EOMONTH(Sales_Data[[#This Row],[Created Date]],0)</f>
        <v>45322</v>
      </c>
      <c r="M601" t="b">
        <f>AND(Sales_Data[[#This Row],[EoM Created]]&gt;=Index!$E$5,Sales_Data[[#This Row],[EoM Created]]&lt;=Index!$E$4)</f>
        <v>1</v>
      </c>
      <c r="N601" t="b" cm="1">
        <f t="array" ref="N601">_xlfn.XLOOKUP(Sales_Data[[#This Row],[Sales Team]],_xlfn.ANCHORARRAY(Dashboard!$B$9),Dashboard!$D$9:$D$10,,0)</f>
        <v>1</v>
      </c>
      <c r="O601" t="b" cm="1">
        <f t="array" ref="O601">_xlfn.XLOOKUP(Sales_Data[[#This Row],[Sales Rep]],_xlfn.ANCHORARRAY(Dashboard!$B$13),Dashboard!$D$13:$D$17,,0)</f>
        <v>1</v>
      </c>
      <c r="P601" t="b" cm="1">
        <f t="array" ref="P601">_xlfn.XLOOKUP(Sales_Data[[#This Row],[Stage]],_xlfn.ANCHORARRAY(Dashboard!$B$20),Dashboard!$D$20:$D$25)</f>
        <v>1</v>
      </c>
      <c r="Q601" t="b" cm="1">
        <f t="array" ref="Q601">_xlfn.XLOOKUP(Sales_Data[[#This Row],[Lead Source]],_xlfn.ANCHORARRAY(Dashboard!$B$28),Dashboard!$D$28:$D$32)</f>
        <v>1</v>
      </c>
      <c r="R601">
        <f>Sales_Data[[#This Row],[Date inc]]*Sales_Data[[#This Row],[Team Inc]]*Sales_Data[[#This Row],[Rep Inc]]*Sales_Data[[#This Row],[Stage Inc]]*Sales_Data[[#This Row],[Source Inc]]</f>
        <v>1</v>
      </c>
    </row>
    <row r="602" spans="1:18" x14ac:dyDescent="0.3">
      <c r="A602" t="s">
        <v>609</v>
      </c>
      <c r="B602" s="2">
        <v>45255</v>
      </c>
      <c r="C602" t="s">
        <v>761</v>
      </c>
      <c r="D602" t="s">
        <v>765</v>
      </c>
      <c r="E602" t="s">
        <v>769</v>
      </c>
      <c r="F602" s="5">
        <v>47600</v>
      </c>
      <c r="G602" t="s">
        <v>781</v>
      </c>
      <c r="H602" s="2">
        <v>45329</v>
      </c>
      <c r="I602" t="s">
        <v>776</v>
      </c>
      <c r="J602" t="str">
        <f>IF(Sales_Data[[#This Row],[Close Date]] &lt;&gt; 0,"Closed", "Open")</f>
        <v>Closed</v>
      </c>
      <c r="K602">
        <f>IF(Sales_Data[[#This Row],[Open/Closed]] = "Closed",Sales_Data[[#This Row],[Close Date]]-Sales_Data[[#This Row],[Created Date]],"")</f>
        <v>74</v>
      </c>
      <c r="L602" s="2">
        <f>EOMONTH(Sales_Data[[#This Row],[Created Date]],0)</f>
        <v>45260</v>
      </c>
      <c r="M602" t="b">
        <f>AND(Sales_Data[[#This Row],[EoM Created]]&gt;=Index!$E$5,Sales_Data[[#This Row],[EoM Created]]&lt;=Index!$E$4)</f>
        <v>1</v>
      </c>
      <c r="N602" t="b" cm="1">
        <f t="array" ref="N602">_xlfn.XLOOKUP(Sales_Data[[#This Row],[Sales Team]],_xlfn.ANCHORARRAY(Dashboard!$B$9),Dashboard!$D$9:$D$10,,0)</f>
        <v>1</v>
      </c>
      <c r="O602" t="b" cm="1">
        <f t="array" ref="O602">_xlfn.XLOOKUP(Sales_Data[[#This Row],[Sales Rep]],_xlfn.ANCHORARRAY(Dashboard!$B$13),Dashboard!$D$13:$D$17,,0)</f>
        <v>1</v>
      </c>
      <c r="P602" t="b" cm="1">
        <f t="array" ref="P602">_xlfn.XLOOKUP(Sales_Data[[#This Row],[Stage]],_xlfn.ANCHORARRAY(Dashboard!$B$20),Dashboard!$D$20:$D$25)</f>
        <v>1</v>
      </c>
      <c r="Q602" t="b" cm="1">
        <f t="array" ref="Q602">_xlfn.XLOOKUP(Sales_Data[[#This Row],[Lead Source]],_xlfn.ANCHORARRAY(Dashboard!$B$28),Dashboard!$D$28:$D$32)</f>
        <v>1</v>
      </c>
      <c r="R602">
        <f>Sales_Data[[#This Row],[Date inc]]*Sales_Data[[#This Row],[Team Inc]]*Sales_Data[[#This Row],[Rep Inc]]*Sales_Data[[#This Row],[Stage Inc]]*Sales_Data[[#This Row],[Source Inc]]</f>
        <v>1</v>
      </c>
    </row>
    <row r="603" spans="1:18" x14ac:dyDescent="0.3">
      <c r="A603" t="s">
        <v>610</v>
      </c>
      <c r="B603" s="2">
        <v>44992</v>
      </c>
      <c r="C603" t="s">
        <v>759</v>
      </c>
      <c r="D603" t="s">
        <v>764</v>
      </c>
      <c r="E603" t="s">
        <v>766</v>
      </c>
      <c r="F603" s="5">
        <v>30800</v>
      </c>
      <c r="G603" t="s">
        <v>781</v>
      </c>
      <c r="H603" s="2">
        <v>45080</v>
      </c>
      <c r="I603" t="s">
        <v>777</v>
      </c>
      <c r="J603" t="str">
        <f>IF(Sales_Data[[#This Row],[Close Date]] &lt;&gt; 0,"Closed", "Open")</f>
        <v>Closed</v>
      </c>
      <c r="K603">
        <f>IF(Sales_Data[[#This Row],[Open/Closed]] = "Closed",Sales_Data[[#This Row],[Close Date]]-Sales_Data[[#This Row],[Created Date]],"")</f>
        <v>88</v>
      </c>
      <c r="L603" s="2">
        <f>EOMONTH(Sales_Data[[#This Row],[Created Date]],0)</f>
        <v>45016</v>
      </c>
      <c r="M603" t="b">
        <f>AND(Sales_Data[[#This Row],[EoM Created]]&gt;=Index!$E$5,Sales_Data[[#This Row],[EoM Created]]&lt;=Index!$E$4)</f>
        <v>0</v>
      </c>
      <c r="N603" t="b" cm="1">
        <f t="array" ref="N603">_xlfn.XLOOKUP(Sales_Data[[#This Row],[Sales Team]],_xlfn.ANCHORARRAY(Dashboard!$B$9),Dashboard!$D$9:$D$10,,0)</f>
        <v>1</v>
      </c>
      <c r="O603" t="b" cm="1">
        <f t="array" ref="O603">_xlfn.XLOOKUP(Sales_Data[[#This Row],[Sales Rep]],_xlfn.ANCHORARRAY(Dashboard!$B$13),Dashboard!$D$13:$D$17,,0)</f>
        <v>1</v>
      </c>
      <c r="P603" t="b" cm="1">
        <f t="array" ref="P603">_xlfn.XLOOKUP(Sales_Data[[#This Row],[Stage]],_xlfn.ANCHORARRAY(Dashboard!$B$20),Dashboard!$D$20:$D$25)</f>
        <v>1</v>
      </c>
      <c r="Q603" t="b" cm="1">
        <f t="array" ref="Q603">_xlfn.XLOOKUP(Sales_Data[[#This Row],[Lead Source]],_xlfn.ANCHORARRAY(Dashboard!$B$28),Dashboard!$D$28:$D$32)</f>
        <v>1</v>
      </c>
      <c r="R603">
        <f>Sales_Data[[#This Row],[Date inc]]*Sales_Data[[#This Row],[Team Inc]]*Sales_Data[[#This Row],[Rep Inc]]*Sales_Data[[#This Row],[Stage Inc]]*Sales_Data[[#This Row],[Source Inc]]</f>
        <v>0</v>
      </c>
    </row>
    <row r="604" spans="1:18" x14ac:dyDescent="0.3">
      <c r="A604" t="s">
        <v>611</v>
      </c>
      <c r="B604" s="2">
        <v>45221</v>
      </c>
      <c r="C604" t="s">
        <v>759</v>
      </c>
      <c r="D604" t="s">
        <v>764</v>
      </c>
      <c r="E604" t="s">
        <v>767</v>
      </c>
      <c r="F604" s="5">
        <v>48700</v>
      </c>
      <c r="G604" t="s">
        <v>781</v>
      </c>
      <c r="H604" s="2">
        <v>45294</v>
      </c>
      <c r="I604" t="s">
        <v>779</v>
      </c>
      <c r="J604" t="str">
        <f>IF(Sales_Data[[#This Row],[Close Date]] &lt;&gt; 0,"Closed", "Open")</f>
        <v>Closed</v>
      </c>
      <c r="K604">
        <f>IF(Sales_Data[[#This Row],[Open/Closed]] = "Closed",Sales_Data[[#This Row],[Close Date]]-Sales_Data[[#This Row],[Created Date]],"")</f>
        <v>73</v>
      </c>
      <c r="L604" s="2">
        <f>EOMONTH(Sales_Data[[#This Row],[Created Date]],0)</f>
        <v>45230</v>
      </c>
      <c r="M604" t="b">
        <f>AND(Sales_Data[[#This Row],[EoM Created]]&gt;=Index!$E$5,Sales_Data[[#This Row],[EoM Created]]&lt;=Index!$E$4)</f>
        <v>1</v>
      </c>
      <c r="N604" t="b" cm="1">
        <f t="array" ref="N604">_xlfn.XLOOKUP(Sales_Data[[#This Row],[Sales Team]],_xlfn.ANCHORARRAY(Dashboard!$B$9),Dashboard!$D$9:$D$10,,0)</f>
        <v>1</v>
      </c>
      <c r="O604" t="b" cm="1">
        <f t="array" ref="O604">_xlfn.XLOOKUP(Sales_Data[[#This Row],[Sales Rep]],_xlfn.ANCHORARRAY(Dashboard!$B$13),Dashboard!$D$13:$D$17,,0)</f>
        <v>1</v>
      </c>
      <c r="P604" t="b" cm="1">
        <f t="array" ref="P604">_xlfn.XLOOKUP(Sales_Data[[#This Row],[Stage]],_xlfn.ANCHORARRAY(Dashboard!$B$20),Dashboard!$D$20:$D$25)</f>
        <v>1</v>
      </c>
      <c r="Q604" t="b" cm="1">
        <f t="array" ref="Q604">_xlfn.XLOOKUP(Sales_Data[[#This Row],[Lead Source]],_xlfn.ANCHORARRAY(Dashboard!$B$28),Dashboard!$D$28:$D$32)</f>
        <v>1</v>
      </c>
      <c r="R604">
        <f>Sales_Data[[#This Row],[Date inc]]*Sales_Data[[#This Row],[Team Inc]]*Sales_Data[[#This Row],[Rep Inc]]*Sales_Data[[#This Row],[Stage Inc]]*Sales_Data[[#This Row],[Source Inc]]</f>
        <v>1</v>
      </c>
    </row>
    <row r="605" spans="1:18" x14ac:dyDescent="0.3">
      <c r="A605" t="s">
        <v>612</v>
      </c>
      <c r="B605" s="2">
        <v>45212</v>
      </c>
      <c r="C605" t="s">
        <v>761</v>
      </c>
      <c r="D605" t="s">
        <v>765</v>
      </c>
      <c r="E605" t="s">
        <v>770</v>
      </c>
      <c r="F605" s="5">
        <v>53600</v>
      </c>
      <c r="G605" t="s">
        <v>781</v>
      </c>
      <c r="H605" s="2">
        <v>45283</v>
      </c>
      <c r="I605" t="s">
        <v>776</v>
      </c>
      <c r="J605" t="str">
        <f>IF(Sales_Data[[#This Row],[Close Date]] &lt;&gt; 0,"Closed", "Open")</f>
        <v>Closed</v>
      </c>
      <c r="K605">
        <f>IF(Sales_Data[[#This Row],[Open/Closed]] = "Closed",Sales_Data[[#This Row],[Close Date]]-Sales_Data[[#This Row],[Created Date]],"")</f>
        <v>71</v>
      </c>
      <c r="L605" s="2">
        <f>EOMONTH(Sales_Data[[#This Row],[Created Date]],0)</f>
        <v>45230</v>
      </c>
      <c r="M605" t="b">
        <f>AND(Sales_Data[[#This Row],[EoM Created]]&gt;=Index!$E$5,Sales_Data[[#This Row],[EoM Created]]&lt;=Index!$E$4)</f>
        <v>1</v>
      </c>
      <c r="N605" t="b" cm="1">
        <f t="array" ref="N605">_xlfn.XLOOKUP(Sales_Data[[#This Row],[Sales Team]],_xlfn.ANCHORARRAY(Dashboard!$B$9),Dashboard!$D$9:$D$10,,0)</f>
        <v>1</v>
      </c>
      <c r="O605" t="b" cm="1">
        <f t="array" ref="O605">_xlfn.XLOOKUP(Sales_Data[[#This Row],[Sales Rep]],_xlfn.ANCHORARRAY(Dashboard!$B$13),Dashboard!$D$13:$D$17,,0)</f>
        <v>1</v>
      </c>
      <c r="P605" t="b" cm="1">
        <f t="array" ref="P605">_xlfn.XLOOKUP(Sales_Data[[#This Row],[Stage]],_xlfn.ANCHORARRAY(Dashboard!$B$20),Dashboard!$D$20:$D$25)</f>
        <v>1</v>
      </c>
      <c r="Q605" t="b" cm="1">
        <f t="array" ref="Q605">_xlfn.XLOOKUP(Sales_Data[[#This Row],[Lead Source]],_xlfn.ANCHORARRAY(Dashboard!$B$28),Dashboard!$D$28:$D$32)</f>
        <v>1</v>
      </c>
      <c r="R605">
        <f>Sales_Data[[#This Row],[Date inc]]*Sales_Data[[#This Row],[Team Inc]]*Sales_Data[[#This Row],[Rep Inc]]*Sales_Data[[#This Row],[Stage Inc]]*Sales_Data[[#This Row],[Source Inc]]</f>
        <v>1</v>
      </c>
    </row>
    <row r="606" spans="1:18" x14ac:dyDescent="0.3">
      <c r="A606" t="s">
        <v>613</v>
      </c>
      <c r="B606" s="2">
        <v>44979</v>
      </c>
      <c r="C606" t="s">
        <v>761</v>
      </c>
      <c r="D606" t="s">
        <v>765</v>
      </c>
      <c r="E606" t="s">
        <v>769</v>
      </c>
      <c r="F606" s="5">
        <v>44100</v>
      </c>
      <c r="G606" t="s">
        <v>781</v>
      </c>
      <c r="H606" s="2">
        <v>45063</v>
      </c>
      <c r="I606" t="s">
        <v>775</v>
      </c>
      <c r="J606" t="str">
        <f>IF(Sales_Data[[#This Row],[Close Date]] &lt;&gt; 0,"Closed", "Open")</f>
        <v>Closed</v>
      </c>
      <c r="K606">
        <f>IF(Sales_Data[[#This Row],[Open/Closed]] = "Closed",Sales_Data[[#This Row],[Close Date]]-Sales_Data[[#This Row],[Created Date]],"")</f>
        <v>84</v>
      </c>
      <c r="L606" s="2">
        <f>EOMONTH(Sales_Data[[#This Row],[Created Date]],0)</f>
        <v>44985</v>
      </c>
      <c r="M606" t="b">
        <f>AND(Sales_Data[[#This Row],[EoM Created]]&gt;=Index!$E$5,Sales_Data[[#This Row],[EoM Created]]&lt;=Index!$E$4)</f>
        <v>0</v>
      </c>
      <c r="N606" t="b" cm="1">
        <f t="array" ref="N606">_xlfn.XLOOKUP(Sales_Data[[#This Row],[Sales Team]],_xlfn.ANCHORARRAY(Dashboard!$B$9),Dashboard!$D$9:$D$10,,0)</f>
        <v>1</v>
      </c>
      <c r="O606" t="b" cm="1">
        <f t="array" ref="O606">_xlfn.XLOOKUP(Sales_Data[[#This Row],[Sales Rep]],_xlfn.ANCHORARRAY(Dashboard!$B$13),Dashboard!$D$13:$D$17,,0)</f>
        <v>1</v>
      </c>
      <c r="P606" t="b" cm="1">
        <f t="array" ref="P606">_xlfn.XLOOKUP(Sales_Data[[#This Row],[Stage]],_xlfn.ANCHORARRAY(Dashboard!$B$20),Dashboard!$D$20:$D$25)</f>
        <v>1</v>
      </c>
      <c r="Q606" t="b" cm="1">
        <f t="array" ref="Q606">_xlfn.XLOOKUP(Sales_Data[[#This Row],[Lead Source]],_xlfn.ANCHORARRAY(Dashboard!$B$28),Dashboard!$D$28:$D$32)</f>
        <v>1</v>
      </c>
      <c r="R606">
        <f>Sales_Data[[#This Row],[Date inc]]*Sales_Data[[#This Row],[Team Inc]]*Sales_Data[[#This Row],[Rep Inc]]*Sales_Data[[#This Row],[Stage Inc]]*Sales_Data[[#This Row],[Source Inc]]</f>
        <v>0</v>
      </c>
    </row>
    <row r="607" spans="1:18" x14ac:dyDescent="0.3">
      <c r="A607" t="s">
        <v>614</v>
      </c>
      <c r="B607" s="2">
        <v>45160</v>
      </c>
      <c r="C607" t="s">
        <v>762</v>
      </c>
      <c r="D607" t="s">
        <v>764</v>
      </c>
      <c r="E607" t="s">
        <v>766</v>
      </c>
      <c r="F607" s="5">
        <v>58800</v>
      </c>
      <c r="G607" t="s">
        <v>781</v>
      </c>
      <c r="H607" s="2">
        <v>45224</v>
      </c>
      <c r="I607" t="s">
        <v>777</v>
      </c>
      <c r="J607" t="str">
        <f>IF(Sales_Data[[#This Row],[Close Date]] &lt;&gt; 0,"Closed", "Open")</f>
        <v>Closed</v>
      </c>
      <c r="K607">
        <f>IF(Sales_Data[[#This Row],[Open/Closed]] = "Closed",Sales_Data[[#This Row],[Close Date]]-Sales_Data[[#This Row],[Created Date]],"")</f>
        <v>64</v>
      </c>
      <c r="L607" s="2">
        <f>EOMONTH(Sales_Data[[#This Row],[Created Date]],0)</f>
        <v>45169</v>
      </c>
      <c r="M607" t="b">
        <f>AND(Sales_Data[[#This Row],[EoM Created]]&gt;=Index!$E$5,Sales_Data[[#This Row],[EoM Created]]&lt;=Index!$E$4)</f>
        <v>1</v>
      </c>
      <c r="N607" t="b" cm="1">
        <f t="array" ref="N607">_xlfn.XLOOKUP(Sales_Data[[#This Row],[Sales Team]],_xlfn.ANCHORARRAY(Dashboard!$B$9),Dashboard!$D$9:$D$10,,0)</f>
        <v>1</v>
      </c>
      <c r="O607" t="b" cm="1">
        <f t="array" ref="O607">_xlfn.XLOOKUP(Sales_Data[[#This Row],[Sales Rep]],_xlfn.ANCHORARRAY(Dashboard!$B$13),Dashboard!$D$13:$D$17,,0)</f>
        <v>1</v>
      </c>
      <c r="P607" t="b" cm="1">
        <f t="array" ref="P607">_xlfn.XLOOKUP(Sales_Data[[#This Row],[Stage]],_xlfn.ANCHORARRAY(Dashboard!$B$20),Dashboard!$D$20:$D$25)</f>
        <v>1</v>
      </c>
      <c r="Q607" t="b" cm="1">
        <f t="array" ref="Q607">_xlfn.XLOOKUP(Sales_Data[[#This Row],[Lead Source]],_xlfn.ANCHORARRAY(Dashboard!$B$28),Dashboard!$D$28:$D$32)</f>
        <v>1</v>
      </c>
      <c r="R607">
        <f>Sales_Data[[#This Row],[Date inc]]*Sales_Data[[#This Row],[Team Inc]]*Sales_Data[[#This Row],[Rep Inc]]*Sales_Data[[#This Row],[Stage Inc]]*Sales_Data[[#This Row],[Source Inc]]</f>
        <v>1</v>
      </c>
    </row>
    <row r="608" spans="1:18" x14ac:dyDescent="0.3">
      <c r="A608" t="s">
        <v>615</v>
      </c>
      <c r="B608" s="2">
        <v>45713</v>
      </c>
      <c r="C608" t="s">
        <v>763</v>
      </c>
      <c r="D608" t="s">
        <v>765</v>
      </c>
      <c r="E608" t="s">
        <v>768</v>
      </c>
      <c r="F608" s="5">
        <v>32300</v>
      </c>
      <c r="G608" t="s">
        <v>780</v>
      </c>
      <c r="H608" s="2">
        <v>45790</v>
      </c>
      <c r="J608" t="str">
        <f>IF(Sales_Data[[#This Row],[Close Date]] &lt;&gt; 0,"Closed", "Open")</f>
        <v>Closed</v>
      </c>
      <c r="K608">
        <f>IF(Sales_Data[[#This Row],[Open/Closed]] = "Closed",Sales_Data[[#This Row],[Close Date]]-Sales_Data[[#This Row],[Created Date]],"")</f>
        <v>77</v>
      </c>
      <c r="L608" s="2">
        <f>EOMONTH(Sales_Data[[#This Row],[Created Date]],0)</f>
        <v>45716</v>
      </c>
      <c r="M608" t="b">
        <f>AND(Sales_Data[[#This Row],[EoM Created]]&gt;=Index!$E$5,Sales_Data[[#This Row],[EoM Created]]&lt;=Index!$E$4)</f>
        <v>1</v>
      </c>
      <c r="N608" t="b" cm="1">
        <f t="array" ref="N608">_xlfn.XLOOKUP(Sales_Data[[#This Row],[Sales Team]],_xlfn.ANCHORARRAY(Dashboard!$B$9),Dashboard!$D$9:$D$10,,0)</f>
        <v>1</v>
      </c>
      <c r="O608" t="b" cm="1">
        <f t="array" ref="O608">_xlfn.XLOOKUP(Sales_Data[[#This Row],[Sales Rep]],_xlfn.ANCHORARRAY(Dashboard!$B$13),Dashboard!$D$13:$D$17,,0)</f>
        <v>1</v>
      </c>
      <c r="P608" t="b" cm="1">
        <f t="array" ref="P608">_xlfn.XLOOKUP(Sales_Data[[#This Row],[Stage]],_xlfn.ANCHORARRAY(Dashboard!$B$20),Dashboard!$D$20:$D$25)</f>
        <v>1</v>
      </c>
      <c r="Q608" t="b" cm="1">
        <f t="array" ref="Q608">_xlfn.XLOOKUP(Sales_Data[[#This Row],[Lead Source]],_xlfn.ANCHORARRAY(Dashboard!$B$28),Dashboard!$D$28:$D$32)</f>
        <v>1</v>
      </c>
      <c r="R608">
        <f>Sales_Data[[#This Row],[Date inc]]*Sales_Data[[#This Row],[Team Inc]]*Sales_Data[[#This Row],[Rep Inc]]*Sales_Data[[#This Row],[Stage Inc]]*Sales_Data[[#This Row],[Source Inc]]</f>
        <v>1</v>
      </c>
    </row>
    <row r="609" spans="1:18" x14ac:dyDescent="0.3">
      <c r="A609" t="s">
        <v>616</v>
      </c>
      <c r="B609" s="2">
        <v>45678</v>
      </c>
      <c r="C609" t="s">
        <v>761</v>
      </c>
      <c r="D609" t="s">
        <v>765</v>
      </c>
      <c r="E609" t="s">
        <v>768</v>
      </c>
      <c r="F609" s="5">
        <v>27600</v>
      </c>
      <c r="G609" t="s">
        <v>780</v>
      </c>
      <c r="H609" s="2">
        <v>45764</v>
      </c>
      <c r="J609" t="str">
        <f>IF(Sales_Data[[#This Row],[Close Date]] &lt;&gt; 0,"Closed", "Open")</f>
        <v>Closed</v>
      </c>
      <c r="K609">
        <f>IF(Sales_Data[[#This Row],[Open/Closed]] = "Closed",Sales_Data[[#This Row],[Close Date]]-Sales_Data[[#This Row],[Created Date]],"")</f>
        <v>86</v>
      </c>
      <c r="L609" s="2">
        <f>EOMONTH(Sales_Data[[#This Row],[Created Date]],0)</f>
        <v>45688</v>
      </c>
      <c r="M609" t="b">
        <f>AND(Sales_Data[[#This Row],[EoM Created]]&gt;=Index!$E$5,Sales_Data[[#This Row],[EoM Created]]&lt;=Index!$E$4)</f>
        <v>1</v>
      </c>
      <c r="N609" t="b" cm="1">
        <f t="array" ref="N609">_xlfn.XLOOKUP(Sales_Data[[#This Row],[Sales Team]],_xlfn.ANCHORARRAY(Dashboard!$B$9),Dashboard!$D$9:$D$10,,0)</f>
        <v>1</v>
      </c>
      <c r="O609" t="b" cm="1">
        <f t="array" ref="O609">_xlfn.XLOOKUP(Sales_Data[[#This Row],[Sales Rep]],_xlfn.ANCHORARRAY(Dashboard!$B$13),Dashboard!$D$13:$D$17,,0)</f>
        <v>1</v>
      </c>
      <c r="P609" t="b" cm="1">
        <f t="array" ref="P609">_xlfn.XLOOKUP(Sales_Data[[#This Row],[Stage]],_xlfn.ANCHORARRAY(Dashboard!$B$20),Dashboard!$D$20:$D$25)</f>
        <v>1</v>
      </c>
      <c r="Q609" t="b" cm="1">
        <f t="array" ref="Q609">_xlfn.XLOOKUP(Sales_Data[[#This Row],[Lead Source]],_xlfn.ANCHORARRAY(Dashboard!$B$28),Dashboard!$D$28:$D$32)</f>
        <v>1</v>
      </c>
      <c r="R609">
        <f>Sales_Data[[#This Row],[Date inc]]*Sales_Data[[#This Row],[Team Inc]]*Sales_Data[[#This Row],[Rep Inc]]*Sales_Data[[#This Row],[Stage Inc]]*Sales_Data[[#This Row],[Source Inc]]</f>
        <v>1</v>
      </c>
    </row>
    <row r="610" spans="1:18" x14ac:dyDescent="0.3">
      <c r="A610" t="s">
        <v>617</v>
      </c>
      <c r="B610" s="2">
        <v>45154</v>
      </c>
      <c r="C610" t="s">
        <v>762</v>
      </c>
      <c r="D610" t="s">
        <v>764</v>
      </c>
      <c r="E610" t="s">
        <v>766</v>
      </c>
      <c r="F610" s="5">
        <v>22200</v>
      </c>
      <c r="G610" t="s">
        <v>781</v>
      </c>
      <c r="H610" s="2">
        <v>45239</v>
      </c>
      <c r="I610" t="s">
        <v>775</v>
      </c>
      <c r="J610" t="str">
        <f>IF(Sales_Data[[#This Row],[Close Date]] &lt;&gt; 0,"Closed", "Open")</f>
        <v>Closed</v>
      </c>
      <c r="K610">
        <f>IF(Sales_Data[[#This Row],[Open/Closed]] = "Closed",Sales_Data[[#This Row],[Close Date]]-Sales_Data[[#This Row],[Created Date]],"")</f>
        <v>85</v>
      </c>
      <c r="L610" s="2">
        <f>EOMONTH(Sales_Data[[#This Row],[Created Date]],0)</f>
        <v>45169</v>
      </c>
      <c r="M610" t="b">
        <f>AND(Sales_Data[[#This Row],[EoM Created]]&gt;=Index!$E$5,Sales_Data[[#This Row],[EoM Created]]&lt;=Index!$E$4)</f>
        <v>1</v>
      </c>
      <c r="N610" t="b" cm="1">
        <f t="array" ref="N610">_xlfn.XLOOKUP(Sales_Data[[#This Row],[Sales Team]],_xlfn.ANCHORARRAY(Dashboard!$B$9),Dashboard!$D$9:$D$10,,0)</f>
        <v>1</v>
      </c>
      <c r="O610" t="b" cm="1">
        <f t="array" ref="O610">_xlfn.XLOOKUP(Sales_Data[[#This Row],[Sales Rep]],_xlfn.ANCHORARRAY(Dashboard!$B$13),Dashboard!$D$13:$D$17,,0)</f>
        <v>1</v>
      </c>
      <c r="P610" t="b" cm="1">
        <f t="array" ref="P610">_xlfn.XLOOKUP(Sales_Data[[#This Row],[Stage]],_xlfn.ANCHORARRAY(Dashboard!$B$20),Dashboard!$D$20:$D$25)</f>
        <v>1</v>
      </c>
      <c r="Q610" t="b" cm="1">
        <f t="array" ref="Q610">_xlfn.XLOOKUP(Sales_Data[[#This Row],[Lead Source]],_xlfn.ANCHORARRAY(Dashboard!$B$28),Dashboard!$D$28:$D$32)</f>
        <v>1</v>
      </c>
      <c r="R610">
        <f>Sales_Data[[#This Row],[Date inc]]*Sales_Data[[#This Row],[Team Inc]]*Sales_Data[[#This Row],[Rep Inc]]*Sales_Data[[#This Row],[Stage Inc]]*Sales_Data[[#This Row],[Source Inc]]</f>
        <v>1</v>
      </c>
    </row>
    <row r="611" spans="1:18" x14ac:dyDescent="0.3">
      <c r="A611" t="s">
        <v>618</v>
      </c>
      <c r="B611" s="2">
        <v>45114</v>
      </c>
      <c r="C611" t="s">
        <v>759</v>
      </c>
      <c r="D611" t="s">
        <v>764</v>
      </c>
      <c r="E611" t="s">
        <v>767</v>
      </c>
      <c r="F611" s="5">
        <v>55000</v>
      </c>
      <c r="G611" t="s">
        <v>781</v>
      </c>
      <c r="H611" s="2">
        <v>45192</v>
      </c>
      <c r="I611" t="s">
        <v>775</v>
      </c>
      <c r="J611" t="str">
        <f>IF(Sales_Data[[#This Row],[Close Date]] &lt;&gt; 0,"Closed", "Open")</f>
        <v>Closed</v>
      </c>
      <c r="K611">
        <f>IF(Sales_Data[[#This Row],[Open/Closed]] = "Closed",Sales_Data[[#This Row],[Close Date]]-Sales_Data[[#This Row],[Created Date]],"")</f>
        <v>78</v>
      </c>
      <c r="L611" s="2">
        <f>EOMONTH(Sales_Data[[#This Row],[Created Date]],0)</f>
        <v>45138</v>
      </c>
      <c r="M611" t="b">
        <f>AND(Sales_Data[[#This Row],[EoM Created]]&gt;=Index!$E$5,Sales_Data[[#This Row],[EoM Created]]&lt;=Index!$E$4)</f>
        <v>1</v>
      </c>
      <c r="N611" t="b" cm="1">
        <f t="array" ref="N611">_xlfn.XLOOKUP(Sales_Data[[#This Row],[Sales Team]],_xlfn.ANCHORARRAY(Dashboard!$B$9),Dashboard!$D$9:$D$10,,0)</f>
        <v>1</v>
      </c>
      <c r="O611" t="b" cm="1">
        <f t="array" ref="O611">_xlfn.XLOOKUP(Sales_Data[[#This Row],[Sales Rep]],_xlfn.ANCHORARRAY(Dashboard!$B$13),Dashboard!$D$13:$D$17,,0)</f>
        <v>1</v>
      </c>
      <c r="P611" t="b" cm="1">
        <f t="array" ref="P611">_xlfn.XLOOKUP(Sales_Data[[#This Row],[Stage]],_xlfn.ANCHORARRAY(Dashboard!$B$20),Dashboard!$D$20:$D$25)</f>
        <v>1</v>
      </c>
      <c r="Q611" t="b" cm="1">
        <f t="array" ref="Q611">_xlfn.XLOOKUP(Sales_Data[[#This Row],[Lead Source]],_xlfn.ANCHORARRAY(Dashboard!$B$28),Dashboard!$D$28:$D$32)</f>
        <v>1</v>
      </c>
      <c r="R611">
        <f>Sales_Data[[#This Row],[Date inc]]*Sales_Data[[#This Row],[Team Inc]]*Sales_Data[[#This Row],[Rep Inc]]*Sales_Data[[#This Row],[Stage Inc]]*Sales_Data[[#This Row],[Source Inc]]</f>
        <v>1</v>
      </c>
    </row>
    <row r="612" spans="1:18" x14ac:dyDescent="0.3">
      <c r="A612" t="s">
        <v>619</v>
      </c>
      <c r="B612" s="2">
        <v>45738</v>
      </c>
      <c r="C612" t="s">
        <v>761</v>
      </c>
      <c r="D612" t="s">
        <v>765</v>
      </c>
      <c r="E612" t="s">
        <v>768</v>
      </c>
      <c r="F612" s="5">
        <v>46500</v>
      </c>
      <c r="G612" t="s">
        <v>780</v>
      </c>
      <c r="H612" s="2">
        <v>45807</v>
      </c>
      <c r="J612" t="str">
        <f>IF(Sales_Data[[#This Row],[Close Date]] &lt;&gt; 0,"Closed", "Open")</f>
        <v>Closed</v>
      </c>
      <c r="K612">
        <f>IF(Sales_Data[[#This Row],[Open/Closed]] = "Closed",Sales_Data[[#This Row],[Close Date]]-Sales_Data[[#This Row],[Created Date]],"")</f>
        <v>69</v>
      </c>
      <c r="L612" s="2">
        <f>EOMONTH(Sales_Data[[#This Row],[Created Date]],0)</f>
        <v>45747</v>
      </c>
      <c r="M612" t="b">
        <f>AND(Sales_Data[[#This Row],[EoM Created]]&gt;=Index!$E$5,Sales_Data[[#This Row],[EoM Created]]&lt;=Index!$E$4)</f>
        <v>1</v>
      </c>
      <c r="N612" t="b" cm="1">
        <f t="array" ref="N612">_xlfn.XLOOKUP(Sales_Data[[#This Row],[Sales Team]],_xlfn.ANCHORARRAY(Dashboard!$B$9),Dashboard!$D$9:$D$10,,0)</f>
        <v>1</v>
      </c>
      <c r="O612" t="b" cm="1">
        <f t="array" ref="O612">_xlfn.XLOOKUP(Sales_Data[[#This Row],[Sales Rep]],_xlfn.ANCHORARRAY(Dashboard!$B$13),Dashboard!$D$13:$D$17,,0)</f>
        <v>1</v>
      </c>
      <c r="P612" t="b" cm="1">
        <f t="array" ref="P612">_xlfn.XLOOKUP(Sales_Data[[#This Row],[Stage]],_xlfn.ANCHORARRAY(Dashboard!$B$20),Dashboard!$D$20:$D$25)</f>
        <v>1</v>
      </c>
      <c r="Q612" t="b" cm="1">
        <f t="array" ref="Q612">_xlfn.XLOOKUP(Sales_Data[[#This Row],[Lead Source]],_xlfn.ANCHORARRAY(Dashboard!$B$28),Dashboard!$D$28:$D$32)</f>
        <v>1</v>
      </c>
      <c r="R612">
        <f>Sales_Data[[#This Row],[Date inc]]*Sales_Data[[#This Row],[Team Inc]]*Sales_Data[[#This Row],[Rep Inc]]*Sales_Data[[#This Row],[Stage Inc]]*Sales_Data[[#This Row],[Source Inc]]</f>
        <v>1</v>
      </c>
    </row>
    <row r="613" spans="1:18" x14ac:dyDescent="0.3">
      <c r="A613" t="s">
        <v>620</v>
      </c>
      <c r="B613" s="2">
        <v>45515</v>
      </c>
      <c r="C613" t="s">
        <v>763</v>
      </c>
      <c r="D613" t="s">
        <v>765</v>
      </c>
      <c r="E613" t="s">
        <v>768</v>
      </c>
      <c r="F613" s="5">
        <v>39400</v>
      </c>
      <c r="G613" t="s">
        <v>780</v>
      </c>
      <c r="H613" s="2">
        <v>45589</v>
      </c>
      <c r="J613" t="str">
        <f>IF(Sales_Data[[#This Row],[Close Date]] &lt;&gt; 0,"Closed", "Open")</f>
        <v>Closed</v>
      </c>
      <c r="K613">
        <f>IF(Sales_Data[[#This Row],[Open/Closed]] = "Closed",Sales_Data[[#This Row],[Close Date]]-Sales_Data[[#This Row],[Created Date]],"")</f>
        <v>74</v>
      </c>
      <c r="L613" s="2">
        <f>EOMONTH(Sales_Data[[#This Row],[Created Date]],0)</f>
        <v>45535</v>
      </c>
      <c r="M613" t="b">
        <f>AND(Sales_Data[[#This Row],[EoM Created]]&gt;=Index!$E$5,Sales_Data[[#This Row],[EoM Created]]&lt;=Index!$E$4)</f>
        <v>1</v>
      </c>
      <c r="N613" t="b" cm="1">
        <f t="array" ref="N613">_xlfn.XLOOKUP(Sales_Data[[#This Row],[Sales Team]],_xlfn.ANCHORARRAY(Dashboard!$B$9),Dashboard!$D$9:$D$10,,0)</f>
        <v>1</v>
      </c>
      <c r="O613" t="b" cm="1">
        <f t="array" ref="O613">_xlfn.XLOOKUP(Sales_Data[[#This Row],[Sales Rep]],_xlfn.ANCHORARRAY(Dashboard!$B$13),Dashboard!$D$13:$D$17,,0)</f>
        <v>1</v>
      </c>
      <c r="P613" t="b" cm="1">
        <f t="array" ref="P613">_xlfn.XLOOKUP(Sales_Data[[#This Row],[Stage]],_xlfn.ANCHORARRAY(Dashboard!$B$20),Dashboard!$D$20:$D$25)</f>
        <v>1</v>
      </c>
      <c r="Q613" t="b" cm="1">
        <f t="array" ref="Q613">_xlfn.XLOOKUP(Sales_Data[[#This Row],[Lead Source]],_xlfn.ANCHORARRAY(Dashboard!$B$28),Dashboard!$D$28:$D$32)</f>
        <v>1</v>
      </c>
      <c r="R613">
        <f>Sales_Data[[#This Row],[Date inc]]*Sales_Data[[#This Row],[Team Inc]]*Sales_Data[[#This Row],[Rep Inc]]*Sales_Data[[#This Row],[Stage Inc]]*Sales_Data[[#This Row],[Source Inc]]</f>
        <v>1</v>
      </c>
    </row>
    <row r="614" spans="1:18" x14ac:dyDescent="0.3">
      <c r="A614" t="s">
        <v>621</v>
      </c>
      <c r="B614" s="2">
        <v>45057</v>
      </c>
      <c r="C614" t="s">
        <v>763</v>
      </c>
      <c r="D614" t="s">
        <v>765</v>
      </c>
      <c r="E614" t="s">
        <v>768</v>
      </c>
      <c r="F614" s="5">
        <v>42800</v>
      </c>
      <c r="G614" t="s">
        <v>780</v>
      </c>
      <c r="H614" s="2">
        <v>45125</v>
      </c>
      <c r="J614" t="str">
        <f>IF(Sales_Data[[#This Row],[Close Date]] &lt;&gt; 0,"Closed", "Open")</f>
        <v>Closed</v>
      </c>
      <c r="K614">
        <f>IF(Sales_Data[[#This Row],[Open/Closed]] = "Closed",Sales_Data[[#This Row],[Close Date]]-Sales_Data[[#This Row],[Created Date]],"")</f>
        <v>68</v>
      </c>
      <c r="L614" s="2">
        <f>EOMONTH(Sales_Data[[#This Row],[Created Date]],0)</f>
        <v>45077</v>
      </c>
      <c r="M614" t="b">
        <f>AND(Sales_Data[[#This Row],[EoM Created]]&gt;=Index!$E$5,Sales_Data[[#This Row],[EoM Created]]&lt;=Index!$E$4)</f>
        <v>0</v>
      </c>
      <c r="N614" t="b" cm="1">
        <f t="array" ref="N614">_xlfn.XLOOKUP(Sales_Data[[#This Row],[Sales Team]],_xlfn.ANCHORARRAY(Dashboard!$B$9),Dashboard!$D$9:$D$10,,0)</f>
        <v>1</v>
      </c>
      <c r="O614" t="b" cm="1">
        <f t="array" ref="O614">_xlfn.XLOOKUP(Sales_Data[[#This Row],[Sales Rep]],_xlfn.ANCHORARRAY(Dashboard!$B$13),Dashboard!$D$13:$D$17,,0)</f>
        <v>1</v>
      </c>
      <c r="P614" t="b" cm="1">
        <f t="array" ref="P614">_xlfn.XLOOKUP(Sales_Data[[#This Row],[Stage]],_xlfn.ANCHORARRAY(Dashboard!$B$20),Dashboard!$D$20:$D$25)</f>
        <v>1</v>
      </c>
      <c r="Q614" t="b" cm="1">
        <f t="array" ref="Q614">_xlfn.XLOOKUP(Sales_Data[[#This Row],[Lead Source]],_xlfn.ANCHORARRAY(Dashboard!$B$28),Dashboard!$D$28:$D$32)</f>
        <v>1</v>
      </c>
      <c r="R614">
        <f>Sales_Data[[#This Row],[Date inc]]*Sales_Data[[#This Row],[Team Inc]]*Sales_Data[[#This Row],[Rep Inc]]*Sales_Data[[#This Row],[Stage Inc]]*Sales_Data[[#This Row],[Source Inc]]</f>
        <v>0</v>
      </c>
    </row>
    <row r="615" spans="1:18" x14ac:dyDescent="0.3">
      <c r="A615" t="s">
        <v>622</v>
      </c>
      <c r="B615" s="2">
        <v>45585</v>
      </c>
      <c r="C615" t="s">
        <v>759</v>
      </c>
      <c r="D615" t="s">
        <v>764</v>
      </c>
      <c r="E615" t="s">
        <v>766</v>
      </c>
      <c r="F615" s="5">
        <v>28700</v>
      </c>
      <c r="G615" t="s">
        <v>781</v>
      </c>
      <c r="H615" s="2">
        <v>45667</v>
      </c>
      <c r="I615" t="s">
        <v>776</v>
      </c>
      <c r="J615" t="str">
        <f>IF(Sales_Data[[#This Row],[Close Date]] &lt;&gt; 0,"Closed", "Open")</f>
        <v>Closed</v>
      </c>
      <c r="K615">
        <f>IF(Sales_Data[[#This Row],[Open/Closed]] = "Closed",Sales_Data[[#This Row],[Close Date]]-Sales_Data[[#This Row],[Created Date]],"")</f>
        <v>82</v>
      </c>
      <c r="L615" s="2">
        <f>EOMONTH(Sales_Data[[#This Row],[Created Date]],0)</f>
        <v>45596</v>
      </c>
      <c r="M615" t="b">
        <f>AND(Sales_Data[[#This Row],[EoM Created]]&gt;=Index!$E$5,Sales_Data[[#This Row],[EoM Created]]&lt;=Index!$E$4)</f>
        <v>1</v>
      </c>
      <c r="N615" t="b" cm="1">
        <f t="array" ref="N615">_xlfn.XLOOKUP(Sales_Data[[#This Row],[Sales Team]],_xlfn.ANCHORARRAY(Dashboard!$B$9),Dashboard!$D$9:$D$10,,0)</f>
        <v>1</v>
      </c>
      <c r="O615" t="b" cm="1">
        <f t="array" ref="O615">_xlfn.XLOOKUP(Sales_Data[[#This Row],[Sales Rep]],_xlfn.ANCHORARRAY(Dashboard!$B$13),Dashboard!$D$13:$D$17,,0)</f>
        <v>1</v>
      </c>
      <c r="P615" t="b" cm="1">
        <f t="array" ref="P615">_xlfn.XLOOKUP(Sales_Data[[#This Row],[Stage]],_xlfn.ANCHORARRAY(Dashboard!$B$20),Dashboard!$D$20:$D$25)</f>
        <v>1</v>
      </c>
      <c r="Q615" t="b" cm="1">
        <f t="array" ref="Q615">_xlfn.XLOOKUP(Sales_Data[[#This Row],[Lead Source]],_xlfn.ANCHORARRAY(Dashboard!$B$28),Dashboard!$D$28:$D$32)</f>
        <v>1</v>
      </c>
      <c r="R615">
        <f>Sales_Data[[#This Row],[Date inc]]*Sales_Data[[#This Row],[Team Inc]]*Sales_Data[[#This Row],[Rep Inc]]*Sales_Data[[#This Row],[Stage Inc]]*Sales_Data[[#This Row],[Source Inc]]</f>
        <v>1</v>
      </c>
    </row>
    <row r="616" spans="1:18" x14ac:dyDescent="0.3">
      <c r="A616" t="s">
        <v>623</v>
      </c>
      <c r="B616" s="2">
        <v>45102</v>
      </c>
      <c r="C616" t="s">
        <v>759</v>
      </c>
      <c r="D616" t="s">
        <v>764</v>
      </c>
      <c r="E616" t="s">
        <v>766</v>
      </c>
      <c r="F616" s="5">
        <v>64500</v>
      </c>
      <c r="G616" t="s">
        <v>780</v>
      </c>
      <c r="H616" s="2">
        <v>45176</v>
      </c>
      <c r="J616" t="str">
        <f>IF(Sales_Data[[#This Row],[Close Date]] &lt;&gt; 0,"Closed", "Open")</f>
        <v>Closed</v>
      </c>
      <c r="K616">
        <f>IF(Sales_Data[[#This Row],[Open/Closed]] = "Closed",Sales_Data[[#This Row],[Close Date]]-Sales_Data[[#This Row],[Created Date]],"")</f>
        <v>74</v>
      </c>
      <c r="L616" s="2">
        <f>EOMONTH(Sales_Data[[#This Row],[Created Date]],0)</f>
        <v>45107</v>
      </c>
      <c r="M616" t="b">
        <f>AND(Sales_Data[[#This Row],[EoM Created]]&gt;=Index!$E$5,Sales_Data[[#This Row],[EoM Created]]&lt;=Index!$E$4)</f>
        <v>0</v>
      </c>
      <c r="N616" t="b" cm="1">
        <f t="array" ref="N616">_xlfn.XLOOKUP(Sales_Data[[#This Row],[Sales Team]],_xlfn.ANCHORARRAY(Dashboard!$B$9),Dashboard!$D$9:$D$10,,0)</f>
        <v>1</v>
      </c>
      <c r="O616" t="b" cm="1">
        <f t="array" ref="O616">_xlfn.XLOOKUP(Sales_Data[[#This Row],[Sales Rep]],_xlfn.ANCHORARRAY(Dashboard!$B$13),Dashboard!$D$13:$D$17,,0)</f>
        <v>1</v>
      </c>
      <c r="P616" t="b" cm="1">
        <f t="array" ref="P616">_xlfn.XLOOKUP(Sales_Data[[#This Row],[Stage]],_xlfn.ANCHORARRAY(Dashboard!$B$20),Dashboard!$D$20:$D$25)</f>
        <v>1</v>
      </c>
      <c r="Q616" t="b" cm="1">
        <f t="array" ref="Q616">_xlfn.XLOOKUP(Sales_Data[[#This Row],[Lead Source]],_xlfn.ANCHORARRAY(Dashboard!$B$28),Dashboard!$D$28:$D$32)</f>
        <v>1</v>
      </c>
      <c r="R616">
        <f>Sales_Data[[#This Row],[Date inc]]*Sales_Data[[#This Row],[Team Inc]]*Sales_Data[[#This Row],[Rep Inc]]*Sales_Data[[#This Row],[Stage Inc]]*Sales_Data[[#This Row],[Source Inc]]</f>
        <v>0</v>
      </c>
    </row>
    <row r="617" spans="1:18" x14ac:dyDescent="0.3">
      <c r="A617" t="s">
        <v>624</v>
      </c>
      <c r="B617" s="2">
        <v>45760</v>
      </c>
      <c r="C617" t="s">
        <v>759</v>
      </c>
      <c r="D617" t="s">
        <v>764</v>
      </c>
      <c r="E617" t="s">
        <v>767</v>
      </c>
      <c r="F617" s="5">
        <v>41300</v>
      </c>
      <c r="G617" t="s">
        <v>774</v>
      </c>
      <c r="H617" s="2"/>
      <c r="J617" t="str">
        <f>IF(Sales_Data[[#This Row],[Close Date]] &lt;&gt; 0,"Closed", "Open")</f>
        <v>Open</v>
      </c>
      <c r="K617" t="str">
        <f>IF(Sales_Data[[#This Row],[Open/Closed]] = "Closed",Sales_Data[[#This Row],[Close Date]]-Sales_Data[[#This Row],[Created Date]],"")</f>
        <v/>
      </c>
      <c r="L617" s="2">
        <f>EOMONTH(Sales_Data[[#This Row],[Created Date]],0)</f>
        <v>45777</v>
      </c>
      <c r="M617" t="b">
        <f>AND(Sales_Data[[#This Row],[EoM Created]]&gt;=Index!$E$5,Sales_Data[[#This Row],[EoM Created]]&lt;=Index!$E$4)</f>
        <v>1</v>
      </c>
      <c r="N617" t="b" cm="1">
        <f t="array" ref="N617">_xlfn.XLOOKUP(Sales_Data[[#This Row],[Sales Team]],_xlfn.ANCHORARRAY(Dashboard!$B$9),Dashboard!$D$9:$D$10,,0)</f>
        <v>1</v>
      </c>
      <c r="O617" t="b" cm="1">
        <f t="array" ref="O617">_xlfn.XLOOKUP(Sales_Data[[#This Row],[Sales Rep]],_xlfn.ANCHORARRAY(Dashboard!$B$13),Dashboard!$D$13:$D$17,,0)</f>
        <v>1</v>
      </c>
      <c r="P617" t="b" cm="1">
        <f t="array" ref="P617">_xlfn.XLOOKUP(Sales_Data[[#This Row],[Stage]],_xlfn.ANCHORARRAY(Dashboard!$B$20),Dashboard!$D$20:$D$25)</f>
        <v>1</v>
      </c>
      <c r="Q617" t="b" cm="1">
        <f t="array" ref="Q617">_xlfn.XLOOKUP(Sales_Data[[#This Row],[Lead Source]],_xlfn.ANCHORARRAY(Dashboard!$B$28),Dashboard!$D$28:$D$32)</f>
        <v>1</v>
      </c>
      <c r="R617">
        <f>Sales_Data[[#This Row],[Date inc]]*Sales_Data[[#This Row],[Team Inc]]*Sales_Data[[#This Row],[Rep Inc]]*Sales_Data[[#This Row],[Stage Inc]]*Sales_Data[[#This Row],[Source Inc]]</f>
        <v>1</v>
      </c>
    </row>
    <row r="618" spans="1:18" x14ac:dyDescent="0.3">
      <c r="A618" t="s">
        <v>625</v>
      </c>
      <c r="B618" s="2">
        <v>45595</v>
      </c>
      <c r="C618" t="s">
        <v>761</v>
      </c>
      <c r="D618" t="s">
        <v>765</v>
      </c>
      <c r="E618" t="s">
        <v>769</v>
      </c>
      <c r="F618" s="5">
        <v>41100</v>
      </c>
      <c r="G618" t="s">
        <v>780</v>
      </c>
      <c r="H618" s="2">
        <v>45665</v>
      </c>
      <c r="J618" t="str">
        <f>IF(Sales_Data[[#This Row],[Close Date]] &lt;&gt; 0,"Closed", "Open")</f>
        <v>Closed</v>
      </c>
      <c r="K618">
        <f>IF(Sales_Data[[#This Row],[Open/Closed]] = "Closed",Sales_Data[[#This Row],[Close Date]]-Sales_Data[[#This Row],[Created Date]],"")</f>
        <v>70</v>
      </c>
      <c r="L618" s="2">
        <f>EOMONTH(Sales_Data[[#This Row],[Created Date]],0)</f>
        <v>45596</v>
      </c>
      <c r="M618" t="b">
        <f>AND(Sales_Data[[#This Row],[EoM Created]]&gt;=Index!$E$5,Sales_Data[[#This Row],[EoM Created]]&lt;=Index!$E$4)</f>
        <v>1</v>
      </c>
      <c r="N618" t="b" cm="1">
        <f t="array" ref="N618">_xlfn.XLOOKUP(Sales_Data[[#This Row],[Sales Team]],_xlfn.ANCHORARRAY(Dashboard!$B$9),Dashboard!$D$9:$D$10,,0)</f>
        <v>1</v>
      </c>
      <c r="O618" t="b" cm="1">
        <f t="array" ref="O618">_xlfn.XLOOKUP(Sales_Data[[#This Row],[Sales Rep]],_xlfn.ANCHORARRAY(Dashboard!$B$13),Dashboard!$D$13:$D$17,,0)</f>
        <v>1</v>
      </c>
      <c r="P618" t="b" cm="1">
        <f t="array" ref="P618">_xlfn.XLOOKUP(Sales_Data[[#This Row],[Stage]],_xlfn.ANCHORARRAY(Dashboard!$B$20),Dashboard!$D$20:$D$25)</f>
        <v>1</v>
      </c>
      <c r="Q618" t="b" cm="1">
        <f t="array" ref="Q618">_xlfn.XLOOKUP(Sales_Data[[#This Row],[Lead Source]],_xlfn.ANCHORARRAY(Dashboard!$B$28),Dashboard!$D$28:$D$32)</f>
        <v>1</v>
      </c>
      <c r="R618">
        <f>Sales_Data[[#This Row],[Date inc]]*Sales_Data[[#This Row],[Team Inc]]*Sales_Data[[#This Row],[Rep Inc]]*Sales_Data[[#This Row],[Stage Inc]]*Sales_Data[[#This Row],[Source Inc]]</f>
        <v>1</v>
      </c>
    </row>
    <row r="619" spans="1:18" x14ac:dyDescent="0.3">
      <c r="A619" t="s">
        <v>626</v>
      </c>
      <c r="B619" s="2">
        <v>45311</v>
      </c>
      <c r="C619" t="s">
        <v>763</v>
      </c>
      <c r="D619" t="s">
        <v>765</v>
      </c>
      <c r="E619" t="s">
        <v>768</v>
      </c>
      <c r="F619" s="5">
        <v>47300</v>
      </c>
      <c r="G619" t="s">
        <v>781</v>
      </c>
      <c r="H619" s="2">
        <v>45401</v>
      </c>
      <c r="I619" t="s">
        <v>778</v>
      </c>
      <c r="J619" t="str">
        <f>IF(Sales_Data[[#This Row],[Close Date]] &lt;&gt; 0,"Closed", "Open")</f>
        <v>Closed</v>
      </c>
      <c r="K619">
        <f>IF(Sales_Data[[#This Row],[Open/Closed]] = "Closed",Sales_Data[[#This Row],[Close Date]]-Sales_Data[[#This Row],[Created Date]],"")</f>
        <v>90</v>
      </c>
      <c r="L619" s="2">
        <f>EOMONTH(Sales_Data[[#This Row],[Created Date]],0)</f>
        <v>45322</v>
      </c>
      <c r="M619" t="b">
        <f>AND(Sales_Data[[#This Row],[EoM Created]]&gt;=Index!$E$5,Sales_Data[[#This Row],[EoM Created]]&lt;=Index!$E$4)</f>
        <v>1</v>
      </c>
      <c r="N619" t="b" cm="1">
        <f t="array" ref="N619">_xlfn.XLOOKUP(Sales_Data[[#This Row],[Sales Team]],_xlfn.ANCHORARRAY(Dashboard!$B$9),Dashboard!$D$9:$D$10,,0)</f>
        <v>1</v>
      </c>
      <c r="O619" t="b" cm="1">
        <f t="array" ref="O619">_xlfn.XLOOKUP(Sales_Data[[#This Row],[Sales Rep]],_xlfn.ANCHORARRAY(Dashboard!$B$13),Dashboard!$D$13:$D$17,,0)</f>
        <v>1</v>
      </c>
      <c r="P619" t="b" cm="1">
        <f t="array" ref="P619">_xlfn.XLOOKUP(Sales_Data[[#This Row],[Stage]],_xlfn.ANCHORARRAY(Dashboard!$B$20),Dashboard!$D$20:$D$25)</f>
        <v>1</v>
      </c>
      <c r="Q619" t="b" cm="1">
        <f t="array" ref="Q619">_xlfn.XLOOKUP(Sales_Data[[#This Row],[Lead Source]],_xlfn.ANCHORARRAY(Dashboard!$B$28),Dashboard!$D$28:$D$32)</f>
        <v>1</v>
      </c>
      <c r="R619">
        <f>Sales_Data[[#This Row],[Date inc]]*Sales_Data[[#This Row],[Team Inc]]*Sales_Data[[#This Row],[Rep Inc]]*Sales_Data[[#This Row],[Stage Inc]]*Sales_Data[[#This Row],[Source Inc]]</f>
        <v>1</v>
      </c>
    </row>
    <row r="620" spans="1:18" x14ac:dyDescent="0.3">
      <c r="A620" t="s">
        <v>627</v>
      </c>
      <c r="B620" s="2">
        <v>45178</v>
      </c>
      <c r="C620" t="s">
        <v>763</v>
      </c>
      <c r="D620" t="s">
        <v>765</v>
      </c>
      <c r="E620" t="s">
        <v>769</v>
      </c>
      <c r="F620" s="5">
        <v>44800</v>
      </c>
      <c r="G620" t="s">
        <v>780</v>
      </c>
      <c r="H620" s="2">
        <v>45250</v>
      </c>
      <c r="J620" t="str">
        <f>IF(Sales_Data[[#This Row],[Close Date]] &lt;&gt; 0,"Closed", "Open")</f>
        <v>Closed</v>
      </c>
      <c r="K620">
        <f>IF(Sales_Data[[#This Row],[Open/Closed]] = "Closed",Sales_Data[[#This Row],[Close Date]]-Sales_Data[[#This Row],[Created Date]],"")</f>
        <v>72</v>
      </c>
      <c r="L620" s="2">
        <f>EOMONTH(Sales_Data[[#This Row],[Created Date]],0)</f>
        <v>45199</v>
      </c>
      <c r="M620" t="b">
        <f>AND(Sales_Data[[#This Row],[EoM Created]]&gt;=Index!$E$5,Sales_Data[[#This Row],[EoM Created]]&lt;=Index!$E$4)</f>
        <v>1</v>
      </c>
      <c r="N620" t="b" cm="1">
        <f t="array" ref="N620">_xlfn.XLOOKUP(Sales_Data[[#This Row],[Sales Team]],_xlfn.ANCHORARRAY(Dashboard!$B$9),Dashboard!$D$9:$D$10,,0)</f>
        <v>1</v>
      </c>
      <c r="O620" t="b" cm="1">
        <f t="array" ref="O620">_xlfn.XLOOKUP(Sales_Data[[#This Row],[Sales Rep]],_xlfn.ANCHORARRAY(Dashboard!$B$13),Dashboard!$D$13:$D$17,,0)</f>
        <v>1</v>
      </c>
      <c r="P620" t="b" cm="1">
        <f t="array" ref="P620">_xlfn.XLOOKUP(Sales_Data[[#This Row],[Stage]],_xlfn.ANCHORARRAY(Dashboard!$B$20),Dashboard!$D$20:$D$25)</f>
        <v>1</v>
      </c>
      <c r="Q620" t="b" cm="1">
        <f t="array" ref="Q620">_xlfn.XLOOKUP(Sales_Data[[#This Row],[Lead Source]],_xlfn.ANCHORARRAY(Dashboard!$B$28),Dashboard!$D$28:$D$32)</f>
        <v>1</v>
      </c>
      <c r="R620">
        <f>Sales_Data[[#This Row],[Date inc]]*Sales_Data[[#This Row],[Team Inc]]*Sales_Data[[#This Row],[Rep Inc]]*Sales_Data[[#This Row],[Stage Inc]]*Sales_Data[[#This Row],[Source Inc]]</f>
        <v>1</v>
      </c>
    </row>
    <row r="621" spans="1:18" x14ac:dyDescent="0.3">
      <c r="A621" t="s">
        <v>628</v>
      </c>
      <c r="B621" s="2">
        <v>45172</v>
      </c>
      <c r="C621" t="s">
        <v>763</v>
      </c>
      <c r="D621" t="s">
        <v>765</v>
      </c>
      <c r="E621" t="s">
        <v>769</v>
      </c>
      <c r="F621" s="5">
        <v>42200</v>
      </c>
      <c r="G621" t="s">
        <v>781</v>
      </c>
      <c r="H621" s="2">
        <v>45253</v>
      </c>
      <c r="I621" t="s">
        <v>776</v>
      </c>
      <c r="J621" t="str">
        <f>IF(Sales_Data[[#This Row],[Close Date]] &lt;&gt; 0,"Closed", "Open")</f>
        <v>Closed</v>
      </c>
      <c r="K621">
        <f>IF(Sales_Data[[#This Row],[Open/Closed]] = "Closed",Sales_Data[[#This Row],[Close Date]]-Sales_Data[[#This Row],[Created Date]],"")</f>
        <v>81</v>
      </c>
      <c r="L621" s="2">
        <f>EOMONTH(Sales_Data[[#This Row],[Created Date]],0)</f>
        <v>45199</v>
      </c>
      <c r="M621" t="b">
        <f>AND(Sales_Data[[#This Row],[EoM Created]]&gt;=Index!$E$5,Sales_Data[[#This Row],[EoM Created]]&lt;=Index!$E$4)</f>
        <v>1</v>
      </c>
      <c r="N621" t="b" cm="1">
        <f t="array" ref="N621">_xlfn.XLOOKUP(Sales_Data[[#This Row],[Sales Team]],_xlfn.ANCHORARRAY(Dashboard!$B$9),Dashboard!$D$9:$D$10,,0)</f>
        <v>1</v>
      </c>
      <c r="O621" t="b" cm="1">
        <f t="array" ref="O621">_xlfn.XLOOKUP(Sales_Data[[#This Row],[Sales Rep]],_xlfn.ANCHORARRAY(Dashboard!$B$13),Dashboard!$D$13:$D$17,,0)</f>
        <v>1</v>
      </c>
      <c r="P621" t="b" cm="1">
        <f t="array" ref="P621">_xlfn.XLOOKUP(Sales_Data[[#This Row],[Stage]],_xlfn.ANCHORARRAY(Dashboard!$B$20),Dashboard!$D$20:$D$25)</f>
        <v>1</v>
      </c>
      <c r="Q621" t="b" cm="1">
        <f t="array" ref="Q621">_xlfn.XLOOKUP(Sales_Data[[#This Row],[Lead Source]],_xlfn.ANCHORARRAY(Dashboard!$B$28),Dashboard!$D$28:$D$32)</f>
        <v>1</v>
      </c>
      <c r="R621">
        <f>Sales_Data[[#This Row],[Date inc]]*Sales_Data[[#This Row],[Team Inc]]*Sales_Data[[#This Row],[Rep Inc]]*Sales_Data[[#This Row],[Stage Inc]]*Sales_Data[[#This Row],[Source Inc]]</f>
        <v>1</v>
      </c>
    </row>
    <row r="622" spans="1:18" x14ac:dyDescent="0.3">
      <c r="A622" t="s">
        <v>629</v>
      </c>
      <c r="B622" s="2">
        <v>45395</v>
      </c>
      <c r="C622" t="s">
        <v>759</v>
      </c>
      <c r="D622" t="s">
        <v>764</v>
      </c>
      <c r="E622" t="s">
        <v>767</v>
      </c>
      <c r="F622" s="5">
        <v>32100</v>
      </c>
      <c r="G622" t="s">
        <v>780</v>
      </c>
      <c r="H622" s="2">
        <v>45483</v>
      </c>
      <c r="J622" t="str">
        <f>IF(Sales_Data[[#This Row],[Close Date]] &lt;&gt; 0,"Closed", "Open")</f>
        <v>Closed</v>
      </c>
      <c r="K622">
        <f>IF(Sales_Data[[#This Row],[Open/Closed]] = "Closed",Sales_Data[[#This Row],[Close Date]]-Sales_Data[[#This Row],[Created Date]],"")</f>
        <v>88</v>
      </c>
      <c r="L622" s="2">
        <f>EOMONTH(Sales_Data[[#This Row],[Created Date]],0)</f>
        <v>45412</v>
      </c>
      <c r="M622" t="b">
        <f>AND(Sales_Data[[#This Row],[EoM Created]]&gt;=Index!$E$5,Sales_Data[[#This Row],[EoM Created]]&lt;=Index!$E$4)</f>
        <v>1</v>
      </c>
      <c r="N622" t="b" cm="1">
        <f t="array" ref="N622">_xlfn.XLOOKUP(Sales_Data[[#This Row],[Sales Team]],_xlfn.ANCHORARRAY(Dashboard!$B$9),Dashboard!$D$9:$D$10,,0)</f>
        <v>1</v>
      </c>
      <c r="O622" t="b" cm="1">
        <f t="array" ref="O622">_xlfn.XLOOKUP(Sales_Data[[#This Row],[Sales Rep]],_xlfn.ANCHORARRAY(Dashboard!$B$13),Dashboard!$D$13:$D$17,,0)</f>
        <v>1</v>
      </c>
      <c r="P622" t="b" cm="1">
        <f t="array" ref="P622">_xlfn.XLOOKUP(Sales_Data[[#This Row],[Stage]],_xlfn.ANCHORARRAY(Dashboard!$B$20),Dashboard!$D$20:$D$25)</f>
        <v>1</v>
      </c>
      <c r="Q622" t="b" cm="1">
        <f t="array" ref="Q622">_xlfn.XLOOKUP(Sales_Data[[#This Row],[Lead Source]],_xlfn.ANCHORARRAY(Dashboard!$B$28),Dashboard!$D$28:$D$32)</f>
        <v>1</v>
      </c>
      <c r="R622">
        <f>Sales_Data[[#This Row],[Date inc]]*Sales_Data[[#This Row],[Team Inc]]*Sales_Data[[#This Row],[Rep Inc]]*Sales_Data[[#This Row],[Stage Inc]]*Sales_Data[[#This Row],[Source Inc]]</f>
        <v>1</v>
      </c>
    </row>
    <row r="623" spans="1:18" x14ac:dyDescent="0.3">
      <c r="A623" t="s">
        <v>630</v>
      </c>
      <c r="B623" s="2">
        <v>45532</v>
      </c>
      <c r="C623" t="s">
        <v>759</v>
      </c>
      <c r="D623" t="s">
        <v>764</v>
      </c>
      <c r="E623" t="s">
        <v>767</v>
      </c>
      <c r="F623" s="5">
        <v>44700</v>
      </c>
      <c r="G623" t="s">
        <v>781</v>
      </c>
      <c r="H623" s="2">
        <v>45595</v>
      </c>
      <c r="I623" t="s">
        <v>776</v>
      </c>
      <c r="J623" t="str">
        <f>IF(Sales_Data[[#This Row],[Close Date]] &lt;&gt; 0,"Closed", "Open")</f>
        <v>Closed</v>
      </c>
      <c r="K623">
        <f>IF(Sales_Data[[#This Row],[Open/Closed]] = "Closed",Sales_Data[[#This Row],[Close Date]]-Sales_Data[[#This Row],[Created Date]],"")</f>
        <v>63</v>
      </c>
      <c r="L623" s="2">
        <f>EOMONTH(Sales_Data[[#This Row],[Created Date]],0)</f>
        <v>45535</v>
      </c>
      <c r="M623" t="b">
        <f>AND(Sales_Data[[#This Row],[EoM Created]]&gt;=Index!$E$5,Sales_Data[[#This Row],[EoM Created]]&lt;=Index!$E$4)</f>
        <v>1</v>
      </c>
      <c r="N623" t="b" cm="1">
        <f t="array" ref="N623">_xlfn.XLOOKUP(Sales_Data[[#This Row],[Sales Team]],_xlfn.ANCHORARRAY(Dashboard!$B$9),Dashboard!$D$9:$D$10,,0)</f>
        <v>1</v>
      </c>
      <c r="O623" t="b" cm="1">
        <f t="array" ref="O623">_xlfn.XLOOKUP(Sales_Data[[#This Row],[Sales Rep]],_xlfn.ANCHORARRAY(Dashboard!$B$13),Dashboard!$D$13:$D$17,,0)</f>
        <v>1</v>
      </c>
      <c r="P623" t="b" cm="1">
        <f t="array" ref="P623">_xlfn.XLOOKUP(Sales_Data[[#This Row],[Stage]],_xlfn.ANCHORARRAY(Dashboard!$B$20),Dashboard!$D$20:$D$25)</f>
        <v>1</v>
      </c>
      <c r="Q623" t="b" cm="1">
        <f t="array" ref="Q623">_xlfn.XLOOKUP(Sales_Data[[#This Row],[Lead Source]],_xlfn.ANCHORARRAY(Dashboard!$B$28),Dashboard!$D$28:$D$32)</f>
        <v>1</v>
      </c>
      <c r="R623">
        <f>Sales_Data[[#This Row],[Date inc]]*Sales_Data[[#This Row],[Team Inc]]*Sales_Data[[#This Row],[Rep Inc]]*Sales_Data[[#This Row],[Stage Inc]]*Sales_Data[[#This Row],[Source Inc]]</f>
        <v>1</v>
      </c>
    </row>
    <row r="624" spans="1:18" x14ac:dyDescent="0.3">
      <c r="A624" t="s">
        <v>631</v>
      </c>
      <c r="B624" s="2">
        <v>44981</v>
      </c>
      <c r="C624" t="s">
        <v>762</v>
      </c>
      <c r="D624" t="s">
        <v>764</v>
      </c>
      <c r="E624" t="s">
        <v>767</v>
      </c>
      <c r="F624" s="5">
        <v>58800</v>
      </c>
      <c r="G624" t="s">
        <v>780</v>
      </c>
      <c r="H624" s="2">
        <v>45068</v>
      </c>
      <c r="J624" t="str">
        <f>IF(Sales_Data[[#This Row],[Close Date]] &lt;&gt; 0,"Closed", "Open")</f>
        <v>Closed</v>
      </c>
      <c r="K624">
        <f>IF(Sales_Data[[#This Row],[Open/Closed]] = "Closed",Sales_Data[[#This Row],[Close Date]]-Sales_Data[[#This Row],[Created Date]],"")</f>
        <v>87</v>
      </c>
      <c r="L624" s="2">
        <f>EOMONTH(Sales_Data[[#This Row],[Created Date]],0)</f>
        <v>44985</v>
      </c>
      <c r="M624" t="b">
        <f>AND(Sales_Data[[#This Row],[EoM Created]]&gt;=Index!$E$5,Sales_Data[[#This Row],[EoM Created]]&lt;=Index!$E$4)</f>
        <v>0</v>
      </c>
      <c r="N624" t="b" cm="1">
        <f t="array" ref="N624">_xlfn.XLOOKUP(Sales_Data[[#This Row],[Sales Team]],_xlfn.ANCHORARRAY(Dashboard!$B$9),Dashboard!$D$9:$D$10,,0)</f>
        <v>1</v>
      </c>
      <c r="O624" t="b" cm="1">
        <f t="array" ref="O624">_xlfn.XLOOKUP(Sales_Data[[#This Row],[Sales Rep]],_xlfn.ANCHORARRAY(Dashboard!$B$13),Dashboard!$D$13:$D$17,,0)</f>
        <v>1</v>
      </c>
      <c r="P624" t="b" cm="1">
        <f t="array" ref="P624">_xlfn.XLOOKUP(Sales_Data[[#This Row],[Stage]],_xlfn.ANCHORARRAY(Dashboard!$B$20),Dashboard!$D$20:$D$25)</f>
        <v>1</v>
      </c>
      <c r="Q624" t="b" cm="1">
        <f t="array" ref="Q624">_xlfn.XLOOKUP(Sales_Data[[#This Row],[Lead Source]],_xlfn.ANCHORARRAY(Dashboard!$B$28),Dashboard!$D$28:$D$32)</f>
        <v>1</v>
      </c>
      <c r="R624">
        <f>Sales_Data[[#This Row],[Date inc]]*Sales_Data[[#This Row],[Team Inc]]*Sales_Data[[#This Row],[Rep Inc]]*Sales_Data[[#This Row],[Stage Inc]]*Sales_Data[[#This Row],[Source Inc]]</f>
        <v>0</v>
      </c>
    </row>
    <row r="625" spans="1:18" x14ac:dyDescent="0.3">
      <c r="A625" t="s">
        <v>632</v>
      </c>
      <c r="B625" s="2">
        <v>45547</v>
      </c>
      <c r="C625" t="s">
        <v>759</v>
      </c>
      <c r="D625" t="s">
        <v>764</v>
      </c>
      <c r="E625" t="s">
        <v>766</v>
      </c>
      <c r="F625" s="5">
        <v>53500</v>
      </c>
      <c r="G625" t="s">
        <v>781</v>
      </c>
      <c r="H625" s="2">
        <v>45610</v>
      </c>
      <c r="I625" t="s">
        <v>775</v>
      </c>
      <c r="J625" t="str">
        <f>IF(Sales_Data[[#This Row],[Close Date]] &lt;&gt; 0,"Closed", "Open")</f>
        <v>Closed</v>
      </c>
      <c r="K625">
        <f>IF(Sales_Data[[#This Row],[Open/Closed]] = "Closed",Sales_Data[[#This Row],[Close Date]]-Sales_Data[[#This Row],[Created Date]],"")</f>
        <v>63</v>
      </c>
      <c r="L625" s="2">
        <f>EOMONTH(Sales_Data[[#This Row],[Created Date]],0)</f>
        <v>45565</v>
      </c>
      <c r="M625" t="b">
        <f>AND(Sales_Data[[#This Row],[EoM Created]]&gt;=Index!$E$5,Sales_Data[[#This Row],[EoM Created]]&lt;=Index!$E$4)</f>
        <v>1</v>
      </c>
      <c r="N625" t="b" cm="1">
        <f t="array" ref="N625">_xlfn.XLOOKUP(Sales_Data[[#This Row],[Sales Team]],_xlfn.ANCHORARRAY(Dashboard!$B$9),Dashboard!$D$9:$D$10,,0)</f>
        <v>1</v>
      </c>
      <c r="O625" t="b" cm="1">
        <f t="array" ref="O625">_xlfn.XLOOKUP(Sales_Data[[#This Row],[Sales Rep]],_xlfn.ANCHORARRAY(Dashboard!$B$13),Dashboard!$D$13:$D$17,,0)</f>
        <v>1</v>
      </c>
      <c r="P625" t="b" cm="1">
        <f t="array" ref="P625">_xlfn.XLOOKUP(Sales_Data[[#This Row],[Stage]],_xlfn.ANCHORARRAY(Dashboard!$B$20),Dashboard!$D$20:$D$25)</f>
        <v>1</v>
      </c>
      <c r="Q625" t="b" cm="1">
        <f t="array" ref="Q625">_xlfn.XLOOKUP(Sales_Data[[#This Row],[Lead Source]],_xlfn.ANCHORARRAY(Dashboard!$B$28),Dashboard!$D$28:$D$32)</f>
        <v>1</v>
      </c>
      <c r="R625">
        <f>Sales_Data[[#This Row],[Date inc]]*Sales_Data[[#This Row],[Team Inc]]*Sales_Data[[#This Row],[Rep Inc]]*Sales_Data[[#This Row],[Stage Inc]]*Sales_Data[[#This Row],[Source Inc]]</f>
        <v>1</v>
      </c>
    </row>
    <row r="626" spans="1:18" x14ac:dyDescent="0.3">
      <c r="A626" t="s">
        <v>633</v>
      </c>
      <c r="B626" s="2">
        <v>45594</v>
      </c>
      <c r="C626" t="s">
        <v>759</v>
      </c>
      <c r="D626" t="s">
        <v>764</v>
      </c>
      <c r="E626" t="s">
        <v>766</v>
      </c>
      <c r="F626" s="5">
        <v>55900</v>
      </c>
      <c r="G626" t="s">
        <v>781</v>
      </c>
      <c r="H626" s="2">
        <v>45673</v>
      </c>
      <c r="I626" t="s">
        <v>777</v>
      </c>
      <c r="J626" t="str">
        <f>IF(Sales_Data[[#This Row],[Close Date]] &lt;&gt; 0,"Closed", "Open")</f>
        <v>Closed</v>
      </c>
      <c r="K626">
        <f>IF(Sales_Data[[#This Row],[Open/Closed]] = "Closed",Sales_Data[[#This Row],[Close Date]]-Sales_Data[[#This Row],[Created Date]],"")</f>
        <v>79</v>
      </c>
      <c r="L626" s="2">
        <f>EOMONTH(Sales_Data[[#This Row],[Created Date]],0)</f>
        <v>45596</v>
      </c>
      <c r="M626" t="b">
        <f>AND(Sales_Data[[#This Row],[EoM Created]]&gt;=Index!$E$5,Sales_Data[[#This Row],[EoM Created]]&lt;=Index!$E$4)</f>
        <v>1</v>
      </c>
      <c r="N626" t="b" cm="1">
        <f t="array" ref="N626">_xlfn.XLOOKUP(Sales_Data[[#This Row],[Sales Team]],_xlfn.ANCHORARRAY(Dashboard!$B$9),Dashboard!$D$9:$D$10,,0)</f>
        <v>1</v>
      </c>
      <c r="O626" t="b" cm="1">
        <f t="array" ref="O626">_xlfn.XLOOKUP(Sales_Data[[#This Row],[Sales Rep]],_xlfn.ANCHORARRAY(Dashboard!$B$13),Dashboard!$D$13:$D$17,,0)</f>
        <v>1</v>
      </c>
      <c r="P626" t="b" cm="1">
        <f t="array" ref="P626">_xlfn.XLOOKUP(Sales_Data[[#This Row],[Stage]],_xlfn.ANCHORARRAY(Dashboard!$B$20),Dashboard!$D$20:$D$25)</f>
        <v>1</v>
      </c>
      <c r="Q626" t="b" cm="1">
        <f t="array" ref="Q626">_xlfn.XLOOKUP(Sales_Data[[#This Row],[Lead Source]],_xlfn.ANCHORARRAY(Dashboard!$B$28),Dashboard!$D$28:$D$32)</f>
        <v>1</v>
      </c>
      <c r="R626">
        <f>Sales_Data[[#This Row],[Date inc]]*Sales_Data[[#This Row],[Team Inc]]*Sales_Data[[#This Row],[Rep Inc]]*Sales_Data[[#This Row],[Stage Inc]]*Sales_Data[[#This Row],[Source Inc]]</f>
        <v>1</v>
      </c>
    </row>
    <row r="627" spans="1:18" x14ac:dyDescent="0.3">
      <c r="A627" t="s">
        <v>634</v>
      </c>
      <c r="B627" s="2">
        <v>45251</v>
      </c>
      <c r="C627" t="s">
        <v>763</v>
      </c>
      <c r="D627" t="s">
        <v>765</v>
      </c>
      <c r="E627" t="s">
        <v>768</v>
      </c>
      <c r="F627" s="5">
        <v>34900</v>
      </c>
      <c r="G627" t="s">
        <v>781</v>
      </c>
      <c r="H627" s="2">
        <v>45333</v>
      </c>
      <c r="I627" t="s">
        <v>775</v>
      </c>
      <c r="J627" t="str">
        <f>IF(Sales_Data[[#This Row],[Close Date]] &lt;&gt; 0,"Closed", "Open")</f>
        <v>Closed</v>
      </c>
      <c r="K627">
        <f>IF(Sales_Data[[#This Row],[Open/Closed]] = "Closed",Sales_Data[[#This Row],[Close Date]]-Sales_Data[[#This Row],[Created Date]],"")</f>
        <v>82</v>
      </c>
      <c r="L627" s="2">
        <f>EOMONTH(Sales_Data[[#This Row],[Created Date]],0)</f>
        <v>45260</v>
      </c>
      <c r="M627" t="b">
        <f>AND(Sales_Data[[#This Row],[EoM Created]]&gt;=Index!$E$5,Sales_Data[[#This Row],[EoM Created]]&lt;=Index!$E$4)</f>
        <v>1</v>
      </c>
      <c r="N627" t="b" cm="1">
        <f t="array" ref="N627">_xlfn.XLOOKUP(Sales_Data[[#This Row],[Sales Team]],_xlfn.ANCHORARRAY(Dashboard!$B$9),Dashboard!$D$9:$D$10,,0)</f>
        <v>1</v>
      </c>
      <c r="O627" t="b" cm="1">
        <f t="array" ref="O627">_xlfn.XLOOKUP(Sales_Data[[#This Row],[Sales Rep]],_xlfn.ANCHORARRAY(Dashboard!$B$13),Dashboard!$D$13:$D$17,,0)</f>
        <v>1</v>
      </c>
      <c r="P627" t="b" cm="1">
        <f t="array" ref="P627">_xlfn.XLOOKUP(Sales_Data[[#This Row],[Stage]],_xlfn.ANCHORARRAY(Dashboard!$B$20),Dashboard!$D$20:$D$25)</f>
        <v>1</v>
      </c>
      <c r="Q627" t="b" cm="1">
        <f t="array" ref="Q627">_xlfn.XLOOKUP(Sales_Data[[#This Row],[Lead Source]],_xlfn.ANCHORARRAY(Dashboard!$B$28),Dashboard!$D$28:$D$32)</f>
        <v>1</v>
      </c>
      <c r="R627">
        <f>Sales_Data[[#This Row],[Date inc]]*Sales_Data[[#This Row],[Team Inc]]*Sales_Data[[#This Row],[Rep Inc]]*Sales_Data[[#This Row],[Stage Inc]]*Sales_Data[[#This Row],[Source Inc]]</f>
        <v>1</v>
      </c>
    </row>
    <row r="628" spans="1:18" x14ac:dyDescent="0.3">
      <c r="A628" t="s">
        <v>635</v>
      </c>
      <c r="B628" s="2">
        <v>45708</v>
      </c>
      <c r="C628" t="s">
        <v>763</v>
      </c>
      <c r="D628" t="s">
        <v>765</v>
      </c>
      <c r="E628" t="s">
        <v>768</v>
      </c>
      <c r="F628" s="5">
        <v>30100</v>
      </c>
      <c r="G628" t="s">
        <v>781</v>
      </c>
      <c r="H628" s="2">
        <v>45779</v>
      </c>
      <c r="I628" t="s">
        <v>775</v>
      </c>
      <c r="J628" t="str">
        <f>IF(Sales_Data[[#This Row],[Close Date]] &lt;&gt; 0,"Closed", "Open")</f>
        <v>Closed</v>
      </c>
      <c r="K628">
        <f>IF(Sales_Data[[#This Row],[Open/Closed]] = "Closed",Sales_Data[[#This Row],[Close Date]]-Sales_Data[[#This Row],[Created Date]],"")</f>
        <v>71</v>
      </c>
      <c r="L628" s="2">
        <f>EOMONTH(Sales_Data[[#This Row],[Created Date]],0)</f>
        <v>45716</v>
      </c>
      <c r="M628" t="b">
        <f>AND(Sales_Data[[#This Row],[EoM Created]]&gt;=Index!$E$5,Sales_Data[[#This Row],[EoM Created]]&lt;=Index!$E$4)</f>
        <v>1</v>
      </c>
      <c r="N628" t="b" cm="1">
        <f t="array" ref="N628">_xlfn.XLOOKUP(Sales_Data[[#This Row],[Sales Team]],_xlfn.ANCHORARRAY(Dashboard!$B$9),Dashboard!$D$9:$D$10,,0)</f>
        <v>1</v>
      </c>
      <c r="O628" t="b" cm="1">
        <f t="array" ref="O628">_xlfn.XLOOKUP(Sales_Data[[#This Row],[Sales Rep]],_xlfn.ANCHORARRAY(Dashboard!$B$13),Dashboard!$D$13:$D$17,,0)</f>
        <v>1</v>
      </c>
      <c r="P628" t="b" cm="1">
        <f t="array" ref="P628">_xlfn.XLOOKUP(Sales_Data[[#This Row],[Stage]],_xlfn.ANCHORARRAY(Dashboard!$B$20),Dashboard!$D$20:$D$25)</f>
        <v>1</v>
      </c>
      <c r="Q628" t="b" cm="1">
        <f t="array" ref="Q628">_xlfn.XLOOKUP(Sales_Data[[#This Row],[Lead Source]],_xlfn.ANCHORARRAY(Dashboard!$B$28),Dashboard!$D$28:$D$32)</f>
        <v>1</v>
      </c>
      <c r="R628">
        <f>Sales_Data[[#This Row],[Date inc]]*Sales_Data[[#This Row],[Team Inc]]*Sales_Data[[#This Row],[Rep Inc]]*Sales_Data[[#This Row],[Stage Inc]]*Sales_Data[[#This Row],[Source Inc]]</f>
        <v>1</v>
      </c>
    </row>
    <row r="629" spans="1:18" x14ac:dyDescent="0.3">
      <c r="A629" t="s">
        <v>636</v>
      </c>
      <c r="B629" s="2">
        <v>45728</v>
      </c>
      <c r="C629" t="s">
        <v>759</v>
      </c>
      <c r="D629" t="s">
        <v>764</v>
      </c>
      <c r="E629" t="s">
        <v>767</v>
      </c>
      <c r="F629" s="5">
        <v>38700</v>
      </c>
      <c r="G629" t="s">
        <v>780</v>
      </c>
      <c r="H629" s="2">
        <v>45808</v>
      </c>
      <c r="J629" t="str">
        <f>IF(Sales_Data[[#This Row],[Close Date]] &lt;&gt; 0,"Closed", "Open")</f>
        <v>Closed</v>
      </c>
      <c r="K629">
        <f>IF(Sales_Data[[#This Row],[Open/Closed]] = "Closed",Sales_Data[[#This Row],[Close Date]]-Sales_Data[[#This Row],[Created Date]],"")</f>
        <v>80</v>
      </c>
      <c r="L629" s="2">
        <f>EOMONTH(Sales_Data[[#This Row],[Created Date]],0)</f>
        <v>45747</v>
      </c>
      <c r="M629" t="b">
        <f>AND(Sales_Data[[#This Row],[EoM Created]]&gt;=Index!$E$5,Sales_Data[[#This Row],[EoM Created]]&lt;=Index!$E$4)</f>
        <v>1</v>
      </c>
      <c r="N629" t="b" cm="1">
        <f t="array" ref="N629">_xlfn.XLOOKUP(Sales_Data[[#This Row],[Sales Team]],_xlfn.ANCHORARRAY(Dashboard!$B$9),Dashboard!$D$9:$D$10,,0)</f>
        <v>1</v>
      </c>
      <c r="O629" t="b" cm="1">
        <f t="array" ref="O629">_xlfn.XLOOKUP(Sales_Data[[#This Row],[Sales Rep]],_xlfn.ANCHORARRAY(Dashboard!$B$13),Dashboard!$D$13:$D$17,,0)</f>
        <v>1</v>
      </c>
      <c r="P629" t="b" cm="1">
        <f t="array" ref="P629">_xlfn.XLOOKUP(Sales_Data[[#This Row],[Stage]],_xlfn.ANCHORARRAY(Dashboard!$B$20),Dashboard!$D$20:$D$25)</f>
        <v>1</v>
      </c>
      <c r="Q629" t="b" cm="1">
        <f t="array" ref="Q629">_xlfn.XLOOKUP(Sales_Data[[#This Row],[Lead Source]],_xlfn.ANCHORARRAY(Dashboard!$B$28),Dashboard!$D$28:$D$32)</f>
        <v>1</v>
      </c>
      <c r="R629">
        <f>Sales_Data[[#This Row],[Date inc]]*Sales_Data[[#This Row],[Team Inc]]*Sales_Data[[#This Row],[Rep Inc]]*Sales_Data[[#This Row],[Stage Inc]]*Sales_Data[[#This Row],[Source Inc]]</f>
        <v>1</v>
      </c>
    </row>
    <row r="630" spans="1:18" x14ac:dyDescent="0.3">
      <c r="A630" t="s">
        <v>637</v>
      </c>
      <c r="B630" s="2">
        <v>45049</v>
      </c>
      <c r="C630" t="s">
        <v>763</v>
      </c>
      <c r="D630" t="s">
        <v>765</v>
      </c>
      <c r="E630" t="s">
        <v>770</v>
      </c>
      <c r="F630" s="5">
        <v>40600</v>
      </c>
      <c r="G630" t="s">
        <v>780</v>
      </c>
      <c r="H630" s="2">
        <v>45117</v>
      </c>
      <c r="J630" t="str">
        <f>IF(Sales_Data[[#This Row],[Close Date]] &lt;&gt; 0,"Closed", "Open")</f>
        <v>Closed</v>
      </c>
      <c r="K630">
        <f>IF(Sales_Data[[#This Row],[Open/Closed]] = "Closed",Sales_Data[[#This Row],[Close Date]]-Sales_Data[[#This Row],[Created Date]],"")</f>
        <v>68</v>
      </c>
      <c r="L630" s="2">
        <f>EOMONTH(Sales_Data[[#This Row],[Created Date]],0)</f>
        <v>45077</v>
      </c>
      <c r="M630" t="b">
        <f>AND(Sales_Data[[#This Row],[EoM Created]]&gt;=Index!$E$5,Sales_Data[[#This Row],[EoM Created]]&lt;=Index!$E$4)</f>
        <v>0</v>
      </c>
      <c r="N630" t="b" cm="1">
        <f t="array" ref="N630">_xlfn.XLOOKUP(Sales_Data[[#This Row],[Sales Team]],_xlfn.ANCHORARRAY(Dashboard!$B$9),Dashboard!$D$9:$D$10,,0)</f>
        <v>1</v>
      </c>
      <c r="O630" t="b" cm="1">
        <f t="array" ref="O630">_xlfn.XLOOKUP(Sales_Data[[#This Row],[Sales Rep]],_xlfn.ANCHORARRAY(Dashboard!$B$13),Dashboard!$D$13:$D$17,,0)</f>
        <v>1</v>
      </c>
      <c r="P630" t="b" cm="1">
        <f t="array" ref="P630">_xlfn.XLOOKUP(Sales_Data[[#This Row],[Stage]],_xlfn.ANCHORARRAY(Dashboard!$B$20),Dashboard!$D$20:$D$25)</f>
        <v>1</v>
      </c>
      <c r="Q630" t="b" cm="1">
        <f t="array" ref="Q630">_xlfn.XLOOKUP(Sales_Data[[#This Row],[Lead Source]],_xlfn.ANCHORARRAY(Dashboard!$B$28),Dashboard!$D$28:$D$32)</f>
        <v>1</v>
      </c>
      <c r="R630">
        <f>Sales_Data[[#This Row],[Date inc]]*Sales_Data[[#This Row],[Team Inc]]*Sales_Data[[#This Row],[Rep Inc]]*Sales_Data[[#This Row],[Stage Inc]]*Sales_Data[[#This Row],[Source Inc]]</f>
        <v>0</v>
      </c>
    </row>
    <row r="631" spans="1:18" x14ac:dyDescent="0.3">
      <c r="A631" t="s">
        <v>638</v>
      </c>
      <c r="B631" s="2">
        <v>45597</v>
      </c>
      <c r="C631" t="s">
        <v>759</v>
      </c>
      <c r="D631" t="s">
        <v>764</v>
      </c>
      <c r="E631" t="s">
        <v>766</v>
      </c>
      <c r="F631" s="5">
        <v>50900</v>
      </c>
      <c r="G631" t="s">
        <v>781</v>
      </c>
      <c r="H631" s="2">
        <v>45663</v>
      </c>
      <c r="I631" t="s">
        <v>777</v>
      </c>
      <c r="J631" t="str">
        <f>IF(Sales_Data[[#This Row],[Close Date]] &lt;&gt; 0,"Closed", "Open")</f>
        <v>Closed</v>
      </c>
      <c r="K631">
        <f>IF(Sales_Data[[#This Row],[Open/Closed]] = "Closed",Sales_Data[[#This Row],[Close Date]]-Sales_Data[[#This Row],[Created Date]],"")</f>
        <v>66</v>
      </c>
      <c r="L631" s="2">
        <f>EOMONTH(Sales_Data[[#This Row],[Created Date]],0)</f>
        <v>45626</v>
      </c>
      <c r="M631" t="b">
        <f>AND(Sales_Data[[#This Row],[EoM Created]]&gt;=Index!$E$5,Sales_Data[[#This Row],[EoM Created]]&lt;=Index!$E$4)</f>
        <v>1</v>
      </c>
      <c r="N631" t="b" cm="1">
        <f t="array" ref="N631">_xlfn.XLOOKUP(Sales_Data[[#This Row],[Sales Team]],_xlfn.ANCHORARRAY(Dashboard!$B$9),Dashboard!$D$9:$D$10,,0)</f>
        <v>1</v>
      </c>
      <c r="O631" t="b" cm="1">
        <f t="array" ref="O631">_xlfn.XLOOKUP(Sales_Data[[#This Row],[Sales Rep]],_xlfn.ANCHORARRAY(Dashboard!$B$13),Dashboard!$D$13:$D$17,,0)</f>
        <v>1</v>
      </c>
      <c r="P631" t="b" cm="1">
        <f t="array" ref="P631">_xlfn.XLOOKUP(Sales_Data[[#This Row],[Stage]],_xlfn.ANCHORARRAY(Dashboard!$B$20),Dashboard!$D$20:$D$25)</f>
        <v>1</v>
      </c>
      <c r="Q631" t="b" cm="1">
        <f t="array" ref="Q631">_xlfn.XLOOKUP(Sales_Data[[#This Row],[Lead Source]],_xlfn.ANCHORARRAY(Dashboard!$B$28),Dashboard!$D$28:$D$32)</f>
        <v>1</v>
      </c>
      <c r="R631">
        <f>Sales_Data[[#This Row],[Date inc]]*Sales_Data[[#This Row],[Team Inc]]*Sales_Data[[#This Row],[Rep Inc]]*Sales_Data[[#This Row],[Stage Inc]]*Sales_Data[[#This Row],[Source Inc]]</f>
        <v>1</v>
      </c>
    </row>
    <row r="632" spans="1:18" x14ac:dyDescent="0.3">
      <c r="A632" t="s">
        <v>639</v>
      </c>
      <c r="B632" s="2">
        <v>45657</v>
      </c>
      <c r="C632" t="s">
        <v>763</v>
      </c>
      <c r="D632" t="s">
        <v>765</v>
      </c>
      <c r="E632" t="s">
        <v>768</v>
      </c>
      <c r="F632" s="5">
        <v>23100</v>
      </c>
      <c r="G632" t="s">
        <v>781</v>
      </c>
      <c r="H632" s="2">
        <v>45732</v>
      </c>
      <c r="I632" t="s">
        <v>779</v>
      </c>
      <c r="J632" t="str">
        <f>IF(Sales_Data[[#This Row],[Close Date]] &lt;&gt; 0,"Closed", "Open")</f>
        <v>Closed</v>
      </c>
      <c r="K632">
        <f>IF(Sales_Data[[#This Row],[Open/Closed]] = "Closed",Sales_Data[[#This Row],[Close Date]]-Sales_Data[[#This Row],[Created Date]],"")</f>
        <v>75</v>
      </c>
      <c r="L632" s="2">
        <f>EOMONTH(Sales_Data[[#This Row],[Created Date]],0)</f>
        <v>45657</v>
      </c>
      <c r="M632" t="b">
        <f>AND(Sales_Data[[#This Row],[EoM Created]]&gt;=Index!$E$5,Sales_Data[[#This Row],[EoM Created]]&lt;=Index!$E$4)</f>
        <v>1</v>
      </c>
      <c r="N632" t="b" cm="1">
        <f t="array" ref="N632">_xlfn.XLOOKUP(Sales_Data[[#This Row],[Sales Team]],_xlfn.ANCHORARRAY(Dashboard!$B$9),Dashboard!$D$9:$D$10,,0)</f>
        <v>1</v>
      </c>
      <c r="O632" t="b" cm="1">
        <f t="array" ref="O632">_xlfn.XLOOKUP(Sales_Data[[#This Row],[Sales Rep]],_xlfn.ANCHORARRAY(Dashboard!$B$13),Dashboard!$D$13:$D$17,,0)</f>
        <v>1</v>
      </c>
      <c r="P632" t="b" cm="1">
        <f t="array" ref="P632">_xlfn.XLOOKUP(Sales_Data[[#This Row],[Stage]],_xlfn.ANCHORARRAY(Dashboard!$B$20),Dashboard!$D$20:$D$25)</f>
        <v>1</v>
      </c>
      <c r="Q632" t="b" cm="1">
        <f t="array" ref="Q632">_xlfn.XLOOKUP(Sales_Data[[#This Row],[Lead Source]],_xlfn.ANCHORARRAY(Dashboard!$B$28),Dashboard!$D$28:$D$32)</f>
        <v>1</v>
      </c>
      <c r="R632">
        <f>Sales_Data[[#This Row],[Date inc]]*Sales_Data[[#This Row],[Team Inc]]*Sales_Data[[#This Row],[Rep Inc]]*Sales_Data[[#This Row],[Stage Inc]]*Sales_Data[[#This Row],[Source Inc]]</f>
        <v>1</v>
      </c>
    </row>
    <row r="633" spans="1:18" x14ac:dyDescent="0.3">
      <c r="A633" t="s">
        <v>640</v>
      </c>
      <c r="B633" s="2">
        <v>45270</v>
      </c>
      <c r="C633" t="s">
        <v>762</v>
      </c>
      <c r="D633" t="s">
        <v>764</v>
      </c>
      <c r="E633" t="s">
        <v>766</v>
      </c>
      <c r="F633" s="5">
        <v>55300</v>
      </c>
      <c r="G633" t="s">
        <v>781</v>
      </c>
      <c r="H633" s="2">
        <v>45345</v>
      </c>
      <c r="I633" t="s">
        <v>778</v>
      </c>
      <c r="J633" t="str">
        <f>IF(Sales_Data[[#This Row],[Close Date]] &lt;&gt; 0,"Closed", "Open")</f>
        <v>Closed</v>
      </c>
      <c r="K633">
        <f>IF(Sales_Data[[#This Row],[Open/Closed]] = "Closed",Sales_Data[[#This Row],[Close Date]]-Sales_Data[[#This Row],[Created Date]],"")</f>
        <v>75</v>
      </c>
      <c r="L633" s="2">
        <f>EOMONTH(Sales_Data[[#This Row],[Created Date]],0)</f>
        <v>45291</v>
      </c>
      <c r="M633" t="b">
        <f>AND(Sales_Data[[#This Row],[EoM Created]]&gt;=Index!$E$5,Sales_Data[[#This Row],[EoM Created]]&lt;=Index!$E$4)</f>
        <v>1</v>
      </c>
      <c r="N633" t="b" cm="1">
        <f t="array" ref="N633">_xlfn.XLOOKUP(Sales_Data[[#This Row],[Sales Team]],_xlfn.ANCHORARRAY(Dashboard!$B$9),Dashboard!$D$9:$D$10,,0)</f>
        <v>1</v>
      </c>
      <c r="O633" t="b" cm="1">
        <f t="array" ref="O633">_xlfn.XLOOKUP(Sales_Data[[#This Row],[Sales Rep]],_xlfn.ANCHORARRAY(Dashboard!$B$13),Dashboard!$D$13:$D$17,,0)</f>
        <v>1</v>
      </c>
      <c r="P633" t="b" cm="1">
        <f t="array" ref="P633">_xlfn.XLOOKUP(Sales_Data[[#This Row],[Stage]],_xlfn.ANCHORARRAY(Dashboard!$B$20),Dashboard!$D$20:$D$25)</f>
        <v>1</v>
      </c>
      <c r="Q633" t="b" cm="1">
        <f t="array" ref="Q633">_xlfn.XLOOKUP(Sales_Data[[#This Row],[Lead Source]],_xlfn.ANCHORARRAY(Dashboard!$B$28),Dashboard!$D$28:$D$32)</f>
        <v>1</v>
      </c>
      <c r="R633">
        <f>Sales_Data[[#This Row],[Date inc]]*Sales_Data[[#This Row],[Team Inc]]*Sales_Data[[#This Row],[Rep Inc]]*Sales_Data[[#This Row],[Stage Inc]]*Sales_Data[[#This Row],[Source Inc]]</f>
        <v>1</v>
      </c>
    </row>
    <row r="634" spans="1:18" x14ac:dyDescent="0.3">
      <c r="A634" t="s">
        <v>641</v>
      </c>
      <c r="B634" s="2">
        <v>44947</v>
      </c>
      <c r="C634" t="s">
        <v>760</v>
      </c>
      <c r="D634" t="s">
        <v>764</v>
      </c>
      <c r="E634" t="s">
        <v>767</v>
      </c>
      <c r="F634" s="5">
        <v>38400</v>
      </c>
      <c r="G634" t="s">
        <v>781</v>
      </c>
      <c r="H634" s="2">
        <v>45019</v>
      </c>
      <c r="I634" t="s">
        <v>775</v>
      </c>
      <c r="J634" t="str">
        <f>IF(Sales_Data[[#This Row],[Close Date]] &lt;&gt; 0,"Closed", "Open")</f>
        <v>Closed</v>
      </c>
      <c r="K634">
        <f>IF(Sales_Data[[#This Row],[Open/Closed]] = "Closed",Sales_Data[[#This Row],[Close Date]]-Sales_Data[[#This Row],[Created Date]],"")</f>
        <v>72</v>
      </c>
      <c r="L634" s="2">
        <f>EOMONTH(Sales_Data[[#This Row],[Created Date]],0)</f>
        <v>44957</v>
      </c>
      <c r="M634" t="b">
        <f>AND(Sales_Data[[#This Row],[EoM Created]]&gt;=Index!$E$5,Sales_Data[[#This Row],[EoM Created]]&lt;=Index!$E$4)</f>
        <v>0</v>
      </c>
      <c r="N634" t="b" cm="1">
        <f t="array" ref="N634">_xlfn.XLOOKUP(Sales_Data[[#This Row],[Sales Team]],_xlfn.ANCHORARRAY(Dashboard!$B$9),Dashboard!$D$9:$D$10,,0)</f>
        <v>1</v>
      </c>
      <c r="O634" t="b" cm="1">
        <f t="array" ref="O634">_xlfn.XLOOKUP(Sales_Data[[#This Row],[Sales Rep]],_xlfn.ANCHORARRAY(Dashboard!$B$13),Dashboard!$D$13:$D$17,,0)</f>
        <v>1</v>
      </c>
      <c r="P634" t="b" cm="1">
        <f t="array" ref="P634">_xlfn.XLOOKUP(Sales_Data[[#This Row],[Stage]],_xlfn.ANCHORARRAY(Dashboard!$B$20),Dashboard!$D$20:$D$25)</f>
        <v>1</v>
      </c>
      <c r="Q634" t="b" cm="1">
        <f t="array" ref="Q634">_xlfn.XLOOKUP(Sales_Data[[#This Row],[Lead Source]],_xlfn.ANCHORARRAY(Dashboard!$B$28),Dashboard!$D$28:$D$32)</f>
        <v>1</v>
      </c>
      <c r="R634">
        <f>Sales_Data[[#This Row],[Date inc]]*Sales_Data[[#This Row],[Team Inc]]*Sales_Data[[#This Row],[Rep Inc]]*Sales_Data[[#This Row],[Stage Inc]]*Sales_Data[[#This Row],[Source Inc]]</f>
        <v>0</v>
      </c>
    </row>
    <row r="635" spans="1:18" x14ac:dyDescent="0.3">
      <c r="A635" t="s">
        <v>642</v>
      </c>
      <c r="B635" s="2">
        <v>45629</v>
      </c>
      <c r="C635" t="s">
        <v>761</v>
      </c>
      <c r="D635" t="s">
        <v>765</v>
      </c>
      <c r="E635" t="s">
        <v>770</v>
      </c>
      <c r="F635" s="5">
        <v>35700</v>
      </c>
      <c r="G635" t="s">
        <v>781</v>
      </c>
      <c r="H635" s="2">
        <v>45700</v>
      </c>
      <c r="I635" t="s">
        <v>779</v>
      </c>
      <c r="J635" t="str">
        <f>IF(Sales_Data[[#This Row],[Close Date]] &lt;&gt; 0,"Closed", "Open")</f>
        <v>Closed</v>
      </c>
      <c r="K635">
        <f>IF(Sales_Data[[#This Row],[Open/Closed]] = "Closed",Sales_Data[[#This Row],[Close Date]]-Sales_Data[[#This Row],[Created Date]],"")</f>
        <v>71</v>
      </c>
      <c r="L635" s="2">
        <f>EOMONTH(Sales_Data[[#This Row],[Created Date]],0)</f>
        <v>45657</v>
      </c>
      <c r="M635" t="b">
        <f>AND(Sales_Data[[#This Row],[EoM Created]]&gt;=Index!$E$5,Sales_Data[[#This Row],[EoM Created]]&lt;=Index!$E$4)</f>
        <v>1</v>
      </c>
      <c r="N635" t="b" cm="1">
        <f t="array" ref="N635">_xlfn.XLOOKUP(Sales_Data[[#This Row],[Sales Team]],_xlfn.ANCHORARRAY(Dashboard!$B$9),Dashboard!$D$9:$D$10,,0)</f>
        <v>1</v>
      </c>
      <c r="O635" t="b" cm="1">
        <f t="array" ref="O635">_xlfn.XLOOKUP(Sales_Data[[#This Row],[Sales Rep]],_xlfn.ANCHORARRAY(Dashboard!$B$13),Dashboard!$D$13:$D$17,,0)</f>
        <v>1</v>
      </c>
      <c r="P635" t="b" cm="1">
        <f t="array" ref="P635">_xlfn.XLOOKUP(Sales_Data[[#This Row],[Stage]],_xlfn.ANCHORARRAY(Dashboard!$B$20),Dashboard!$D$20:$D$25)</f>
        <v>1</v>
      </c>
      <c r="Q635" t="b" cm="1">
        <f t="array" ref="Q635">_xlfn.XLOOKUP(Sales_Data[[#This Row],[Lead Source]],_xlfn.ANCHORARRAY(Dashboard!$B$28),Dashboard!$D$28:$D$32)</f>
        <v>1</v>
      </c>
      <c r="R635">
        <f>Sales_Data[[#This Row],[Date inc]]*Sales_Data[[#This Row],[Team Inc]]*Sales_Data[[#This Row],[Rep Inc]]*Sales_Data[[#This Row],[Stage Inc]]*Sales_Data[[#This Row],[Source Inc]]</f>
        <v>1</v>
      </c>
    </row>
    <row r="636" spans="1:18" x14ac:dyDescent="0.3">
      <c r="A636" t="s">
        <v>643</v>
      </c>
      <c r="B636" s="2">
        <v>45360</v>
      </c>
      <c r="C636" t="s">
        <v>763</v>
      </c>
      <c r="D636" t="s">
        <v>765</v>
      </c>
      <c r="E636" t="s">
        <v>770</v>
      </c>
      <c r="F636" s="5">
        <v>29900</v>
      </c>
      <c r="G636" t="s">
        <v>781</v>
      </c>
      <c r="H636" s="2">
        <v>45430</v>
      </c>
      <c r="I636" t="s">
        <v>778</v>
      </c>
      <c r="J636" t="str">
        <f>IF(Sales_Data[[#This Row],[Close Date]] &lt;&gt; 0,"Closed", "Open")</f>
        <v>Closed</v>
      </c>
      <c r="K636">
        <f>IF(Sales_Data[[#This Row],[Open/Closed]] = "Closed",Sales_Data[[#This Row],[Close Date]]-Sales_Data[[#This Row],[Created Date]],"")</f>
        <v>70</v>
      </c>
      <c r="L636" s="2">
        <f>EOMONTH(Sales_Data[[#This Row],[Created Date]],0)</f>
        <v>45382</v>
      </c>
      <c r="M636" t="b">
        <f>AND(Sales_Data[[#This Row],[EoM Created]]&gt;=Index!$E$5,Sales_Data[[#This Row],[EoM Created]]&lt;=Index!$E$4)</f>
        <v>1</v>
      </c>
      <c r="N636" t="b" cm="1">
        <f t="array" ref="N636">_xlfn.XLOOKUP(Sales_Data[[#This Row],[Sales Team]],_xlfn.ANCHORARRAY(Dashboard!$B$9),Dashboard!$D$9:$D$10,,0)</f>
        <v>1</v>
      </c>
      <c r="O636" t="b" cm="1">
        <f t="array" ref="O636">_xlfn.XLOOKUP(Sales_Data[[#This Row],[Sales Rep]],_xlfn.ANCHORARRAY(Dashboard!$B$13),Dashboard!$D$13:$D$17,,0)</f>
        <v>1</v>
      </c>
      <c r="P636" t="b" cm="1">
        <f t="array" ref="P636">_xlfn.XLOOKUP(Sales_Data[[#This Row],[Stage]],_xlfn.ANCHORARRAY(Dashboard!$B$20),Dashboard!$D$20:$D$25)</f>
        <v>1</v>
      </c>
      <c r="Q636" t="b" cm="1">
        <f t="array" ref="Q636">_xlfn.XLOOKUP(Sales_Data[[#This Row],[Lead Source]],_xlfn.ANCHORARRAY(Dashboard!$B$28),Dashboard!$D$28:$D$32)</f>
        <v>1</v>
      </c>
      <c r="R636">
        <f>Sales_Data[[#This Row],[Date inc]]*Sales_Data[[#This Row],[Team Inc]]*Sales_Data[[#This Row],[Rep Inc]]*Sales_Data[[#This Row],[Stage Inc]]*Sales_Data[[#This Row],[Source Inc]]</f>
        <v>1</v>
      </c>
    </row>
    <row r="637" spans="1:18" x14ac:dyDescent="0.3">
      <c r="A637" t="s">
        <v>644</v>
      </c>
      <c r="B637" s="2">
        <v>45051</v>
      </c>
      <c r="C637" t="s">
        <v>763</v>
      </c>
      <c r="D637" t="s">
        <v>765</v>
      </c>
      <c r="E637" t="s">
        <v>769</v>
      </c>
      <c r="F637" s="5">
        <v>23500</v>
      </c>
      <c r="G637" t="s">
        <v>780</v>
      </c>
      <c r="H637" s="2">
        <v>45136</v>
      </c>
      <c r="J637" t="str">
        <f>IF(Sales_Data[[#This Row],[Close Date]] &lt;&gt; 0,"Closed", "Open")</f>
        <v>Closed</v>
      </c>
      <c r="K637">
        <f>IF(Sales_Data[[#This Row],[Open/Closed]] = "Closed",Sales_Data[[#This Row],[Close Date]]-Sales_Data[[#This Row],[Created Date]],"")</f>
        <v>85</v>
      </c>
      <c r="L637" s="2">
        <f>EOMONTH(Sales_Data[[#This Row],[Created Date]],0)</f>
        <v>45077</v>
      </c>
      <c r="M637" t="b">
        <f>AND(Sales_Data[[#This Row],[EoM Created]]&gt;=Index!$E$5,Sales_Data[[#This Row],[EoM Created]]&lt;=Index!$E$4)</f>
        <v>0</v>
      </c>
      <c r="N637" t="b" cm="1">
        <f t="array" ref="N637">_xlfn.XLOOKUP(Sales_Data[[#This Row],[Sales Team]],_xlfn.ANCHORARRAY(Dashboard!$B$9),Dashboard!$D$9:$D$10,,0)</f>
        <v>1</v>
      </c>
      <c r="O637" t="b" cm="1">
        <f t="array" ref="O637">_xlfn.XLOOKUP(Sales_Data[[#This Row],[Sales Rep]],_xlfn.ANCHORARRAY(Dashboard!$B$13),Dashboard!$D$13:$D$17,,0)</f>
        <v>1</v>
      </c>
      <c r="P637" t="b" cm="1">
        <f t="array" ref="P637">_xlfn.XLOOKUP(Sales_Data[[#This Row],[Stage]],_xlfn.ANCHORARRAY(Dashboard!$B$20),Dashboard!$D$20:$D$25)</f>
        <v>1</v>
      </c>
      <c r="Q637" t="b" cm="1">
        <f t="array" ref="Q637">_xlfn.XLOOKUP(Sales_Data[[#This Row],[Lead Source]],_xlfn.ANCHORARRAY(Dashboard!$B$28),Dashboard!$D$28:$D$32)</f>
        <v>1</v>
      </c>
      <c r="R637">
        <f>Sales_Data[[#This Row],[Date inc]]*Sales_Data[[#This Row],[Team Inc]]*Sales_Data[[#This Row],[Rep Inc]]*Sales_Data[[#This Row],[Stage Inc]]*Sales_Data[[#This Row],[Source Inc]]</f>
        <v>0</v>
      </c>
    </row>
    <row r="638" spans="1:18" x14ac:dyDescent="0.3">
      <c r="A638" t="s">
        <v>645</v>
      </c>
      <c r="B638" s="2">
        <v>45571</v>
      </c>
      <c r="C638" t="s">
        <v>761</v>
      </c>
      <c r="D638" t="s">
        <v>765</v>
      </c>
      <c r="E638" t="s">
        <v>770</v>
      </c>
      <c r="F638" s="5">
        <v>48200</v>
      </c>
      <c r="G638" t="s">
        <v>781</v>
      </c>
      <c r="H638" s="2">
        <v>45646</v>
      </c>
      <c r="I638" t="s">
        <v>779</v>
      </c>
      <c r="J638" t="str">
        <f>IF(Sales_Data[[#This Row],[Close Date]] &lt;&gt; 0,"Closed", "Open")</f>
        <v>Closed</v>
      </c>
      <c r="K638">
        <f>IF(Sales_Data[[#This Row],[Open/Closed]] = "Closed",Sales_Data[[#This Row],[Close Date]]-Sales_Data[[#This Row],[Created Date]],"")</f>
        <v>75</v>
      </c>
      <c r="L638" s="2">
        <f>EOMONTH(Sales_Data[[#This Row],[Created Date]],0)</f>
        <v>45596</v>
      </c>
      <c r="M638" t="b">
        <f>AND(Sales_Data[[#This Row],[EoM Created]]&gt;=Index!$E$5,Sales_Data[[#This Row],[EoM Created]]&lt;=Index!$E$4)</f>
        <v>1</v>
      </c>
      <c r="N638" t="b" cm="1">
        <f t="array" ref="N638">_xlfn.XLOOKUP(Sales_Data[[#This Row],[Sales Team]],_xlfn.ANCHORARRAY(Dashboard!$B$9),Dashboard!$D$9:$D$10,,0)</f>
        <v>1</v>
      </c>
      <c r="O638" t="b" cm="1">
        <f t="array" ref="O638">_xlfn.XLOOKUP(Sales_Data[[#This Row],[Sales Rep]],_xlfn.ANCHORARRAY(Dashboard!$B$13),Dashboard!$D$13:$D$17,,0)</f>
        <v>1</v>
      </c>
      <c r="P638" t="b" cm="1">
        <f t="array" ref="P638">_xlfn.XLOOKUP(Sales_Data[[#This Row],[Stage]],_xlfn.ANCHORARRAY(Dashboard!$B$20),Dashboard!$D$20:$D$25)</f>
        <v>1</v>
      </c>
      <c r="Q638" t="b" cm="1">
        <f t="array" ref="Q638">_xlfn.XLOOKUP(Sales_Data[[#This Row],[Lead Source]],_xlfn.ANCHORARRAY(Dashboard!$B$28),Dashboard!$D$28:$D$32)</f>
        <v>1</v>
      </c>
      <c r="R638">
        <f>Sales_Data[[#This Row],[Date inc]]*Sales_Data[[#This Row],[Team Inc]]*Sales_Data[[#This Row],[Rep Inc]]*Sales_Data[[#This Row],[Stage Inc]]*Sales_Data[[#This Row],[Source Inc]]</f>
        <v>1</v>
      </c>
    </row>
    <row r="639" spans="1:18" x14ac:dyDescent="0.3">
      <c r="A639" t="s">
        <v>646</v>
      </c>
      <c r="B639" s="2">
        <v>44976</v>
      </c>
      <c r="C639" t="s">
        <v>761</v>
      </c>
      <c r="D639" t="s">
        <v>765</v>
      </c>
      <c r="E639" t="s">
        <v>769</v>
      </c>
      <c r="F639" s="5">
        <v>40700</v>
      </c>
      <c r="G639" t="s">
        <v>781</v>
      </c>
      <c r="H639" s="2">
        <v>45042</v>
      </c>
      <c r="I639" t="s">
        <v>778</v>
      </c>
      <c r="J639" t="str">
        <f>IF(Sales_Data[[#This Row],[Close Date]] &lt;&gt; 0,"Closed", "Open")</f>
        <v>Closed</v>
      </c>
      <c r="K639">
        <f>IF(Sales_Data[[#This Row],[Open/Closed]] = "Closed",Sales_Data[[#This Row],[Close Date]]-Sales_Data[[#This Row],[Created Date]],"")</f>
        <v>66</v>
      </c>
      <c r="L639" s="2">
        <f>EOMONTH(Sales_Data[[#This Row],[Created Date]],0)</f>
        <v>44985</v>
      </c>
      <c r="M639" t="b">
        <f>AND(Sales_Data[[#This Row],[EoM Created]]&gt;=Index!$E$5,Sales_Data[[#This Row],[EoM Created]]&lt;=Index!$E$4)</f>
        <v>0</v>
      </c>
      <c r="N639" t="b" cm="1">
        <f t="array" ref="N639">_xlfn.XLOOKUP(Sales_Data[[#This Row],[Sales Team]],_xlfn.ANCHORARRAY(Dashboard!$B$9),Dashboard!$D$9:$D$10,,0)</f>
        <v>1</v>
      </c>
      <c r="O639" t="b" cm="1">
        <f t="array" ref="O639">_xlfn.XLOOKUP(Sales_Data[[#This Row],[Sales Rep]],_xlfn.ANCHORARRAY(Dashboard!$B$13),Dashboard!$D$13:$D$17,,0)</f>
        <v>1</v>
      </c>
      <c r="P639" t="b" cm="1">
        <f t="array" ref="P639">_xlfn.XLOOKUP(Sales_Data[[#This Row],[Stage]],_xlfn.ANCHORARRAY(Dashboard!$B$20),Dashboard!$D$20:$D$25)</f>
        <v>1</v>
      </c>
      <c r="Q639" t="b" cm="1">
        <f t="array" ref="Q639">_xlfn.XLOOKUP(Sales_Data[[#This Row],[Lead Source]],_xlfn.ANCHORARRAY(Dashboard!$B$28),Dashboard!$D$28:$D$32)</f>
        <v>1</v>
      </c>
      <c r="R639">
        <f>Sales_Data[[#This Row],[Date inc]]*Sales_Data[[#This Row],[Team Inc]]*Sales_Data[[#This Row],[Rep Inc]]*Sales_Data[[#This Row],[Stage Inc]]*Sales_Data[[#This Row],[Source Inc]]</f>
        <v>0</v>
      </c>
    </row>
    <row r="640" spans="1:18" x14ac:dyDescent="0.3">
      <c r="A640" t="s">
        <v>647</v>
      </c>
      <c r="B640" s="2">
        <v>45177</v>
      </c>
      <c r="C640" t="s">
        <v>762</v>
      </c>
      <c r="D640" t="s">
        <v>764</v>
      </c>
      <c r="E640" t="s">
        <v>767</v>
      </c>
      <c r="F640" s="5">
        <v>27100</v>
      </c>
      <c r="G640" t="s">
        <v>780</v>
      </c>
      <c r="H640" s="2">
        <v>45266</v>
      </c>
      <c r="J640" t="str">
        <f>IF(Sales_Data[[#This Row],[Close Date]] &lt;&gt; 0,"Closed", "Open")</f>
        <v>Closed</v>
      </c>
      <c r="K640">
        <f>IF(Sales_Data[[#This Row],[Open/Closed]] = "Closed",Sales_Data[[#This Row],[Close Date]]-Sales_Data[[#This Row],[Created Date]],"")</f>
        <v>89</v>
      </c>
      <c r="L640" s="2">
        <f>EOMONTH(Sales_Data[[#This Row],[Created Date]],0)</f>
        <v>45199</v>
      </c>
      <c r="M640" t="b">
        <f>AND(Sales_Data[[#This Row],[EoM Created]]&gt;=Index!$E$5,Sales_Data[[#This Row],[EoM Created]]&lt;=Index!$E$4)</f>
        <v>1</v>
      </c>
      <c r="N640" t="b" cm="1">
        <f t="array" ref="N640">_xlfn.XLOOKUP(Sales_Data[[#This Row],[Sales Team]],_xlfn.ANCHORARRAY(Dashboard!$B$9),Dashboard!$D$9:$D$10,,0)</f>
        <v>1</v>
      </c>
      <c r="O640" t="b" cm="1">
        <f t="array" ref="O640">_xlfn.XLOOKUP(Sales_Data[[#This Row],[Sales Rep]],_xlfn.ANCHORARRAY(Dashboard!$B$13),Dashboard!$D$13:$D$17,,0)</f>
        <v>1</v>
      </c>
      <c r="P640" t="b" cm="1">
        <f t="array" ref="P640">_xlfn.XLOOKUP(Sales_Data[[#This Row],[Stage]],_xlfn.ANCHORARRAY(Dashboard!$B$20),Dashboard!$D$20:$D$25)</f>
        <v>1</v>
      </c>
      <c r="Q640" t="b" cm="1">
        <f t="array" ref="Q640">_xlfn.XLOOKUP(Sales_Data[[#This Row],[Lead Source]],_xlfn.ANCHORARRAY(Dashboard!$B$28),Dashboard!$D$28:$D$32)</f>
        <v>1</v>
      </c>
      <c r="R640">
        <f>Sales_Data[[#This Row],[Date inc]]*Sales_Data[[#This Row],[Team Inc]]*Sales_Data[[#This Row],[Rep Inc]]*Sales_Data[[#This Row],[Stage Inc]]*Sales_Data[[#This Row],[Source Inc]]</f>
        <v>1</v>
      </c>
    </row>
    <row r="641" spans="1:18" x14ac:dyDescent="0.3">
      <c r="A641" t="s">
        <v>648</v>
      </c>
      <c r="B641" s="2">
        <v>45462</v>
      </c>
      <c r="C641" t="s">
        <v>762</v>
      </c>
      <c r="D641" t="s">
        <v>764</v>
      </c>
      <c r="E641" t="s">
        <v>767</v>
      </c>
      <c r="F641" s="5">
        <v>27000</v>
      </c>
      <c r="G641" t="s">
        <v>781</v>
      </c>
      <c r="H641" s="2">
        <v>45526</v>
      </c>
      <c r="I641" t="s">
        <v>779</v>
      </c>
      <c r="J641" t="str">
        <f>IF(Sales_Data[[#This Row],[Close Date]] &lt;&gt; 0,"Closed", "Open")</f>
        <v>Closed</v>
      </c>
      <c r="K641">
        <f>IF(Sales_Data[[#This Row],[Open/Closed]] = "Closed",Sales_Data[[#This Row],[Close Date]]-Sales_Data[[#This Row],[Created Date]],"")</f>
        <v>64</v>
      </c>
      <c r="L641" s="2">
        <f>EOMONTH(Sales_Data[[#This Row],[Created Date]],0)</f>
        <v>45473</v>
      </c>
      <c r="M641" t="b">
        <f>AND(Sales_Data[[#This Row],[EoM Created]]&gt;=Index!$E$5,Sales_Data[[#This Row],[EoM Created]]&lt;=Index!$E$4)</f>
        <v>1</v>
      </c>
      <c r="N641" t="b" cm="1">
        <f t="array" ref="N641">_xlfn.XLOOKUP(Sales_Data[[#This Row],[Sales Team]],_xlfn.ANCHORARRAY(Dashboard!$B$9),Dashboard!$D$9:$D$10,,0)</f>
        <v>1</v>
      </c>
      <c r="O641" t="b" cm="1">
        <f t="array" ref="O641">_xlfn.XLOOKUP(Sales_Data[[#This Row],[Sales Rep]],_xlfn.ANCHORARRAY(Dashboard!$B$13),Dashboard!$D$13:$D$17,,0)</f>
        <v>1</v>
      </c>
      <c r="P641" t="b" cm="1">
        <f t="array" ref="P641">_xlfn.XLOOKUP(Sales_Data[[#This Row],[Stage]],_xlfn.ANCHORARRAY(Dashboard!$B$20),Dashboard!$D$20:$D$25)</f>
        <v>1</v>
      </c>
      <c r="Q641" t="b" cm="1">
        <f t="array" ref="Q641">_xlfn.XLOOKUP(Sales_Data[[#This Row],[Lead Source]],_xlfn.ANCHORARRAY(Dashboard!$B$28),Dashboard!$D$28:$D$32)</f>
        <v>1</v>
      </c>
      <c r="R641">
        <f>Sales_Data[[#This Row],[Date inc]]*Sales_Data[[#This Row],[Team Inc]]*Sales_Data[[#This Row],[Rep Inc]]*Sales_Data[[#This Row],[Stage Inc]]*Sales_Data[[#This Row],[Source Inc]]</f>
        <v>1</v>
      </c>
    </row>
    <row r="642" spans="1:18" x14ac:dyDescent="0.3">
      <c r="A642" t="s">
        <v>649</v>
      </c>
      <c r="B642" s="2">
        <v>45337</v>
      </c>
      <c r="C642" t="s">
        <v>763</v>
      </c>
      <c r="D642" t="s">
        <v>765</v>
      </c>
      <c r="E642" t="s">
        <v>768</v>
      </c>
      <c r="F642" s="5">
        <v>36600</v>
      </c>
      <c r="G642" t="s">
        <v>780</v>
      </c>
      <c r="H642" s="2">
        <v>45421</v>
      </c>
      <c r="J642" t="str">
        <f>IF(Sales_Data[[#This Row],[Close Date]] &lt;&gt; 0,"Closed", "Open")</f>
        <v>Closed</v>
      </c>
      <c r="K642">
        <f>IF(Sales_Data[[#This Row],[Open/Closed]] = "Closed",Sales_Data[[#This Row],[Close Date]]-Sales_Data[[#This Row],[Created Date]],"")</f>
        <v>84</v>
      </c>
      <c r="L642" s="2">
        <f>EOMONTH(Sales_Data[[#This Row],[Created Date]],0)</f>
        <v>45351</v>
      </c>
      <c r="M642" t="b">
        <f>AND(Sales_Data[[#This Row],[EoM Created]]&gt;=Index!$E$5,Sales_Data[[#This Row],[EoM Created]]&lt;=Index!$E$4)</f>
        <v>1</v>
      </c>
      <c r="N642" t="b" cm="1">
        <f t="array" ref="N642">_xlfn.XLOOKUP(Sales_Data[[#This Row],[Sales Team]],_xlfn.ANCHORARRAY(Dashboard!$B$9),Dashboard!$D$9:$D$10,,0)</f>
        <v>1</v>
      </c>
      <c r="O642" t="b" cm="1">
        <f t="array" ref="O642">_xlfn.XLOOKUP(Sales_Data[[#This Row],[Sales Rep]],_xlfn.ANCHORARRAY(Dashboard!$B$13),Dashboard!$D$13:$D$17,,0)</f>
        <v>1</v>
      </c>
      <c r="P642" t="b" cm="1">
        <f t="array" ref="P642">_xlfn.XLOOKUP(Sales_Data[[#This Row],[Stage]],_xlfn.ANCHORARRAY(Dashboard!$B$20),Dashboard!$D$20:$D$25)</f>
        <v>1</v>
      </c>
      <c r="Q642" t="b" cm="1">
        <f t="array" ref="Q642">_xlfn.XLOOKUP(Sales_Data[[#This Row],[Lead Source]],_xlfn.ANCHORARRAY(Dashboard!$B$28),Dashboard!$D$28:$D$32)</f>
        <v>1</v>
      </c>
      <c r="R642">
        <f>Sales_Data[[#This Row],[Date inc]]*Sales_Data[[#This Row],[Team Inc]]*Sales_Data[[#This Row],[Rep Inc]]*Sales_Data[[#This Row],[Stage Inc]]*Sales_Data[[#This Row],[Source Inc]]</f>
        <v>1</v>
      </c>
    </row>
    <row r="643" spans="1:18" x14ac:dyDescent="0.3">
      <c r="A643" t="s">
        <v>650</v>
      </c>
      <c r="B643" s="2">
        <v>45820</v>
      </c>
      <c r="C643" t="s">
        <v>760</v>
      </c>
      <c r="D643" t="s">
        <v>764</v>
      </c>
      <c r="E643" t="s">
        <v>766</v>
      </c>
      <c r="F643" s="5">
        <v>56700</v>
      </c>
      <c r="G643" t="s">
        <v>771</v>
      </c>
      <c r="H643" s="2"/>
      <c r="J643" t="str">
        <f>IF(Sales_Data[[#This Row],[Close Date]] &lt;&gt; 0,"Closed", "Open")</f>
        <v>Open</v>
      </c>
      <c r="K643" t="str">
        <f>IF(Sales_Data[[#This Row],[Open/Closed]] = "Closed",Sales_Data[[#This Row],[Close Date]]-Sales_Data[[#This Row],[Created Date]],"")</f>
        <v/>
      </c>
      <c r="L643" s="2">
        <f>EOMONTH(Sales_Data[[#This Row],[Created Date]],0)</f>
        <v>45838</v>
      </c>
      <c r="M643" t="b">
        <f>AND(Sales_Data[[#This Row],[EoM Created]]&gt;=Index!$E$5,Sales_Data[[#This Row],[EoM Created]]&lt;=Index!$E$4)</f>
        <v>1</v>
      </c>
      <c r="N643" t="b" cm="1">
        <f t="array" ref="N643">_xlfn.XLOOKUP(Sales_Data[[#This Row],[Sales Team]],_xlfn.ANCHORARRAY(Dashboard!$B$9),Dashboard!$D$9:$D$10,,0)</f>
        <v>1</v>
      </c>
      <c r="O643" t="b" cm="1">
        <f t="array" ref="O643">_xlfn.XLOOKUP(Sales_Data[[#This Row],[Sales Rep]],_xlfn.ANCHORARRAY(Dashboard!$B$13),Dashboard!$D$13:$D$17,,0)</f>
        <v>1</v>
      </c>
      <c r="P643" t="b" cm="1">
        <f t="array" ref="P643">_xlfn.XLOOKUP(Sales_Data[[#This Row],[Stage]],_xlfn.ANCHORARRAY(Dashboard!$B$20),Dashboard!$D$20:$D$25)</f>
        <v>1</v>
      </c>
      <c r="Q643" t="b" cm="1">
        <f t="array" ref="Q643">_xlfn.XLOOKUP(Sales_Data[[#This Row],[Lead Source]],_xlfn.ANCHORARRAY(Dashboard!$B$28),Dashboard!$D$28:$D$32)</f>
        <v>1</v>
      </c>
      <c r="R643">
        <f>Sales_Data[[#This Row],[Date inc]]*Sales_Data[[#This Row],[Team Inc]]*Sales_Data[[#This Row],[Rep Inc]]*Sales_Data[[#This Row],[Stage Inc]]*Sales_Data[[#This Row],[Source Inc]]</f>
        <v>1</v>
      </c>
    </row>
    <row r="644" spans="1:18" x14ac:dyDescent="0.3">
      <c r="A644" t="s">
        <v>651</v>
      </c>
      <c r="B644" s="2">
        <v>45281</v>
      </c>
      <c r="C644" t="s">
        <v>763</v>
      </c>
      <c r="D644" t="s">
        <v>765</v>
      </c>
      <c r="E644" t="s">
        <v>769</v>
      </c>
      <c r="F644" s="5">
        <v>37400</v>
      </c>
      <c r="G644" t="s">
        <v>780</v>
      </c>
      <c r="H644" s="2">
        <v>45356</v>
      </c>
      <c r="J644" t="str">
        <f>IF(Sales_Data[[#This Row],[Close Date]] &lt;&gt; 0,"Closed", "Open")</f>
        <v>Closed</v>
      </c>
      <c r="K644">
        <f>IF(Sales_Data[[#This Row],[Open/Closed]] = "Closed",Sales_Data[[#This Row],[Close Date]]-Sales_Data[[#This Row],[Created Date]],"")</f>
        <v>75</v>
      </c>
      <c r="L644" s="2">
        <f>EOMONTH(Sales_Data[[#This Row],[Created Date]],0)</f>
        <v>45291</v>
      </c>
      <c r="M644" t="b">
        <f>AND(Sales_Data[[#This Row],[EoM Created]]&gt;=Index!$E$5,Sales_Data[[#This Row],[EoM Created]]&lt;=Index!$E$4)</f>
        <v>1</v>
      </c>
      <c r="N644" t="b" cm="1">
        <f t="array" ref="N644">_xlfn.XLOOKUP(Sales_Data[[#This Row],[Sales Team]],_xlfn.ANCHORARRAY(Dashboard!$B$9),Dashboard!$D$9:$D$10,,0)</f>
        <v>1</v>
      </c>
      <c r="O644" t="b" cm="1">
        <f t="array" ref="O644">_xlfn.XLOOKUP(Sales_Data[[#This Row],[Sales Rep]],_xlfn.ANCHORARRAY(Dashboard!$B$13),Dashboard!$D$13:$D$17,,0)</f>
        <v>1</v>
      </c>
      <c r="P644" t="b" cm="1">
        <f t="array" ref="P644">_xlfn.XLOOKUP(Sales_Data[[#This Row],[Stage]],_xlfn.ANCHORARRAY(Dashboard!$B$20),Dashboard!$D$20:$D$25)</f>
        <v>1</v>
      </c>
      <c r="Q644" t="b" cm="1">
        <f t="array" ref="Q644">_xlfn.XLOOKUP(Sales_Data[[#This Row],[Lead Source]],_xlfn.ANCHORARRAY(Dashboard!$B$28),Dashboard!$D$28:$D$32)</f>
        <v>1</v>
      </c>
      <c r="R644">
        <f>Sales_Data[[#This Row],[Date inc]]*Sales_Data[[#This Row],[Team Inc]]*Sales_Data[[#This Row],[Rep Inc]]*Sales_Data[[#This Row],[Stage Inc]]*Sales_Data[[#This Row],[Source Inc]]</f>
        <v>1</v>
      </c>
    </row>
    <row r="645" spans="1:18" x14ac:dyDescent="0.3">
      <c r="A645" t="s">
        <v>652</v>
      </c>
      <c r="B645" s="2">
        <v>45631</v>
      </c>
      <c r="C645" t="s">
        <v>759</v>
      </c>
      <c r="D645" t="s">
        <v>764</v>
      </c>
      <c r="E645" t="s">
        <v>766</v>
      </c>
      <c r="F645" s="5">
        <v>25000</v>
      </c>
      <c r="G645" t="s">
        <v>781</v>
      </c>
      <c r="H645" s="2">
        <v>45711</v>
      </c>
      <c r="I645" t="s">
        <v>775</v>
      </c>
      <c r="J645" t="str">
        <f>IF(Sales_Data[[#This Row],[Close Date]] &lt;&gt; 0,"Closed", "Open")</f>
        <v>Closed</v>
      </c>
      <c r="K645">
        <f>IF(Sales_Data[[#This Row],[Open/Closed]] = "Closed",Sales_Data[[#This Row],[Close Date]]-Sales_Data[[#This Row],[Created Date]],"")</f>
        <v>80</v>
      </c>
      <c r="L645" s="2">
        <f>EOMONTH(Sales_Data[[#This Row],[Created Date]],0)</f>
        <v>45657</v>
      </c>
      <c r="M645" t="b">
        <f>AND(Sales_Data[[#This Row],[EoM Created]]&gt;=Index!$E$5,Sales_Data[[#This Row],[EoM Created]]&lt;=Index!$E$4)</f>
        <v>1</v>
      </c>
      <c r="N645" t="b" cm="1">
        <f t="array" ref="N645">_xlfn.XLOOKUP(Sales_Data[[#This Row],[Sales Team]],_xlfn.ANCHORARRAY(Dashboard!$B$9),Dashboard!$D$9:$D$10,,0)</f>
        <v>1</v>
      </c>
      <c r="O645" t="b" cm="1">
        <f t="array" ref="O645">_xlfn.XLOOKUP(Sales_Data[[#This Row],[Sales Rep]],_xlfn.ANCHORARRAY(Dashboard!$B$13),Dashboard!$D$13:$D$17,,0)</f>
        <v>1</v>
      </c>
      <c r="P645" t="b" cm="1">
        <f t="array" ref="P645">_xlfn.XLOOKUP(Sales_Data[[#This Row],[Stage]],_xlfn.ANCHORARRAY(Dashboard!$B$20),Dashboard!$D$20:$D$25)</f>
        <v>1</v>
      </c>
      <c r="Q645" t="b" cm="1">
        <f t="array" ref="Q645">_xlfn.XLOOKUP(Sales_Data[[#This Row],[Lead Source]],_xlfn.ANCHORARRAY(Dashboard!$B$28),Dashboard!$D$28:$D$32)</f>
        <v>1</v>
      </c>
      <c r="R645">
        <f>Sales_Data[[#This Row],[Date inc]]*Sales_Data[[#This Row],[Team Inc]]*Sales_Data[[#This Row],[Rep Inc]]*Sales_Data[[#This Row],[Stage Inc]]*Sales_Data[[#This Row],[Source Inc]]</f>
        <v>1</v>
      </c>
    </row>
    <row r="646" spans="1:18" x14ac:dyDescent="0.3">
      <c r="A646" t="s">
        <v>653</v>
      </c>
      <c r="B646" s="2">
        <v>45088</v>
      </c>
      <c r="C646" t="s">
        <v>759</v>
      </c>
      <c r="D646" t="s">
        <v>764</v>
      </c>
      <c r="E646" t="s">
        <v>767</v>
      </c>
      <c r="F646" s="5">
        <v>37500</v>
      </c>
      <c r="G646" t="s">
        <v>781</v>
      </c>
      <c r="H646" s="2">
        <v>45178</v>
      </c>
      <c r="I646" t="s">
        <v>779</v>
      </c>
      <c r="J646" t="str">
        <f>IF(Sales_Data[[#This Row],[Close Date]] &lt;&gt; 0,"Closed", "Open")</f>
        <v>Closed</v>
      </c>
      <c r="K646">
        <f>IF(Sales_Data[[#This Row],[Open/Closed]] = "Closed",Sales_Data[[#This Row],[Close Date]]-Sales_Data[[#This Row],[Created Date]],"")</f>
        <v>90</v>
      </c>
      <c r="L646" s="2">
        <f>EOMONTH(Sales_Data[[#This Row],[Created Date]],0)</f>
        <v>45107</v>
      </c>
      <c r="M646" t="b">
        <f>AND(Sales_Data[[#This Row],[EoM Created]]&gt;=Index!$E$5,Sales_Data[[#This Row],[EoM Created]]&lt;=Index!$E$4)</f>
        <v>0</v>
      </c>
      <c r="N646" t="b" cm="1">
        <f t="array" ref="N646">_xlfn.XLOOKUP(Sales_Data[[#This Row],[Sales Team]],_xlfn.ANCHORARRAY(Dashboard!$B$9),Dashboard!$D$9:$D$10,,0)</f>
        <v>1</v>
      </c>
      <c r="O646" t="b" cm="1">
        <f t="array" ref="O646">_xlfn.XLOOKUP(Sales_Data[[#This Row],[Sales Rep]],_xlfn.ANCHORARRAY(Dashboard!$B$13),Dashboard!$D$13:$D$17,,0)</f>
        <v>1</v>
      </c>
      <c r="P646" t="b" cm="1">
        <f t="array" ref="P646">_xlfn.XLOOKUP(Sales_Data[[#This Row],[Stage]],_xlfn.ANCHORARRAY(Dashboard!$B$20),Dashboard!$D$20:$D$25)</f>
        <v>1</v>
      </c>
      <c r="Q646" t="b" cm="1">
        <f t="array" ref="Q646">_xlfn.XLOOKUP(Sales_Data[[#This Row],[Lead Source]],_xlfn.ANCHORARRAY(Dashboard!$B$28),Dashboard!$D$28:$D$32)</f>
        <v>1</v>
      </c>
      <c r="R646">
        <f>Sales_Data[[#This Row],[Date inc]]*Sales_Data[[#This Row],[Team Inc]]*Sales_Data[[#This Row],[Rep Inc]]*Sales_Data[[#This Row],[Stage Inc]]*Sales_Data[[#This Row],[Source Inc]]</f>
        <v>0</v>
      </c>
    </row>
    <row r="647" spans="1:18" x14ac:dyDescent="0.3">
      <c r="A647" t="s">
        <v>654</v>
      </c>
      <c r="B647" s="2">
        <v>45487</v>
      </c>
      <c r="C647" t="s">
        <v>763</v>
      </c>
      <c r="D647" t="s">
        <v>765</v>
      </c>
      <c r="E647" t="s">
        <v>770</v>
      </c>
      <c r="F647" s="5">
        <v>37300</v>
      </c>
      <c r="G647" t="s">
        <v>780</v>
      </c>
      <c r="H647" s="2">
        <v>45575</v>
      </c>
      <c r="J647" t="str">
        <f>IF(Sales_Data[[#This Row],[Close Date]] &lt;&gt; 0,"Closed", "Open")</f>
        <v>Closed</v>
      </c>
      <c r="K647">
        <f>IF(Sales_Data[[#This Row],[Open/Closed]] = "Closed",Sales_Data[[#This Row],[Close Date]]-Sales_Data[[#This Row],[Created Date]],"")</f>
        <v>88</v>
      </c>
      <c r="L647" s="2">
        <f>EOMONTH(Sales_Data[[#This Row],[Created Date]],0)</f>
        <v>45504</v>
      </c>
      <c r="M647" t="b">
        <f>AND(Sales_Data[[#This Row],[EoM Created]]&gt;=Index!$E$5,Sales_Data[[#This Row],[EoM Created]]&lt;=Index!$E$4)</f>
        <v>1</v>
      </c>
      <c r="N647" t="b" cm="1">
        <f t="array" ref="N647">_xlfn.XLOOKUP(Sales_Data[[#This Row],[Sales Team]],_xlfn.ANCHORARRAY(Dashboard!$B$9),Dashboard!$D$9:$D$10,,0)</f>
        <v>1</v>
      </c>
      <c r="O647" t="b" cm="1">
        <f t="array" ref="O647">_xlfn.XLOOKUP(Sales_Data[[#This Row],[Sales Rep]],_xlfn.ANCHORARRAY(Dashboard!$B$13),Dashboard!$D$13:$D$17,,0)</f>
        <v>1</v>
      </c>
      <c r="P647" t="b" cm="1">
        <f t="array" ref="P647">_xlfn.XLOOKUP(Sales_Data[[#This Row],[Stage]],_xlfn.ANCHORARRAY(Dashboard!$B$20),Dashboard!$D$20:$D$25)</f>
        <v>1</v>
      </c>
      <c r="Q647" t="b" cm="1">
        <f t="array" ref="Q647">_xlfn.XLOOKUP(Sales_Data[[#This Row],[Lead Source]],_xlfn.ANCHORARRAY(Dashboard!$B$28),Dashboard!$D$28:$D$32)</f>
        <v>1</v>
      </c>
      <c r="R647">
        <f>Sales_Data[[#This Row],[Date inc]]*Sales_Data[[#This Row],[Team Inc]]*Sales_Data[[#This Row],[Rep Inc]]*Sales_Data[[#This Row],[Stage Inc]]*Sales_Data[[#This Row],[Source Inc]]</f>
        <v>1</v>
      </c>
    </row>
    <row r="648" spans="1:18" x14ac:dyDescent="0.3">
      <c r="A648" t="s">
        <v>655</v>
      </c>
      <c r="B648" s="2">
        <v>45419</v>
      </c>
      <c r="C648" t="s">
        <v>761</v>
      </c>
      <c r="D648" t="s">
        <v>765</v>
      </c>
      <c r="E648" t="s">
        <v>770</v>
      </c>
      <c r="F648" s="5">
        <v>13000</v>
      </c>
      <c r="G648" t="s">
        <v>781</v>
      </c>
      <c r="H648" s="2">
        <v>45485</v>
      </c>
      <c r="I648" t="s">
        <v>775</v>
      </c>
      <c r="J648" t="str">
        <f>IF(Sales_Data[[#This Row],[Close Date]] &lt;&gt; 0,"Closed", "Open")</f>
        <v>Closed</v>
      </c>
      <c r="K648">
        <f>IF(Sales_Data[[#This Row],[Open/Closed]] = "Closed",Sales_Data[[#This Row],[Close Date]]-Sales_Data[[#This Row],[Created Date]],"")</f>
        <v>66</v>
      </c>
      <c r="L648" s="2">
        <f>EOMONTH(Sales_Data[[#This Row],[Created Date]],0)</f>
        <v>45443</v>
      </c>
      <c r="M648" t="b">
        <f>AND(Sales_Data[[#This Row],[EoM Created]]&gt;=Index!$E$5,Sales_Data[[#This Row],[EoM Created]]&lt;=Index!$E$4)</f>
        <v>1</v>
      </c>
      <c r="N648" t="b" cm="1">
        <f t="array" ref="N648">_xlfn.XLOOKUP(Sales_Data[[#This Row],[Sales Team]],_xlfn.ANCHORARRAY(Dashboard!$B$9),Dashboard!$D$9:$D$10,,0)</f>
        <v>1</v>
      </c>
      <c r="O648" t="b" cm="1">
        <f t="array" ref="O648">_xlfn.XLOOKUP(Sales_Data[[#This Row],[Sales Rep]],_xlfn.ANCHORARRAY(Dashboard!$B$13),Dashboard!$D$13:$D$17,,0)</f>
        <v>1</v>
      </c>
      <c r="P648" t="b" cm="1">
        <f t="array" ref="P648">_xlfn.XLOOKUP(Sales_Data[[#This Row],[Stage]],_xlfn.ANCHORARRAY(Dashboard!$B$20),Dashboard!$D$20:$D$25)</f>
        <v>1</v>
      </c>
      <c r="Q648" t="b" cm="1">
        <f t="array" ref="Q648">_xlfn.XLOOKUP(Sales_Data[[#This Row],[Lead Source]],_xlfn.ANCHORARRAY(Dashboard!$B$28),Dashboard!$D$28:$D$32)</f>
        <v>1</v>
      </c>
      <c r="R648">
        <f>Sales_Data[[#This Row],[Date inc]]*Sales_Data[[#This Row],[Team Inc]]*Sales_Data[[#This Row],[Rep Inc]]*Sales_Data[[#This Row],[Stage Inc]]*Sales_Data[[#This Row],[Source Inc]]</f>
        <v>1</v>
      </c>
    </row>
    <row r="649" spans="1:18" x14ac:dyDescent="0.3">
      <c r="A649" t="s">
        <v>656</v>
      </c>
      <c r="B649" s="2">
        <v>45348</v>
      </c>
      <c r="C649" t="s">
        <v>761</v>
      </c>
      <c r="D649" t="s">
        <v>765</v>
      </c>
      <c r="E649" t="s">
        <v>768</v>
      </c>
      <c r="F649" s="5">
        <v>39500</v>
      </c>
      <c r="G649" t="s">
        <v>781</v>
      </c>
      <c r="H649" s="2">
        <v>45414</v>
      </c>
      <c r="I649" t="s">
        <v>776</v>
      </c>
      <c r="J649" t="str">
        <f>IF(Sales_Data[[#This Row],[Close Date]] &lt;&gt; 0,"Closed", "Open")</f>
        <v>Closed</v>
      </c>
      <c r="K649">
        <f>IF(Sales_Data[[#This Row],[Open/Closed]] = "Closed",Sales_Data[[#This Row],[Close Date]]-Sales_Data[[#This Row],[Created Date]],"")</f>
        <v>66</v>
      </c>
      <c r="L649" s="2">
        <f>EOMONTH(Sales_Data[[#This Row],[Created Date]],0)</f>
        <v>45351</v>
      </c>
      <c r="M649" t="b">
        <f>AND(Sales_Data[[#This Row],[EoM Created]]&gt;=Index!$E$5,Sales_Data[[#This Row],[EoM Created]]&lt;=Index!$E$4)</f>
        <v>1</v>
      </c>
      <c r="N649" t="b" cm="1">
        <f t="array" ref="N649">_xlfn.XLOOKUP(Sales_Data[[#This Row],[Sales Team]],_xlfn.ANCHORARRAY(Dashboard!$B$9),Dashboard!$D$9:$D$10,,0)</f>
        <v>1</v>
      </c>
      <c r="O649" t="b" cm="1">
        <f t="array" ref="O649">_xlfn.XLOOKUP(Sales_Data[[#This Row],[Sales Rep]],_xlfn.ANCHORARRAY(Dashboard!$B$13),Dashboard!$D$13:$D$17,,0)</f>
        <v>1</v>
      </c>
      <c r="P649" t="b" cm="1">
        <f t="array" ref="P649">_xlfn.XLOOKUP(Sales_Data[[#This Row],[Stage]],_xlfn.ANCHORARRAY(Dashboard!$B$20),Dashboard!$D$20:$D$25)</f>
        <v>1</v>
      </c>
      <c r="Q649" t="b" cm="1">
        <f t="array" ref="Q649">_xlfn.XLOOKUP(Sales_Data[[#This Row],[Lead Source]],_xlfn.ANCHORARRAY(Dashboard!$B$28),Dashboard!$D$28:$D$32)</f>
        <v>1</v>
      </c>
      <c r="R649">
        <f>Sales_Data[[#This Row],[Date inc]]*Sales_Data[[#This Row],[Team Inc]]*Sales_Data[[#This Row],[Rep Inc]]*Sales_Data[[#This Row],[Stage Inc]]*Sales_Data[[#This Row],[Source Inc]]</f>
        <v>1</v>
      </c>
    </row>
    <row r="650" spans="1:18" x14ac:dyDescent="0.3">
      <c r="A650" t="s">
        <v>657</v>
      </c>
      <c r="B650" s="2">
        <v>45383</v>
      </c>
      <c r="C650" t="s">
        <v>759</v>
      </c>
      <c r="D650" t="s">
        <v>764</v>
      </c>
      <c r="E650" t="s">
        <v>767</v>
      </c>
      <c r="F650" s="5">
        <v>37700</v>
      </c>
      <c r="G650" t="s">
        <v>781</v>
      </c>
      <c r="H650" s="2">
        <v>45452</v>
      </c>
      <c r="I650" t="s">
        <v>779</v>
      </c>
      <c r="J650" t="str">
        <f>IF(Sales_Data[[#This Row],[Close Date]] &lt;&gt; 0,"Closed", "Open")</f>
        <v>Closed</v>
      </c>
      <c r="K650">
        <f>IF(Sales_Data[[#This Row],[Open/Closed]] = "Closed",Sales_Data[[#This Row],[Close Date]]-Sales_Data[[#This Row],[Created Date]],"")</f>
        <v>69</v>
      </c>
      <c r="L650" s="2">
        <f>EOMONTH(Sales_Data[[#This Row],[Created Date]],0)</f>
        <v>45412</v>
      </c>
      <c r="M650" t="b">
        <f>AND(Sales_Data[[#This Row],[EoM Created]]&gt;=Index!$E$5,Sales_Data[[#This Row],[EoM Created]]&lt;=Index!$E$4)</f>
        <v>1</v>
      </c>
      <c r="N650" t="b" cm="1">
        <f t="array" ref="N650">_xlfn.XLOOKUP(Sales_Data[[#This Row],[Sales Team]],_xlfn.ANCHORARRAY(Dashboard!$B$9),Dashboard!$D$9:$D$10,,0)</f>
        <v>1</v>
      </c>
      <c r="O650" t="b" cm="1">
        <f t="array" ref="O650">_xlfn.XLOOKUP(Sales_Data[[#This Row],[Sales Rep]],_xlfn.ANCHORARRAY(Dashboard!$B$13),Dashboard!$D$13:$D$17,,0)</f>
        <v>1</v>
      </c>
      <c r="P650" t="b" cm="1">
        <f t="array" ref="P650">_xlfn.XLOOKUP(Sales_Data[[#This Row],[Stage]],_xlfn.ANCHORARRAY(Dashboard!$B$20),Dashboard!$D$20:$D$25)</f>
        <v>1</v>
      </c>
      <c r="Q650" t="b" cm="1">
        <f t="array" ref="Q650">_xlfn.XLOOKUP(Sales_Data[[#This Row],[Lead Source]],_xlfn.ANCHORARRAY(Dashboard!$B$28),Dashboard!$D$28:$D$32)</f>
        <v>1</v>
      </c>
      <c r="R650">
        <f>Sales_Data[[#This Row],[Date inc]]*Sales_Data[[#This Row],[Team Inc]]*Sales_Data[[#This Row],[Rep Inc]]*Sales_Data[[#This Row],[Stage Inc]]*Sales_Data[[#This Row],[Source Inc]]</f>
        <v>1</v>
      </c>
    </row>
    <row r="651" spans="1:18" x14ac:dyDescent="0.3">
      <c r="A651" t="s">
        <v>658</v>
      </c>
      <c r="B651" s="2">
        <v>45038</v>
      </c>
      <c r="C651" t="s">
        <v>760</v>
      </c>
      <c r="D651" t="s">
        <v>764</v>
      </c>
      <c r="E651" t="s">
        <v>767</v>
      </c>
      <c r="F651" s="5">
        <v>47000</v>
      </c>
      <c r="G651" t="s">
        <v>780</v>
      </c>
      <c r="H651" s="2">
        <v>45106</v>
      </c>
      <c r="J651" t="str">
        <f>IF(Sales_Data[[#This Row],[Close Date]] &lt;&gt; 0,"Closed", "Open")</f>
        <v>Closed</v>
      </c>
      <c r="K651">
        <f>IF(Sales_Data[[#This Row],[Open/Closed]] = "Closed",Sales_Data[[#This Row],[Close Date]]-Sales_Data[[#This Row],[Created Date]],"")</f>
        <v>68</v>
      </c>
      <c r="L651" s="2">
        <f>EOMONTH(Sales_Data[[#This Row],[Created Date]],0)</f>
        <v>45046</v>
      </c>
      <c r="M651" t="b">
        <f>AND(Sales_Data[[#This Row],[EoM Created]]&gt;=Index!$E$5,Sales_Data[[#This Row],[EoM Created]]&lt;=Index!$E$4)</f>
        <v>0</v>
      </c>
      <c r="N651" t="b" cm="1">
        <f t="array" ref="N651">_xlfn.XLOOKUP(Sales_Data[[#This Row],[Sales Team]],_xlfn.ANCHORARRAY(Dashboard!$B$9),Dashboard!$D$9:$D$10,,0)</f>
        <v>1</v>
      </c>
      <c r="O651" t="b" cm="1">
        <f t="array" ref="O651">_xlfn.XLOOKUP(Sales_Data[[#This Row],[Sales Rep]],_xlfn.ANCHORARRAY(Dashboard!$B$13),Dashboard!$D$13:$D$17,,0)</f>
        <v>1</v>
      </c>
      <c r="P651" t="b" cm="1">
        <f t="array" ref="P651">_xlfn.XLOOKUP(Sales_Data[[#This Row],[Stage]],_xlfn.ANCHORARRAY(Dashboard!$B$20),Dashboard!$D$20:$D$25)</f>
        <v>1</v>
      </c>
      <c r="Q651" t="b" cm="1">
        <f t="array" ref="Q651">_xlfn.XLOOKUP(Sales_Data[[#This Row],[Lead Source]],_xlfn.ANCHORARRAY(Dashboard!$B$28),Dashboard!$D$28:$D$32)</f>
        <v>1</v>
      </c>
      <c r="R651">
        <f>Sales_Data[[#This Row],[Date inc]]*Sales_Data[[#This Row],[Team Inc]]*Sales_Data[[#This Row],[Rep Inc]]*Sales_Data[[#This Row],[Stage Inc]]*Sales_Data[[#This Row],[Source Inc]]</f>
        <v>0</v>
      </c>
    </row>
    <row r="652" spans="1:18" x14ac:dyDescent="0.3">
      <c r="A652" t="s">
        <v>659</v>
      </c>
      <c r="B652" s="2">
        <v>45429</v>
      </c>
      <c r="C652" t="s">
        <v>763</v>
      </c>
      <c r="D652" t="s">
        <v>765</v>
      </c>
      <c r="E652" t="s">
        <v>768</v>
      </c>
      <c r="F652" s="5">
        <v>58500</v>
      </c>
      <c r="G652" t="s">
        <v>781</v>
      </c>
      <c r="H652" s="2">
        <v>45499</v>
      </c>
      <c r="I652" t="s">
        <v>779</v>
      </c>
      <c r="J652" t="str">
        <f>IF(Sales_Data[[#This Row],[Close Date]] &lt;&gt; 0,"Closed", "Open")</f>
        <v>Closed</v>
      </c>
      <c r="K652">
        <f>IF(Sales_Data[[#This Row],[Open/Closed]] = "Closed",Sales_Data[[#This Row],[Close Date]]-Sales_Data[[#This Row],[Created Date]],"")</f>
        <v>70</v>
      </c>
      <c r="L652" s="2">
        <f>EOMONTH(Sales_Data[[#This Row],[Created Date]],0)</f>
        <v>45443</v>
      </c>
      <c r="M652" t="b">
        <f>AND(Sales_Data[[#This Row],[EoM Created]]&gt;=Index!$E$5,Sales_Data[[#This Row],[EoM Created]]&lt;=Index!$E$4)</f>
        <v>1</v>
      </c>
      <c r="N652" t="b" cm="1">
        <f t="array" ref="N652">_xlfn.XLOOKUP(Sales_Data[[#This Row],[Sales Team]],_xlfn.ANCHORARRAY(Dashboard!$B$9),Dashboard!$D$9:$D$10,,0)</f>
        <v>1</v>
      </c>
      <c r="O652" t="b" cm="1">
        <f t="array" ref="O652">_xlfn.XLOOKUP(Sales_Data[[#This Row],[Sales Rep]],_xlfn.ANCHORARRAY(Dashboard!$B$13),Dashboard!$D$13:$D$17,,0)</f>
        <v>1</v>
      </c>
      <c r="P652" t="b" cm="1">
        <f t="array" ref="P652">_xlfn.XLOOKUP(Sales_Data[[#This Row],[Stage]],_xlfn.ANCHORARRAY(Dashboard!$B$20),Dashboard!$D$20:$D$25)</f>
        <v>1</v>
      </c>
      <c r="Q652" t="b" cm="1">
        <f t="array" ref="Q652">_xlfn.XLOOKUP(Sales_Data[[#This Row],[Lead Source]],_xlfn.ANCHORARRAY(Dashboard!$B$28),Dashboard!$D$28:$D$32)</f>
        <v>1</v>
      </c>
      <c r="R652">
        <f>Sales_Data[[#This Row],[Date inc]]*Sales_Data[[#This Row],[Team Inc]]*Sales_Data[[#This Row],[Rep Inc]]*Sales_Data[[#This Row],[Stage Inc]]*Sales_Data[[#This Row],[Source Inc]]</f>
        <v>1</v>
      </c>
    </row>
    <row r="653" spans="1:18" x14ac:dyDescent="0.3">
      <c r="A653" t="s">
        <v>660</v>
      </c>
      <c r="B653" s="2">
        <v>45018</v>
      </c>
      <c r="C653" t="s">
        <v>763</v>
      </c>
      <c r="D653" t="s">
        <v>765</v>
      </c>
      <c r="E653" t="s">
        <v>768</v>
      </c>
      <c r="F653" s="5">
        <v>51300</v>
      </c>
      <c r="G653" t="s">
        <v>780</v>
      </c>
      <c r="H653" s="2">
        <v>45103</v>
      </c>
      <c r="J653" t="str">
        <f>IF(Sales_Data[[#This Row],[Close Date]] &lt;&gt; 0,"Closed", "Open")</f>
        <v>Closed</v>
      </c>
      <c r="K653">
        <f>IF(Sales_Data[[#This Row],[Open/Closed]] = "Closed",Sales_Data[[#This Row],[Close Date]]-Sales_Data[[#This Row],[Created Date]],"")</f>
        <v>85</v>
      </c>
      <c r="L653" s="2">
        <f>EOMONTH(Sales_Data[[#This Row],[Created Date]],0)</f>
        <v>45046</v>
      </c>
      <c r="M653" t="b">
        <f>AND(Sales_Data[[#This Row],[EoM Created]]&gt;=Index!$E$5,Sales_Data[[#This Row],[EoM Created]]&lt;=Index!$E$4)</f>
        <v>0</v>
      </c>
      <c r="N653" t="b" cm="1">
        <f t="array" ref="N653">_xlfn.XLOOKUP(Sales_Data[[#This Row],[Sales Team]],_xlfn.ANCHORARRAY(Dashboard!$B$9),Dashboard!$D$9:$D$10,,0)</f>
        <v>1</v>
      </c>
      <c r="O653" t="b" cm="1">
        <f t="array" ref="O653">_xlfn.XLOOKUP(Sales_Data[[#This Row],[Sales Rep]],_xlfn.ANCHORARRAY(Dashboard!$B$13),Dashboard!$D$13:$D$17,,0)</f>
        <v>1</v>
      </c>
      <c r="P653" t="b" cm="1">
        <f t="array" ref="P653">_xlfn.XLOOKUP(Sales_Data[[#This Row],[Stage]],_xlfn.ANCHORARRAY(Dashboard!$B$20),Dashboard!$D$20:$D$25)</f>
        <v>1</v>
      </c>
      <c r="Q653" t="b" cm="1">
        <f t="array" ref="Q653">_xlfn.XLOOKUP(Sales_Data[[#This Row],[Lead Source]],_xlfn.ANCHORARRAY(Dashboard!$B$28),Dashboard!$D$28:$D$32)</f>
        <v>1</v>
      </c>
      <c r="R653">
        <f>Sales_Data[[#This Row],[Date inc]]*Sales_Data[[#This Row],[Team Inc]]*Sales_Data[[#This Row],[Rep Inc]]*Sales_Data[[#This Row],[Stage Inc]]*Sales_Data[[#This Row],[Source Inc]]</f>
        <v>0</v>
      </c>
    </row>
    <row r="654" spans="1:18" x14ac:dyDescent="0.3">
      <c r="A654" t="s">
        <v>661</v>
      </c>
      <c r="B654" s="2">
        <v>45545</v>
      </c>
      <c r="C654" t="s">
        <v>763</v>
      </c>
      <c r="D654" t="s">
        <v>765</v>
      </c>
      <c r="E654" t="s">
        <v>770</v>
      </c>
      <c r="F654" s="5">
        <v>37300</v>
      </c>
      <c r="G654" t="s">
        <v>781</v>
      </c>
      <c r="H654" s="2">
        <v>45609</v>
      </c>
      <c r="I654" t="s">
        <v>777</v>
      </c>
      <c r="J654" t="str">
        <f>IF(Sales_Data[[#This Row],[Close Date]] &lt;&gt; 0,"Closed", "Open")</f>
        <v>Closed</v>
      </c>
      <c r="K654">
        <f>IF(Sales_Data[[#This Row],[Open/Closed]] = "Closed",Sales_Data[[#This Row],[Close Date]]-Sales_Data[[#This Row],[Created Date]],"")</f>
        <v>64</v>
      </c>
      <c r="L654" s="2">
        <f>EOMONTH(Sales_Data[[#This Row],[Created Date]],0)</f>
        <v>45565</v>
      </c>
      <c r="M654" t="b">
        <f>AND(Sales_Data[[#This Row],[EoM Created]]&gt;=Index!$E$5,Sales_Data[[#This Row],[EoM Created]]&lt;=Index!$E$4)</f>
        <v>1</v>
      </c>
      <c r="N654" t="b" cm="1">
        <f t="array" ref="N654">_xlfn.XLOOKUP(Sales_Data[[#This Row],[Sales Team]],_xlfn.ANCHORARRAY(Dashboard!$B$9),Dashboard!$D$9:$D$10,,0)</f>
        <v>1</v>
      </c>
      <c r="O654" t="b" cm="1">
        <f t="array" ref="O654">_xlfn.XLOOKUP(Sales_Data[[#This Row],[Sales Rep]],_xlfn.ANCHORARRAY(Dashboard!$B$13),Dashboard!$D$13:$D$17,,0)</f>
        <v>1</v>
      </c>
      <c r="P654" t="b" cm="1">
        <f t="array" ref="P654">_xlfn.XLOOKUP(Sales_Data[[#This Row],[Stage]],_xlfn.ANCHORARRAY(Dashboard!$B$20),Dashboard!$D$20:$D$25)</f>
        <v>1</v>
      </c>
      <c r="Q654" t="b" cm="1">
        <f t="array" ref="Q654">_xlfn.XLOOKUP(Sales_Data[[#This Row],[Lead Source]],_xlfn.ANCHORARRAY(Dashboard!$B$28),Dashboard!$D$28:$D$32)</f>
        <v>1</v>
      </c>
      <c r="R654">
        <f>Sales_Data[[#This Row],[Date inc]]*Sales_Data[[#This Row],[Team Inc]]*Sales_Data[[#This Row],[Rep Inc]]*Sales_Data[[#This Row],[Stage Inc]]*Sales_Data[[#This Row],[Source Inc]]</f>
        <v>1</v>
      </c>
    </row>
    <row r="655" spans="1:18" x14ac:dyDescent="0.3">
      <c r="A655" t="s">
        <v>662</v>
      </c>
      <c r="B655" s="2">
        <v>45325</v>
      </c>
      <c r="C655" t="s">
        <v>763</v>
      </c>
      <c r="D655" t="s">
        <v>765</v>
      </c>
      <c r="E655" t="s">
        <v>769</v>
      </c>
      <c r="F655" s="5">
        <v>28900</v>
      </c>
      <c r="G655" t="s">
        <v>781</v>
      </c>
      <c r="H655" s="2">
        <v>45401</v>
      </c>
      <c r="I655" t="s">
        <v>779</v>
      </c>
      <c r="J655" t="str">
        <f>IF(Sales_Data[[#This Row],[Close Date]] &lt;&gt; 0,"Closed", "Open")</f>
        <v>Closed</v>
      </c>
      <c r="K655">
        <f>IF(Sales_Data[[#This Row],[Open/Closed]] = "Closed",Sales_Data[[#This Row],[Close Date]]-Sales_Data[[#This Row],[Created Date]],"")</f>
        <v>76</v>
      </c>
      <c r="L655" s="2">
        <f>EOMONTH(Sales_Data[[#This Row],[Created Date]],0)</f>
        <v>45351</v>
      </c>
      <c r="M655" t="b">
        <f>AND(Sales_Data[[#This Row],[EoM Created]]&gt;=Index!$E$5,Sales_Data[[#This Row],[EoM Created]]&lt;=Index!$E$4)</f>
        <v>1</v>
      </c>
      <c r="N655" t="b" cm="1">
        <f t="array" ref="N655">_xlfn.XLOOKUP(Sales_Data[[#This Row],[Sales Team]],_xlfn.ANCHORARRAY(Dashboard!$B$9),Dashboard!$D$9:$D$10,,0)</f>
        <v>1</v>
      </c>
      <c r="O655" t="b" cm="1">
        <f t="array" ref="O655">_xlfn.XLOOKUP(Sales_Data[[#This Row],[Sales Rep]],_xlfn.ANCHORARRAY(Dashboard!$B$13),Dashboard!$D$13:$D$17,,0)</f>
        <v>1</v>
      </c>
      <c r="P655" t="b" cm="1">
        <f t="array" ref="P655">_xlfn.XLOOKUP(Sales_Data[[#This Row],[Stage]],_xlfn.ANCHORARRAY(Dashboard!$B$20),Dashboard!$D$20:$D$25)</f>
        <v>1</v>
      </c>
      <c r="Q655" t="b" cm="1">
        <f t="array" ref="Q655">_xlfn.XLOOKUP(Sales_Data[[#This Row],[Lead Source]],_xlfn.ANCHORARRAY(Dashboard!$B$28),Dashboard!$D$28:$D$32)</f>
        <v>1</v>
      </c>
      <c r="R655">
        <f>Sales_Data[[#This Row],[Date inc]]*Sales_Data[[#This Row],[Team Inc]]*Sales_Data[[#This Row],[Rep Inc]]*Sales_Data[[#This Row],[Stage Inc]]*Sales_Data[[#This Row],[Source Inc]]</f>
        <v>1</v>
      </c>
    </row>
    <row r="656" spans="1:18" x14ac:dyDescent="0.3">
      <c r="A656" t="s">
        <v>663</v>
      </c>
      <c r="B656" s="2">
        <v>45547</v>
      </c>
      <c r="C656" t="s">
        <v>762</v>
      </c>
      <c r="D656" t="s">
        <v>764</v>
      </c>
      <c r="E656" t="s">
        <v>767</v>
      </c>
      <c r="F656" s="5">
        <v>65700</v>
      </c>
      <c r="G656" t="s">
        <v>781</v>
      </c>
      <c r="H656" s="2">
        <v>45637</v>
      </c>
      <c r="I656" t="s">
        <v>776</v>
      </c>
      <c r="J656" t="str">
        <f>IF(Sales_Data[[#This Row],[Close Date]] &lt;&gt; 0,"Closed", "Open")</f>
        <v>Closed</v>
      </c>
      <c r="K656">
        <f>IF(Sales_Data[[#This Row],[Open/Closed]] = "Closed",Sales_Data[[#This Row],[Close Date]]-Sales_Data[[#This Row],[Created Date]],"")</f>
        <v>90</v>
      </c>
      <c r="L656" s="2">
        <f>EOMONTH(Sales_Data[[#This Row],[Created Date]],0)</f>
        <v>45565</v>
      </c>
      <c r="M656" t="b">
        <f>AND(Sales_Data[[#This Row],[EoM Created]]&gt;=Index!$E$5,Sales_Data[[#This Row],[EoM Created]]&lt;=Index!$E$4)</f>
        <v>1</v>
      </c>
      <c r="N656" t="b" cm="1">
        <f t="array" ref="N656">_xlfn.XLOOKUP(Sales_Data[[#This Row],[Sales Team]],_xlfn.ANCHORARRAY(Dashboard!$B$9),Dashboard!$D$9:$D$10,,0)</f>
        <v>1</v>
      </c>
      <c r="O656" t="b" cm="1">
        <f t="array" ref="O656">_xlfn.XLOOKUP(Sales_Data[[#This Row],[Sales Rep]],_xlfn.ANCHORARRAY(Dashboard!$B$13),Dashboard!$D$13:$D$17,,0)</f>
        <v>1</v>
      </c>
      <c r="P656" t="b" cm="1">
        <f t="array" ref="P656">_xlfn.XLOOKUP(Sales_Data[[#This Row],[Stage]],_xlfn.ANCHORARRAY(Dashboard!$B$20),Dashboard!$D$20:$D$25)</f>
        <v>1</v>
      </c>
      <c r="Q656" t="b" cm="1">
        <f t="array" ref="Q656">_xlfn.XLOOKUP(Sales_Data[[#This Row],[Lead Source]],_xlfn.ANCHORARRAY(Dashboard!$B$28),Dashboard!$D$28:$D$32)</f>
        <v>1</v>
      </c>
      <c r="R656">
        <f>Sales_Data[[#This Row],[Date inc]]*Sales_Data[[#This Row],[Team Inc]]*Sales_Data[[#This Row],[Rep Inc]]*Sales_Data[[#This Row],[Stage Inc]]*Sales_Data[[#This Row],[Source Inc]]</f>
        <v>1</v>
      </c>
    </row>
    <row r="657" spans="1:18" x14ac:dyDescent="0.3">
      <c r="A657" t="s">
        <v>664</v>
      </c>
      <c r="B657" s="2">
        <v>44928</v>
      </c>
      <c r="C657" t="s">
        <v>760</v>
      </c>
      <c r="D657" t="s">
        <v>764</v>
      </c>
      <c r="E657" t="s">
        <v>766</v>
      </c>
      <c r="F657" s="5">
        <v>40600</v>
      </c>
      <c r="G657" t="s">
        <v>781</v>
      </c>
      <c r="H657" s="2">
        <v>44993</v>
      </c>
      <c r="I657" t="s">
        <v>779</v>
      </c>
      <c r="J657" t="str">
        <f>IF(Sales_Data[[#This Row],[Close Date]] &lt;&gt; 0,"Closed", "Open")</f>
        <v>Closed</v>
      </c>
      <c r="K657">
        <f>IF(Sales_Data[[#This Row],[Open/Closed]] = "Closed",Sales_Data[[#This Row],[Close Date]]-Sales_Data[[#This Row],[Created Date]],"")</f>
        <v>65</v>
      </c>
      <c r="L657" s="2">
        <f>EOMONTH(Sales_Data[[#This Row],[Created Date]],0)</f>
        <v>44957</v>
      </c>
      <c r="M657" t="b">
        <f>AND(Sales_Data[[#This Row],[EoM Created]]&gt;=Index!$E$5,Sales_Data[[#This Row],[EoM Created]]&lt;=Index!$E$4)</f>
        <v>0</v>
      </c>
      <c r="N657" t="b" cm="1">
        <f t="array" ref="N657">_xlfn.XLOOKUP(Sales_Data[[#This Row],[Sales Team]],_xlfn.ANCHORARRAY(Dashboard!$B$9),Dashboard!$D$9:$D$10,,0)</f>
        <v>1</v>
      </c>
      <c r="O657" t="b" cm="1">
        <f t="array" ref="O657">_xlfn.XLOOKUP(Sales_Data[[#This Row],[Sales Rep]],_xlfn.ANCHORARRAY(Dashboard!$B$13),Dashboard!$D$13:$D$17,,0)</f>
        <v>1</v>
      </c>
      <c r="P657" t="b" cm="1">
        <f t="array" ref="P657">_xlfn.XLOOKUP(Sales_Data[[#This Row],[Stage]],_xlfn.ANCHORARRAY(Dashboard!$B$20),Dashboard!$D$20:$D$25)</f>
        <v>1</v>
      </c>
      <c r="Q657" t="b" cm="1">
        <f t="array" ref="Q657">_xlfn.XLOOKUP(Sales_Data[[#This Row],[Lead Source]],_xlfn.ANCHORARRAY(Dashboard!$B$28),Dashboard!$D$28:$D$32)</f>
        <v>1</v>
      </c>
      <c r="R657">
        <f>Sales_Data[[#This Row],[Date inc]]*Sales_Data[[#This Row],[Team Inc]]*Sales_Data[[#This Row],[Rep Inc]]*Sales_Data[[#This Row],[Stage Inc]]*Sales_Data[[#This Row],[Source Inc]]</f>
        <v>0</v>
      </c>
    </row>
    <row r="658" spans="1:18" x14ac:dyDescent="0.3">
      <c r="A658" t="s">
        <v>665</v>
      </c>
      <c r="B658" s="2">
        <v>45766</v>
      </c>
      <c r="C658" t="s">
        <v>760</v>
      </c>
      <c r="D658" t="s">
        <v>764</v>
      </c>
      <c r="E658" t="s">
        <v>766</v>
      </c>
      <c r="F658" s="5">
        <v>40100</v>
      </c>
      <c r="G658" t="s">
        <v>774</v>
      </c>
      <c r="H658" s="2"/>
      <c r="J658" t="str">
        <f>IF(Sales_Data[[#This Row],[Close Date]] &lt;&gt; 0,"Closed", "Open")</f>
        <v>Open</v>
      </c>
      <c r="K658" t="str">
        <f>IF(Sales_Data[[#This Row],[Open/Closed]] = "Closed",Sales_Data[[#This Row],[Close Date]]-Sales_Data[[#This Row],[Created Date]],"")</f>
        <v/>
      </c>
      <c r="L658" s="2">
        <f>EOMONTH(Sales_Data[[#This Row],[Created Date]],0)</f>
        <v>45777</v>
      </c>
      <c r="M658" t="b">
        <f>AND(Sales_Data[[#This Row],[EoM Created]]&gt;=Index!$E$5,Sales_Data[[#This Row],[EoM Created]]&lt;=Index!$E$4)</f>
        <v>1</v>
      </c>
      <c r="N658" t="b" cm="1">
        <f t="array" ref="N658">_xlfn.XLOOKUP(Sales_Data[[#This Row],[Sales Team]],_xlfn.ANCHORARRAY(Dashboard!$B$9),Dashboard!$D$9:$D$10,,0)</f>
        <v>1</v>
      </c>
      <c r="O658" t="b" cm="1">
        <f t="array" ref="O658">_xlfn.XLOOKUP(Sales_Data[[#This Row],[Sales Rep]],_xlfn.ANCHORARRAY(Dashboard!$B$13),Dashboard!$D$13:$D$17,,0)</f>
        <v>1</v>
      </c>
      <c r="P658" t="b" cm="1">
        <f t="array" ref="P658">_xlfn.XLOOKUP(Sales_Data[[#This Row],[Stage]],_xlfn.ANCHORARRAY(Dashboard!$B$20),Dashboard!$D$20:$D$25)</f>
        <v>1</v>
      </c>
      <c r="Q658" t="b" cm="1">
        <f t="array" ref="Q658">_xlfn.XLOOKUP(Sales_Data[[#This Row],[Lead Source]],_xlfn.ANCHORARRAY(Dashboard!$B$28),Dashboard!$D$28:$D$32)</f>
        <v>1</v>
      </c>
      <c r="R658">
        <f>Sales_Data[[#This Row],[Date inc]]*Sales_Data[[#This Row],[Team Inc]]*Sales_Data[[#This Row],[Rep Inc]]*Sales_Data[[#This Row],[Stage Inc]]*Sales_Data[[#This Row],[Source Inc]]</f>
        <v>1</v>
      </c>
    </row>
    <row r="659" spans="1:18" x14ac:dyDescent="0.3">
      <c r="A659" t="s">
        <v>666</v>
      </c>
      <c r="B659" s="2">
        <v>45786</v>
      </c>
      <c r="C659" t="s">
        <v>762</v>
      </c>
      <c r="D659" t="s">
        <v>764</v>
      </c>
      <c r="E659" t="s">
        <v>767</v>
      </c>
      <c r="F659" s="5">
        <v>39800</v>
      </c>
      <c r="G659" t="s">
        <v>774</v>
      </c>
      <c r="H659" s="2"/>
      <c r="J659" t="str">
        <f>IF(Sales_Data[[#This Row],[Close Date]] &lt;&gt; 0,"Closed", "Open")</f>
        <v>Open</v>
      </c>
      <c r="K659" t="str">
        <f>IF(Sales_Data[[#This Row],[Open/Closed]] = "Closed",Sales_Data[[#This Row],[Close Date]]-Sales_Data[[#This Row],[Created Date]],"")</f>
        <v/>
      </c>
      <c r="L659" s="2">
        <f>EOMONTH(Sales_Data[[#This Row],[Created Date]],0)</f>
        <v>45808</v>
      </c>
      <c r="M659" t="b">
        <f>AND(Sales_Data[[#This Row],[EoM Created]]&gt;=Index!$E$5,Sales_Data[[#This Row],[EoM Created]]&lt;=Index!$E$4)</f>
        <v>1</v>
      </c>
      <c r="N659" t="b" cm="1">
        <f t="array" ref="N659">_xlfn.XLOOKUP(Sales_Data[[#This Row],[Sales Team]],_xlfn.ANCHORARRAY(Dashboard!$B$9),Dashboard!$D$9:$D$10,,0)</f>
        <v>1</v>
      </c>
      <c r="O659" t="b" cm="1">
        <f t="array" ref="O659">_xlfn.XLOOKUP(Sales_Data[[#This Row],[Sales Rep]],_xlfn.ANCHORARRAY(Dashboard!$B$13),Dashboard!$D$13:$D$17,,0)</f>
        <v>1</v>
      </c>
      <c r="P659" t="b" cm="1">
        <f t="array" ref="P659">_xlfn.XLOOKUP(Sales_Data[[#This Row],[Stage]],_xlfn.ANCHORARRAY(Dashboard!$B$20),Dashboard!$D$20:$D$25)</f>
        <v>1</v>
      </c>
      <c r="Q659" t="b" cm="1">
        <f t="array" ref="Q659">_xlfn.XLOOKUP(Sales_Data[[#This Row],[Lead Source]],_xlfn.ANCHORARRAY(Dashboard!$B$28),Dashboard!$D$28:$D$32)</f>
        <v>1</v>
      </c>
      <c r="R659">
        <f>Sales_Data[[#This Row],[Date inc]]*Sales_Data[[#This Row],[Team Inc]]*Sales_Data[[#This Row],[Rep Inc]]*Sales_Data[[#This Row],[Stage Inc]]*Sales_Data[[#This Row],[Source Inc]]</f>
        <v>1</v>
      </c>
    </row>
    <row r="660" spans="1:18" x14ac:dyDescent="0.3">
      <c r="A660" t="s">
        <v>667</v>
      </c>
      <c r="B660" s="2">
        <v>45439</v>
      </c>
      <c r="C660" t="s">
        <v>762</v>
      </c>
      <c r="D660" t="s">
        <v>764</v>
      </c>
      <c r="E660" t="s">
        <v>766</v>
      </c>
      <c r="F660" s="5">
        <v>42000</v>
      </c>
      <c r="G660" t="s">
        <v>780</v>
      </c>
      <c r="H660" s="2">
        <v>45509</v>
      </c>
      <c r="J660" t="str">
        <f>IF(Sales_Data[[#This Row],[Close Date]] &lt;&gt; 0,"Closed", "Open")</f>
        <v>Closed</v>
      </c>
      <c r="K660">
        <f>IF(Sales_Data[[#This Row],[Open/Closed]] = "Closed",Sales_Data[[#This Row],[Close Date]]-Sales_Data[[#This Row],[Created Date]],"")</f>
        <v>70</v>
      </c>
      <c r="L660" s="2">
        <f>EOMONTH(Sales_Data[[#This Row],[Created Date]],0)</f>
        <v>45443</v>
      </c>
      <c r="M660" t="b">
        <f>AND(Sales_Data[[#This Row],[EoM Created]]&gt;=Index!$E$5,Sales_Data[[#This Row],[EoM Created]]&lt;=Index!$E$4)</f>
        <v>1</v>
      </c>
      <c r="N660" t="b" cm="1">
        <f t="array" ref="N660">_xlfn.XLOOKUP(Sales_Data[[#This Row],[Sales Team]],_xlfn.ANCHORARRAY(Dashboard!$B$9),Dashboard!$D$9:$D$10,,0)</f>
        <v>1</v>
      </c>
      <c r="O660" t="b" cm="1">
        <f t="array" ref="O660">_xlfn.XLOOKUP(Sales_Data[[#This Row],[Sales Rep]],_xlfn.ANCHORARRAY(Dashboard!$B$13),Dashboard!$D$13:$D$17,,0)</f>
        <v>1</v>
      </c>
      <c r="P660" t="b" cm="1">
        <f t="array" ref="P660">_xlfn.XLOOKUP(Sales_Data[[#This Row],[Stage]],_xlfn.ANCHORARRAY(Dashboard!$B$20),Dashboard!$D$20:$D$25)</f>
        <v>1</v>
      </c>
      <c r="Q660" t="b" cm="1">
        <f t="array" ref="Q660">_xlfn.XLOOKUP(Sales_Data[[#This Row],[Lead Source]],_xlfn.ANCHORARRAY(Dashboard!$B$28),Dashboard!$D$28:$D$32)</f>
        <v>1</v>
      </c>
      <c r="R660">
        <f>Sales_Data[[#This Row],[Date inc]]*Sales_Data[[#This Row],[Team Inc]]*Sales_Data[[#This Row],[Rep Inc]]*Sales_Data[[#This Row],[Stage Inc]]*Sales_Data[[#This Row],[Source Inc]]</f>
        <v>1</v>
      </c>
    </row>
    <row r="661" spans="1:18" x14ac:dyDescent="0.3">
      <c r="A661" t="s">
        <v>668</v>
      </c>
      <c r="B661" s="2">
        <v>45077</v>
      </c>
      <c r="C661" t="s">
        <v>763</v>
      </c>
      <c r="D661" t="s">
        <v>765</v>
      </c>
      <c r="E661" t="s">
        <v>769</v>
      </c>
      <c r="F661" s="5">
        <v>38600</v>
      </c>
      <c r="G661" t="s">
        <v>781</v>
      </c>
      <c r="H661" s="2">
        <v>45137</v>
      </c>
      <c r="I661" t="s">
        <v>778</v>
      </c>
      <c r="J661" t="str">
        <f>IF(Sales_Data[[#This Row],[Close Date]] &lt;&gt; 0,"Closed", "Open")</f>
        <v>Closed</v>
      </c>
      <c r="K661">
        <f>IF(Sales_Data[[#This Row],[Open/Closed]] = "Closed",Sales_Data[[#This Row],[Close Date]]-Sales_Data[[#This Row],[Created Date]],"")</f>
        <v>60</v>
      </c>
      <c r="L661" s="2">
        <f>EOMONTH(Sales_Data[[#This Row],[Created Date]],0)</f>
        <v>45077</v>
      </c>
      <c r="M661" t="b">
        <f>AND(Sales_Data[[#This Row],[EoM Created]]&gt;=Index!$E$5,Sales_Data[[#This Row],[EoM Created]]&lt;=Index!$E$4)</f>
        <v>0</v>
      </c>
      <c r="N661" t="b" cm="1">
        <f t="array" ref="N661">_xlfn.XLOOKUP(Sales_Data[[#This Row],[Sales Team]],_xlfn.ANCHORARRAY(Dashboard!$B$9),Dashboard!$D$9:$D$10,,0)</f>
        <v>1</v>
      </c>
      <c r="O661" t="b" cm="1">
        <f t="array" ref="O661">_xlfn.XLOOKUP(Sales_Data[[#This Row],[Sales Rep]],_xlfn.ANCHORARRAY(Dashboard!$B$13),Dashboard!$D$13:$D$17,,0)</f>
        <v>1</v>
      </c>
      <c r="P661" t="b" cm="1">
        <f t="array" ref="P661">_xlfn.XLOOKUP(Sales_Data[[#This Row],[Stage]],_xlfn.ANCHORARRAY(Dashboard!$B$20),Dashboard!$D$20:$D$25)</f>
        <v>1</v>
      </c>
      <c r="Q661" t="b" cm="1">
        <f t="array" ref="Q661">_xlfn.XLOOKUP(Sales_Data[[#This Row],[Lead Source]],_xlfn.ANCHORARRAY(Dashboard!$B$28),Dashboard!$D$28:$D$32)</f>
        <v>1</v>
      </c>
      <c r="R661">
        <f>Sales_Data[[#This Row],[Date inc]]*Sales_Data[[#This Row],[Team Inc]]*Sales_Data[[#This Row],[Rep Inc]]*Sales_Data[[#This Row],[Stage Inc]]*Sales_Data[[#This Row],[Source Inc]]</f>
        <v>0</v>
      </c>
    </row>
    <row r="662" spans="1:18" x14ac:dyDescent="0.3">
      <c r="A662" t="s">
        <v>669</v>
      </c>
      <c r="B662" s="2">
        <v>45324</v>
      </c>
      <c r="C662" t="s">
        <v>760</v>
      </c>
      <c r="D662" t="s">
        <v>764</v>
      </c>
      <c r="E662" t="s">
        <v>766</v>
      </c>
      <c r="F662" s="5">
        <v>34300</v>
      </c>
      <c r="G662" t="s">
        <v>780</v>
      </c>
      <c r="H662" s="2">
        <v>45400</v>
      </c>
      <c r="J662" t="str">
        <f>IF(Sales_Data[[#This Row],[Close Date]] &lt;&gt; 0,"Closed", "Open")</f>
        <v>Closed</v>
      </c>
      <c r="K662">
        <f>IF(Sales_Data[[#This Row],[Open/Closed]] = "Closed",Sales_Data[[#This Row],[Close Date]]-Sales_Data[[#This Row],[Created Date]],"")</f>
        <v>76</v>
      </c>
      <c r="L662" s="2">
        <f>EOMONTH(Sales_Data[[#This Row],[Created Date]],0)</f>
        <v>45351</v>
      </c>
      <c r="M662" t="b">
        <f>AND(Sales_Data[[#This Row],[EoM Created]]&gt;=Index!$E$5,Sales_Data[[#This Row],[EoM Created]]&lt;=Index!$E$4)</f>
        <v>1</v>
      </c>
      <c r="N662" t="b" cm="1">
        <f t="array" ref="N662">_xlfn.XLOOKUP(Sales_Data[[#This Row],[Sales Team]],_xlfn.ANCHORARRAY(Dashboard!$B$9),Dashboard!$D$9:$D$10,,0)</f>
        <v>1</v>
      </c>
      <c r="O662" t="b" cm="1">
        <f t="array" ref="O662">_xlfn.XLOOKUP(Sales_Data[[#This Row],[Sales Rep]],_xlfn.ANCHORARRAY(Dashboard!$B$13),Dashboard!$D$13:$D$17,,0)</f>
        <v>1</v>
      </c>
      <c r="P662" t="b" cm="1">
        <f t="array" ref="P662">_xlfn.XLOOKUP(Sales_Data[[#This Row],[Stage]],_xlfn.ANCHORARRAY(Dashboard!$B$20),Dashboard!$D$20:$D$25)</f>
        <v>1</v>
      </c>
      <c r="Q662" t="b" cm="1">
        <f t="array" ref="Q662">_xlfn.XLOOKUP(Sales_Data[[#This Row],[Lead Source]],_xlfn.ANCHORARRAY(Dashboard!$B$28),Dashboard!$D$28:$D$32)</f>
        <v>1</v>
      </c>
      <c r="R662">
        <f>Sales_Data[[#This Row],[Date inc]]*Sales_Data[[#This Row],[Team Inc]]*Sales_Data[[#This Row],[Rep Inc]]*Sales_Data[[#This Row],[Stage Inc]]*Sales_Data[[#This Row],[Source Inc]]</f>
        <v>1</v>
      </c>
    </row>
    <row r="663" spans="1:18" x14ac:dyDescent="0.3">
      <c r="A663" t="s">
        <v>670</v>
      </c>
      <c r="B663" s="2">
        <v>45709</v>
      </c>
      <c r="C663" t="s">
        <v>762</v>
      </c>
      <c r="D663" t="s">
        <v>764</v>
      </c>
      <c r="E663" t="s">
        <v>767</v>
      </c>
      <c r="F663" s="5">
        <v>34500</v>
      </c>
      <c r="G663" t="s">
        <v>781</v>
      </c>
      <c r="H663" s="2">
        <v>45771</v>
      </c>
      <c r="I663" t="s">
        <v>777</v>
      </c>
      <c r="J663" t="str">
        <f>IF(Sales_Data[[#This Row],[Close Date]] &lt;&gt; 0,"Closed", "Open")</f>
        <v>Closed</v>
      </c>
      <c r="K663">
        <f>IF(Sales_Data[[#This Row],[Open/Closed]] = "Closed",Sales_Data[[#This Row],[Close Date]]-Sales_Data[[#This Row],[Created Date]],"")</f>
        <v>62</v>
      </c>
      <c r="L663" s="2">
        <f>EOMONTH(Sales_Data[[#This Row],[Created Date]],0)</f>
        <v>45716</v>
      </c>
      <c r="M663" t="b">
        <f>AND(Sales_Data[[#This Row],[EoM Created]]&gt;=Index!$E$5,Sales_Data[[#This Row],[EoM Created]]&lt;=Index!$E$4)</f>
        <v>1</v>
      </c>
      <c r="N663" t="b" cm="1">
        <f t="array" ref="N663">_xlfn.XLOOKUP(Sales_Data[[#This Row],[Sales Team]],_xlfn.ANCHORARRAY(Dashboard!$B$9),Dashboard!$D$9:$D$10,,0)</f>
        <v>1</v>
      </c>
      <c r="O663" t="b" cm="1">
        <f t="array" ref="O663">_xlfn.XLOOKUP(Sales_Data[[#This Row],[Sales Rep]],_xlfn.ANCHORARRAY(Dashboard!$B$13),Dashboard!$D$13:$D$17,,0)</f>
        <v>1</v>
      </c>
      <c r="P663" t="b" cm="1">
        <f t="array" ref="P663">_xlfn.XLOOKUP(Sales_Data[[#This Row],[Stage]],_xlfn.ANCHORARRAY(Dashboard!$B$20),Dashboard!$D$20:$D$25)</f>
        <v>1</v>
      </c>
      <c r="Q663" t="b" cm="1">
        <f t="array" ref="Q663">_xlfn.XLOOKUP(Sales_Data[[#This Row],[Lead Source]],_xlfn.ANCHORARRAY(Dashboard!$B$28),Dashboard!$D$28:$D$32)</f>
        <v>1</v>
      </c>
      <c r="R663">
        <f>Sales_Data[[#This Row],[Date inc]]*Sales_Data[[#This Row],[Team Inc]]*Sales_Data[[#This Row],[Rep Inc]]*Sales_Data[[#This Row],[Stage Inc]]*Sales_Data[[#This Row],[Source Inc]]</f>
        <v>1</v>
      </c>
    </row>
    <row r="664" spans="1:18" x14ac:dyDescent="0.3">
      <c r="A664" t="s">
        <v>671</v>
      </c>
      <c r="B664" s="2">
        <v>44992</v>
      </c>
      <c r="C664" t="s">
        <v>760</v>
      </c>
      <c r="D664" t="s">
        <v>764</v>
      </c>
      <c r="E664" t="s">
        <v>767</v>
      </c>
      <c r="F664" s="5">
        <v>39700</v>
      </c>
      <c r="G664" t="s">
        <v>781</v>
      </c>
      <c r="H664" s="2">
        <v>45055</v>
      </c>
      <c r="I664" t="s">
        <v>776</v>
      </c>
      <c r="J664" t="str">
        <f>IF(Sales_Data[[#This Row],[Close Date]] &lt;&gt; 0,"Closed", "Open")</f>
        <v>Closed</v>
      </c>
      <c r="K664">
        <f>IF(Sales_Data[[#This Row],[Open/Closed]] = "Closed",Sales_Data[[#This Row],[Close Date]]-Sales_Data[[#This Row],[Created Date]],"")</f>
        <v>63</v>
      </c>
      <c r="L664" s="2">
        <f>EOMONTH(Sales_Data[[#This Row],[Created Date]],0)</f>
        <v>45016</v>
      </c>
      <c r="M664" t="b">
        <f>AND(Sales_Data[[#This Row],[EoM Created]]&gt;=Index!$E$5,Sales_Data[[#This Row],[EoM Created]]&lt;=Index!$E$4)</f>
        <v>0</v>
      </c>
      <c r="N664" t="b" cm="1">
        <f t="array" ref="N664">_xlfn.XLOOKUP(Sales_Data[[#This Row],[Sales Team]],_xlfn.ANCHORARRAY(Dashboard!$B$9),Dashboard!$D$9:$D$10,,0)</f>
        <v>1</v>
      </c>
      <c r="O664" t="b" cm="1">
        <f t="array" ref="O664">_xlfn.XLOOKUP(Sales_Data[[#This Row],[Sales Rep]],_xlfn.ANCHORARRAY(Dashboard!$B$13),Dashboard!$D$13:$D$17,,0)</f>
        <v>1</v>
      </c>
      <c r="P664" t="b" cm="1">
        <f t="array" ref="P664">_xlfn.XLOOKUP(Sales_Data[[#This Row],[Stage]],_xlfn.ANCHORARRAY(Dashboard!$B$20),Dashboard!$D$20:$D$25)</f>
        <v>1</v>
      </c>
      <c r="Q664" t="b" cm="1">
        <f t="array" ref="Q664">_xlfn.XLOOKUP(Sales_Data[[#This Row],[Lead Source]],_xlfn.ANCHORARRAY(Dashboard!$B$28),Dashboard!$D$28:$D$32)</f>
        <v>1</v>
      </c>
      <c r="R664">
        <f>Sales_Data[[#This Row],[Date inc]]*Sales_Data[[#This Row],[Team Inc]]*Sales_Data[[#This Row],[Rep Inc]]*Sales_Data[[#This Row],[Stage Inc]]*Sales_Data[[#This Row],[Source Inc]]</f>
        <v>0</v>
      </c>
    </row>
    <row r="665" spans="1:18" x14ac:dyDescent="0.3">
      <c r="A665" t="s">
        <v>672</v>
      </c>
      <c r="B665" s="2">
        <v>45382</v>
      </c>
      <c r="C665" t="s">
        <v>763</v>
      </c>
      <c r="D665" t="s">
        <v>765</v>
      </c>
      <c r="E665" t="s">
        <v>770</v>
      </c>
      <c r="F665" s="5">
        <v>34600</v>
      </c>
      <c r="G665" t="s">
        <v>781</v>
      </c>
      <c r="H665" s="2">
        <v>45454</v>
      </c>
      <c r="I665" t="s">
        <v>779</v>
      </c>
      <c r="J665" t="str">
        <f>IF(Sales_Data[[#This Row],[Close Date]] &lt;&gt; 0,"Closed", "Open")</f>
        <v>Closed</v>
      </c>
      <c r="K665">
        <f>IF(Sales_Data[[#This Row],[Open/Closed]] = "Closed",Sales_Data[[#This Row],[Close Date]]-Sales_Data[[#This Row],[Created Date]],"")</f>
        <v>72</v>
      </c>
      <c r="L665" s="2">
        <f>EOMONTH(Sales_Data[[#This Row],[Created Date]],0)</f>
        <v>45382</v>
      </c>
      <c r="M665" t="b">
        <f>AND(Sales_Data[[#This Row],[EoM Created]]&gt;=Index!$E$5,Sales_Data[[#This Row],[EoM Created]]&lt;=Index!$E$4)</f>
        <v>1</v>
      </c>
      <c r="N665" t="b" cm="1">
        <f t="array" ref="N665">_xlfn.XLOOKUP(Sales_Data[[#This Row],[Sales Team]],_xlfn.ANCHORARRAY(Dashboard!$B$9),Dashboard!$D$9:$D$10,,0)</f>
        <v>1</v>
      </c>
      <c r="O665" t="b" cm="1">
        <f t="array" ref="O665">_xlfn.XLOOKUP(Sales_Data[[#This Row],[Sales Rep]],_xlfn.ANCHORARRAY(Dashboard!$B$13),Dashboard!$D$13:$D$17,,0)</f>
        <v>1</v>
      </c>
      <c r="P665" t="b" cm="1">
        <f t="array" ref="P665">_xlfn.XLOOKUP(Sales_Data[[#This Row],[Stage]],_xlfn.ANCHORARRAY(Dashboard!$B$20),Dashboard!$D$20:$D$25)</f>
        <v>1</v>
      </c>
      <c r="Q665" t="b" cm="1">
        <f t="array" ref="Q665">_xlfn.XLOOKUP(Sales_Data[[#This Row],[Lead Source]],_xlfn.ANCHORARRAY(Dashboard!$B$28),Dashboard!$D$28:$D$32)</f>
        <v>1</v>
      </c>
      <c r="R665">
        <f>Sales_Data[[#This Row],[Date inc]]*Sales_Data[[#This Row],[Team Inc]]*Sales_Data[[#This Row],[Rep Inc]]*Sales_Data[[#This Row],[Stage Inc]]*Sales_Data[[#This Row],[Source Inc]]</f>
        <v>1</v>
      </c>
    </row>
    <row r="666" spans="1:18" x14ac:dyDescent="0.3">
      <c r="A666" t="s">
        <v>673</v>
      </c>
      <c r="B666" s="2">
        <v>45129</v>
      </c>
      <c r="C666" t="s">
        <v>760</v>
      </c>
      <c r="D666" t="s">
        <v>764</v>
      </c>
      <c r="E666" t="s">
        <v>767</v>
      </c>
      <c r="F666" s="5">
        <v>32900</v>
      </c>
      <c r="G666" t="s">
        <v>780</v>
      </c>
      <c r="H666" s="2">
        <v>45196</v>
      </c>
      <c r="J666" t="str">
        <f>IF(Sales_Data[[#This Row],[Close Date]] &lt;&gt; 0,"Closed", "Open")</f>
        <v>Closed</v>
      </c>
      <c r="K666">
        <f>IF(Sales_Data[[#This Row],[Open/Closed]] = "Closed",Sales_Data[[#This Row],[Close Date]]-Sales_Data[[#This Row],[Created Date]],"")</f>
        <v>67</v>
      </c>
      <c r="L666" s="2">
        <f>EOMONTH(Sales_Data[[#This Row],[Created Date]],0)</f>
        <v>45138</v>
      </c>
      <c r="M666" t="b">
        <f>AND(Sales_Data[[#This Row],[EoM Created]]&gt;=Index!$E$5,Sales_Data[[#This Row],[EoM Created]]&lt;=Index!$E$4)</f>
        <v>1</v>
      </c>
      <c r="N666" t="b" cm="1">
        <f t="array" ref="N666">_xlfn.XLOOKUP(Sales_Data[[#This Row],[Sales Team]],_xlfn.ANCHORARRAY(Dashboard!$B$9),Dashboard!$D$9:$D$10,,0)</f>
        <v>1</v>
      </c>
      <c r="O666" t="b" cm="1">
        <f t="array" ref="O666">_xlfn.XLOOKUP(Sales_Data[[#This Row],[Sales Rep]],_xlfn.ANCHORARRAY(Dashboard!$B$13),Dashboard!$D$13:$D$17,,0)</f>
        <v>1</v>
      </c>
      <c r="P666" t="b" cm="1">
        <f t="array" ref="P666">_xlfn.XLOOKUP(Sales_Data[[#This Row],[Stage]],_xlfn.ANCHORARRAY(Dashboard!$B$20),Dashboard!$D$20:$D$25)</f>
        <v>1</v>
      </c>
      <c r="Q666" t="b" cm="1">
        <f t="array" ref="Q666">_xlfn.XLOOKUP(Sales_Data[[#This Row],[Lead Source]],_xlfn.ANCHORARRAY(Dashboard!$B$28),Dashboard!$D$28:$D$32)</f>
        <v>1</v>
      </c>
      <c r="R666">
        <f>Sales_Data[[#This Row],[Date inc]]*Sales_Data[[#This Row],[Team Inc]]*Sales_Data[[#This Row],[Rep Inc]]*Sales_Data[[#This Row],[Stage Inc]]*Sales_Data[[#This Row],[Source Inc]]</f>
        <v>1</v>
      </c>
    </row>
    <row r="667" spans="1:18" x14ac:dyDescent="0.3">
      <c r="A667" t="s">
        <v>674</v>
      </c>
      <c r="B667" s="2">
        <v>45047</v>
      </c>
      <c r="C667" t="s">
        <v>761</v>
      </c>
      <c r="D667" t="s">
        <v>765</v>
      </c>
      <c r="E667" t="s">
        <v>768</v>
      </c>
      <c r="F667" s="5">
        <v>41100</v>
      </c>
      <c r="G667" t="s">
        <v>780</v>
      </c>
      <c r="H667" s="2">
        <v>45116</v>
      </c>
      <c r="J667" t="str">
        <f>IF(Sales_Data[[#This Row],[Close Date]] &lt;&gt; 0,"Closed", "Open")</f>
        <v>Closed</v>
      </c>
      <c r="K667">
        <f>IF(Sales_Data[[#This Row],[Open/Closed]] = "Closed",Sales_Data[[#This Row],[Close Date]]-Sales_Data[[#This Row],[Created Date]],"")</f>
        <v>69</v>
      </c>
      <c r="L667" s="2">
        <f>EOMONTH(Sales_Data[[#This Row],[Created Date]],0)</f>
        <v>45077</v>
      </c>
      <c r="M667" t="b">
        <f>AND(Sales_Data[[#This Row],[EoM Created]]&gt;=Index!$E$5,Sales_Data[[#This Row],[EoM Created]]&lt;=Index!$E$4)</f>
        <v>0</v>
      </c>
      <c r="N667" t="b" cm="1">
        <f t="array" ref="N667">_xlfn.XLOOKUP(Sales_Data[[#This Row],[Sales Team]],_xlfn.ANCHORARRAY(Dashboard!$B$9),Dashboard!$D$9:$D$10,,0)</f>
        <v>1</v>
      </c>
      <c r="O667" t="b" cm="1">
        <f t="array" ref="O667">_xlfn.XLOOKUP(Sales_Data[[#This Row],[Sales Rep]],_xlfn.ANCHORARRAY(Dashboard!$B$13),Dashboard!$D$13:$D$17,,0)</f>
        <v>1</v>
      </c>
      <c r="P667" t="b" cm="1">
        <f t="array" ref="P667">_xlfn.XLOOKUP(Sales_Data[[#This Row],[Stage]],_xlfn.ANCHORARRAY(Dashboard!$B$20),Dashboard!$D$20:$D$25)</f>
        <v>1</v>
      </c>
      <c r="Q667" t="b" cm="1">
        <f t="array" ref="Q667">_xlfn.XLOOKUP(Sales_Data[[#This Row],[Lead Source]],_xlfn.ANCHORARRAY(Dashboard!$B$28),Dashboard!$D$28:$D$32)</f>
        <v>1</v>
      </c>
      <c r="R667">
        <f>Sales_Data[[#This Row],[Date inc]]*Sales_Data[[#This Row],[Team Inc]]*Sales_Data[[#This Row],[Rep Inc]]*Sales_Data[[#This Row],[Stage Inc]]*Sales_Data[[#This Row],[Source Inc]]</f>
        <v>0</v>
      </c>
    </row>
    <row r="668" spans="1:18" x14ac:dyDescent="0.3">
      <c r="A668" t="s">
        <v>675</v>
      </c>
      <c r="B668" s="2">
        <v>45325</v>
      </c>
      <c r="C668" t="s">
        <v>761</v>
      </c>
      <c r="D668" t="s">
        <v>765</v>
      </c>
      <c r="E668" t="s">
        <v>769</v>
      </c>
      <c r="F668" s="5">
        <v>37500</v>
      </c>
      <c r="G668" t="s">
        <v>780</v>
      </c>
      <c r="H668" s="2">
        <v>45399</v>
      </c>
      <c r="J668" t="str">
        <f>IF(Sales_Data[[#This Row],[Close Date]] &lt;&gt; 0,"Closed", "Open")</f>
        <v>Closed</v>
      </c>
      <c r="K668">
        <f>IF(Sales_Data[[#This Row],[Open/Closed]] = "Closed",Sales_Data[[#This Row],[Close Date]]-Sales_Data[[#This Row],[Created Date]],"")</f>
        <v>74</v>
      </c>
      <c r="L668" s="2">
        <f>EOMONTH(Sales_Data[[#This Row],[Created Date]],0)</f>
        <v>45351</v>
      </c>
      <c r="M668" t="b">
        <f>AND(Sales_Data[[#This Row],[EoM Created]]&gt;=Index!$E$5,Sales_Data[[#This Row],[EoM Created]]&lt;=Index!$E$4)</f>
        <v>1</v>
      </c>
      <c r="N668" t="b" cm="1">
        <f t="array" ref="N668">_xlfn.XLOOKUP(Sales_Data[[#This Row],[Sales Team]],_xlfn.ANCHORARRAY(Dashboard!$B$9),Dashboard!$D$9:$D$10,,0)</f>
        <v>1</v>
      </c>
      <c r="O668" t="b" cm="1">
        <f t="array" ref="O668">_xlfn.XLOOKUP(Sales_Data[[#This Row],[Sales Rep]],_xlfn.ANCHORARRAY(Dashboard!$B$13),Dashboard!$D$13:$D$17,,0)</f>
        <v>1</v>
      </c>
      <c r="P668" t="b" cm="1">
        <f t="array" ref="P668">_xlfn.XLOOKUP(Sales_Data[[#This Row],[Stage]],_xlfn.ANCHORARRAY(Dashboard!$B$20),Dashboard!$D$20:$D$25)</f>
        <v>1</v>
      </c>
      <c r="Q668" t="b" cm="1">
        <f t="array" ref="Q668">_xlfn.XLOOKUP(Sales_Data[[#This Row],[Lead Source]],_xlfn.ANCHORARRAY(Dashboard!$B$28),Dashboard!$D$28:$D$32)</f>
        <v>1</v>
      </c>
      <c r="R668">
        <f>Sales_Data[[#This Row],[Date inc]]*Sales_Data[[#This Row],[Team Inc]]*Sales_Data[[#This Row],[Rep Inc]]*Sales_Data[[#This Row],[Stage Inc]]*Sales_Data[[#This Row],[Source Inc]]</f>
        <v>1</v>
      </c>
    </row>
    <row r="669" spans="1:18" x14ac:dyDescent="0.3">
      <c r="A669" t="s">
        <v>676</v>
      </c>
      <c r="B669" s="2">
        <v>45089</v>
      </c>
      <c r="C669" t="s">
        <v>763</v>
      </c>
      <c r="D669" t="s">
        <v>765</v>
      </c>
      <c r="E669" t="s">
        <v>770</v>
      </c>
      <c r="F669" s="5">
        <v>55000</v>
      </c>
      <c r="G669" t="s">
        <v>781</v>
      </c>
      <c r="H669" s="2">
        <v>45163</v>
      </c>
      <c r="I669" t="s">
        <v>779</v>
      </c>
      <c r="J669" t="str">
        <f>IF(Sales_Data[[#This Row],[Close Date]] &lt;&gt; 0,"Closed", "Open")</f>
        <v>Closed</v>
      </c>
      <c r="K669">
        <f>IF(Sales_Data[[#This Row],[Open/Closed]] = "Closed",Sales_Data[[#This Row],[Close Date]]-Sales_Data[[#This Row],[Created Date]],"")</f>
        <v>74</v>
      </c>
      <c r="L669" s="2">
        <f>EOMONTH(Sales_Data[[#This Row],[Created Date]],0)</f>
        <v>45107</v>
      </c>
      <c r="M669" t="b">
        <f>AND(Sales_Data[[#This Row],[EoM Created]]&gt;=Index!$E$5,Sales_Data[[#This Row],[EoM Created]]&lt;=Index!$E$4)</f>
        <v>0</v>
      </c>
      <c r="N669" t="b" cm="1">
        <f t="array" ref="N669">_xlfn.XLOOKUP(Sales_Data[[#This Row],[Sales Team]],_xlfn.ANCHORARRAY(Dashboard!$B$9),Dashboard!$D$9:$D$10,,0)</f>
        <v>1</v>
      </c>
      <c r="O669" t="b" cm="1">
        <f t="array" ref="O669">_xlfn.XLOOKUP(Sales_Data[[#This Row],[Sales Rep]],_xlfn.ANCHORARRAY(Dashboard!$B$13),Dashboard!$D$13:$D$17,,0)</f>
        <v>1</v>
      </c>
      <c r="P669" t="b" cm="1">
        <f t="array" ref="P669">_xlfn.XLOOKUP(Sales_Data[[#This Row],[Stage]],_xlfn.ANCHORARRAY(Dashboard!$B$20),Dashboard!$D$20:$D$25)</f>
        <v>1</v>
      </c>
      <c r="Q669" t="b" cm="1">
        <f t="array" ref="Q669">_xlfn.XLOOKUP(Sales_Data[[#This Row],[Lead Source]],_xlfn.ANCHORARRAY(Dashboard!$B$28),Dashboard!$D$28:$D$32)</f>
        <v>1</v>
      </c>
      <c r="R669">
        <f>Sales_Data[[#This Row],[Date inc]]*Sales_Data[[#This Row],[Team Inc]]*Sales_Data[[#This Row],[Rep Inc]]*Sales_Data[[#This Row],[Stage Inc]]*Sales_Data[[#This Row],[Source Inc]]</f>
        <v>0</v>
      </c>
    </row>
    <row r="670" spans="1:18" x14ac:dyDescent="0.3">
      <c r="A670" t="s">
        <v>677</v>
      </c>
      <c r="B670" s="2">
        <v>45705</v>
      </c>
      <c r="C670" t="s">
        <v>759</v>
      </c>
      <c r="D670" t="s">
        <v>764</v>
      </c>
      <c r="E670" t="s">
        <v>766</v>
      </c>
      <c r="F670" s="5">
        <v>13500</v>
      </c>
      <c r="G670" t="s">
        <v>780</v>
      </c>
      <c r="H670" s="2">
        <v>45790</v>
      </c>
      <c r="J670" t="str">
        <f>IF(Sales_Data[[#This Row],[Close Date]] &lt;&gt; 0,"Closed", "Open")</f>
        <v>Closed</v>
      </c>
      <c r="K670">
        <f>IF(Sales_Data[[#This Row],[Open/Closed]] = "Closed",Sales_Data[[#This Row],[Close Date]]-Sales_Data[[#This Row],[Created Date]],"")</f>
        <v>85</v>
      </c>
      <c r="L670" s="2">
        <f>EOMONTH(Sales_Data[[#This Row],[Created Date]],0)</f>
        <v>45716</v>
      </c>
      <c r="M670" t="b">
        <f>AND(Sales_Data[[#This Row],[EoM Created]]&gt;=Index!$E$5,Sales_Data[[#This Row],[EoM Created]]&lt;=Index!$E$4)</f>
        <v>1</v>
      </c>
      <c r="N670" t="b" cm="1">
        <f t="array" ref="N670">_xlfn.XLOOKUP(Sales_Data[[#This Row],[Sales Team]],_xlfn.ANCHORARRAY(Dashboard!$B$9),Dashboard!$D$9:$D$10,,0)</f>
        <v>1</v>
      </c>
      <c r="O670" t="b" cm="1">
        <f t="array" ref="O670">_xlfn.XLOOKUP(Sales_Data[[#This Row],[Sales Rep]],_xlfn.ANCHORARRAY(Dashboard!$B$13),Dashboard!$D$13:$D$17,,0)</f>
        <v>1</v>
      </c>
      <c r="P670" t="b" cm="1">
        <f t="array" ref="P670">_xlfn.XLOOKUP(Sales_Data[[#This Row],[Stage]],_xlfn.ANCHORARRAY(Dashboard!$B$20),Dashboard!$D$20:$D$25)</f>
        <v>1</v>
      </c>
      <c r="Q670" t="b" cm="1">
        <f t="array" ref="Q670">_xlfn.XLOOKUP(Sales_Data[[#This Row],[Lead Source]],_xlfn.ANCHORARRAY(Dashboard!$B$28),Dashboard!$D$28:$D$32)</f>
        <v>1</v>
      </c>
      <c r="R670">
        <f>Sales_Data[[#This Row],[Date inc]]*Sales_Data[[#This Row],[Team Inc]]*Sales_Data[[#This Row],[Rep Inc]]*Sales_Data[[#This Row],[Stage Inc]]*Sales_Data[[#This Row],[Source Inc]]</f>
        <v>1</v>
      </c>
    </row>
    <row r="671" spans="1:18" x14ac:dyDescent="0.3">
      <c r="A671" t="s">
        <v>678</v>
      </c>
      <c r="B671" s="2">
        <v>45386</v>
      </c>
      <c r="C671" t="s">
        <v>762</v>
      </c>
      <c r="D671" t="s">
        <v>764</v>
      </c>
      <c r="E671" t="s">
        <v>767</v>
      </c>
      <c r="F671" s="5">
        <v>50900</v>
      </c>
      <c r="G671" t="s">
        <v>781</v>
      </c>
      <c r="H671" s="2">
        <v>45465</v>
      </c>
      <c r="I671" t="s">
        <v>778</v>
      </c>
      <c r="J671" t="str">
        <f>IF(Sales_Data[[#This Row],[Close Date]] &lt;&gt; 0,"Closed", "Open")</f>
        <v>Closed</v>
      </c>
      <c r="K671">
        <f>IF(Sales_Data[[#This Row],[Open/Closed]] = "Closed",Sales_Data[[#This Row],[Close Date]]-Sales_Data[[#This Row],[Created Date]],"")</f>
        <v>79</v>
      </c>
      <c r="L671" s="2">
        <f>EOMONTH(Sales_Data[[#This Row],[Created Date]],0)</f>
        <v>45412</v>
      </c>
      <c r="M671" t="b">
        <f>AND(Sales_Data[[#This Row],[EoM Created]]&gt;=Index!$E$5,Sales_Data[[#This Row],[EoM Created]]&lt;=Index!$E$4)</f>
        <v>1</v>
      </c>
      <c r="N671" t="b" cm="1">
        <f t="array" ref="N671">_xlfn.XLOOKUP(Sales_Data[[#This Row],[Sales Team]],_xlfn.ANCHORARRAY(Dashboard!$B$9),Dashboard!$D$9:$D$10,,0)</f>
        <v>1</v>
      </c>
      <c r="O671" t="b" cm="1">
        <f t="array" ref="O671">_xlfn.XLOOKUP(Sales_Data[[#This Row],[Sales Rep]],_xlfn.ANCHORARRAY(Dashboard!$B$13),Dashboard!$D$13:$D$17,,0)</f>
        <v>1</v>
      </c>
      <c r="P671" t="b" cm="1">
        <f t="array" ref="P671">_xlfn.XLOOKUP(Sales_Data[[#This Row],[Stage]],_xlfn.ANCHORARRAY(Dashboard!$B$20),Dashboard!$D$20:$D$25)</f>
        <v>1</v>
      </c>
      <c r="Q671" t="b" cm="1">
        <f t="array" ref="Q671">_xlfn.XLOOKUP(Sales_Data[[#This Row],[Lead Source]],_xlfn.ANCHORARRAY(Dashboard!$B$28),Dashboard!$D$28:$D$32)</f>
        <v>1</v>
      </c>
      <c r="R671">
        <f>Sales_Data[[#This Row],[Date inc]]*Sales_Data[[#This Row],[Team Inc]]*Sales_Data[[#This Row],[Rep Inc]]*Sales_Data[[#This Row],[Stage Inc]]*Sales_Data[[#This Row],[Source Inc]]</f>
        <v>1</v>
      </c>
    </row>
    <row r="672" spans="1:18" x14ac:dyDescent="0.3">
      <c r="A672" t="s">
        <v>679</v>
      </c>
      <c r="B672" s="2">
        <v>45006</v>
      </c>
      <c r="C672" t="s">
        <v>762</v>
      </c>
      <c r="D672" t="s">
        <v>764</v>
      </c>
      <c r="E672" t="s">
        <v>766</v>
      </c>
      <c r="F672" s="5">
        <v>52500</v>
      </c>
      <c r="G672" t="s">
        <v>781</v>
      </c>
      <c r="H672" s="2">
        <v>45096</v>
      </c>
      <c r="I672" t="s">
        <v>777</v>
      </c>
      <c r="J672" t="str">
        <f>IF(Sales_Data[[#This Row],[Close Date]] &lt;&gt; 0,"Closed", "Open")</f>
        <v>Closed</v>
      </c>
      <c r="K672">
        <f>IF(Sales_Data[[#This Row],[Open/Closed]] = "Closed",Sales_Data[[#This Row],[Close Date]]-Sales_Data[[#This Row],[Created Date]],"")</f>
        <v>90</v>
      </c>
      <c r="L672" s="2">
        <f>EOMONTH(Sales_Data[[#This Row],[Created Date]],0)</f>
        <v>45016</v>
      </c>
      <c r="M672" t="b">
        <f>AND(Sales_Data[[#This Row],[EoM Created]]&gt;=Index!$E$5,Sales_Data[[#This Row],[EoM Created]]&lt;=Index!$E$4)</f>
        <v>0</v>
      </c>
      <c r="N672" t="b" cm="1">
        <f t="array" ref="N672">_xlfn.XLOOKUP(Sales_Data[[#This Row],[Sales Team]],_xlfn.ANCHORARRAY(Dashboard!$B$9),Dashboard!$D$9:$D$10,,0)</f>
        <v>1</v>
      </c>
      <c r="O672" t="b" cm="1">
        <f t="array" ref="O672">_xlfn.XLOOKUP(Sales_Data[[#This Row],[Sales Rep]],_xlfn.ANCHORARRAY(Dashboard!$B$13),Dashboard!$D$13:$D$17,,0)</f>
        <v>1</v>
      </c>
      <c r="P672" t="b" cm="1">
        <f t="array" ref="P672">_xlfn.XLOOKUP(Sales_Data[[#This Row],[Stage]],_xlfn.ANCHORARRAY(Dashboard!$B$20),Dashboard!$D$20:$D$25)</f>
        <v>1</v>
      </c>
      <c r="Q672" t="b" cm="1">
        <f t="array" ref="Q672">_xlfn.XLOOKUP(Sales_Data[[#This Row],[Lead Source]],_xlfn.ANCHORARRAY(Dashboard!$B$28),Dashboard!$D$28:$D$32)</f>
        <v>1</v>
      </c>
      <c r="R672">
        <f>Sales_Data[[#This Row],[Date inc]]*Sales_Data[[#This Row],[Team Inc]]*Sales_Data[[#This Row],[Rep Inc]]*Sales_Data[[#This Row],[Stage Inc]]*Sales_Data[[#This Row],[Source Inc]]</f>
        <v>0</v>
      </c>
    </row>
    <row r="673" spans="1:18" x14ac:dyDescent="0.3">
      <c r="A673" t="s">
        <v>680</v>
      </c>
      <c r="B673" s="2">
        <v>44997</v>
      </c>
      <c r="C673" t="s">
        <v>763</v>
      </c>
      <c r="D673" t="s">
        <v>765</v>
      </c>
      <c r="E673" t="s">
        <v>770</v>
      </c>
      <c r="F673" s="5">
        <v>19300</v>
      </c>
      <c r="G673" t="s">
        <v>780</v>
      </c>
      <c r="H673" s="2">
        <v>45060</v>
      </c>
      <c r="J673" t="str">
        <f>IF(Sales_Data[[#This Row],[Close Date]] &lt;&gt; 0,"Closed", "Open")</f>
        <v>Closed</v>
      </c>
      <c r="K673">
        <f>IF(Sales_Data[[#This Row],[Open/Closed]] = "Closed",Sales_Data[[#This Row],[Close Date]]-Sales_Data[[#This Row],[Created Date]],"")</f>
        <v>63</v>
      </c>
      <c r="L673" s="2">
        <f>EOMONTH(Sales_Data[[#This Row],[Created Date]],0)</f>
        <v>45016</v>
      </c>
      <c r="M673" t="b">
        <f>AND(Sales_Data[[#This Row],[EoM Created]]&gt;=Index!$E$5,Sales_Data[[#This Row],[EoM Created]]&lt;=Index!$E$4)</f>
        <v>0</v>
      </c>
      <c r="N673" t="b" cm="1">
        <f t="array" ref="N673">_xlfn.XLOOKUP(Sales_Data[[#This Row],[Sales Team]],_xlfn.ANCHORARRAY(Dashboard!$B$9),Dashboard!$D$9:$D$10,,0)</f>
        <v>1</v>
      </c>
      <c r="O673" t="b" cm="1">
        <f t="array" ref="O673">_xlfn.XLOOKUP(Sales_Data[[#This Row],[Sales Rep]],_xlfn.ANCHORARRAY(Dashboard!$B$13),Dashboard!$D$13:$D$17,,0)</f>
        <v>1</v>
      </c>
      <c r="P673" t="b" cm="1">
        <f t="array" ref="P673">_xlfn.XLOOKUP(Sales_Data[[#This Row],[Stage]],_xlfn.ANCHORARRAY(Dashboard!$B$20),Dashboard!$D$20:$D$25)</f>
        <v>1</v>
      </c>
      <c r="Q673" t="b" cm="1">
        <f t="array" ref="Q673">_xlfn.XLOOKUP(Sales_Data[[#This Row],[Lead Source]],_xlfn.ANCHORARRAY(Dashboard!$B$28),Dashboard!$D$28:$D$32)</f>
        <v>1</v>
      </c>
      <c r="R673">
        <f>Sales_Data[[#This Row],[Date inc]]*Sales_Data[[#This Row],[Team Inc]]*Sales_Data[[#This Row],[Rep Inc]]*Sales_Data[[#This Row],[Stage Inc]]*Sales_Data[[#This Row],[Source Inc]]</f>
        <v>0</v>
      </c>
    </row>
    <row r="674" spans="1:18" x14ac:dyDescent="0.3">
      <c r="A674" t="s">
        <v>681</v>
      </c>
      <c r="B674" s="2">
        <v>44935</v>
      </c>
      <c r="C674" t="s">
        <v>761</v>
      </c>
      <c r="D674" t="s">
        <v>765</v>
      </c>
      <c r="E674" t="s">
        <v>769</v>
      </c>
      <c r="F674" s="5">
        <v>36600</v>
      </c>
      <c r="G674" t="s">
        <v>781</v>
      </c>
      <c r="H674" s="2">
        <v>44999</v>
      </c>
      <c r="I674" t="s">
        <v>776</v>
      </c>
      <c r="J674" t="str">
        <f>IF(Sales_Data[[#This Row],[Close Date]] &lt;&gt; 0,"Closed", "Open")</f>
        <v>Closed</v>
      </c>
      <c r="K674">
        <f>IF(Sales_Data[[#This Row],[Open/Closed]] = "Closed",Sales_Data[[#This Row],[Close Date]]-Sales_Data[[#This Row],[Created Date]],"")</f>
        <v>64</v>
      </c>
      <c r="L674" s="2">
        <f>EOMONTH(Sales_Data[[#This Row],[Created Date]],0)</f>
        <v>44957</v>
      </c>
      <c r="M674" t="b">
        <f>AND(Sales_Data[[#This Row],[EoM Created]]&gt;=Index!$E$5,Sales_Data[[#This Row],[EoM Created]]&lt;=Index!$E$4)</f>
        <v>0</v>
      </c>
      <c r="N674" t="b" cm="1">
        <f t="array" ref="N674">_xlfn.XLOOKUP(Sales_Data[[#This Row],[Sales Team]],_xlfn.ANCHORARRAY(Dashboard!$B$9),Dashboard!$D$9:$D$10,,0)</f>
        <v>1</v>
      </c>
      <c r="O674" t="b" cm="1">
        <f t="array" ref="O674">_xlfn.XLOOKUP(Sales_Data[[#This Row],[Sales Rep]],_xlfn.ANCHORARRAY(Dashboard!$B$13),Dashboard!$D$13:$D$17,,0)</f>
        <v>1</v>
      </c>
      <c r="P674" t="b" cm="1">
        <f t="array" ref="P674">_xlfn.XLOOKUP(Sales_Data[[#This Row],[Stage]],_xlfn.ANCHORARRAY(Dashboard!$B$20),Dashboard!$D$20:$D$25)</f>
        <v>1</v>
      </c>
      <c r="Q674" t="b" cm="1">
        <f t="array" ref="Q674">_xlfn.XLOOKUP(Sales_Data[[#This Row],[Lead Source]],_xlfn.ANCHORARRAY(Dashboard!$B$28),Dashboard!$D$28:$D$32)</f>
        <v>1</v>
      </c>
      <c r="R674">
        <f>Sales_Data[[#This Row],[Date inc]]*Sales_Data[[#This Row],[Team Inc]]*Sales_Data[[#This Row],[Rep Inc]]*Sales_Data[[#This Row],[Stage Inc]]*Sales_Data[[#This Row],[Source Inc]]</f>
        <v>0</v>
      </c>
    </row>
    <row r="675" spans="1:18" x14ac:dyDescent="0.3">
      <c r="A675" t="s">
        <v>682</v>
      </c>
      <c r="B675" s="2">
        <v>45280</v>
      </c>
      <c r="C675" t="s">
        <v>761</v>
      </c>
      <c r="D675" t="s">
        <v>765</v>
      </c>
      <c r="E675" t="s">
        <v>770</v>
      </c>
      <c r="F675" s="5">
        <v>36300</v>
      </c>
      <c r="G675" t="s">
        <v>781</v>
      </c>
      <c r="H675" s="2">
        <v>45343</v>
      </c>
      <c r="I675" t="s">
        <v>777</v>
      </c>
      <c r="J675" t="str">
        <f>IF(Sales_Data[[#This Row],[Close Date]] &lt;&gt; 0,"Closed", "Open")</f>
        <v>Closed</v>
      </c>
      <c r="K675">
        <f>IF(Sales_Data[[#This Row],[Open/Closed]] = "Closed",Sales_Data[[#This Row],[Close Date]]-Sales_Data[[#This Row],[Created Date]],"")</f>
        <v>63</v>
      </c>
      <c r="L675" s="2">
        <f>EOMONTH(Sales_Data[[#This Row],[Created Date]],0)</f>
        <v>45291</v>
      </c>
      <c r="M675" t="b">
        <f>AND(Sales_Data[[#This Row],[EoM Created]]&gt;=Index!$E$5,Sales_Data[[#This Row],[EoM Created]]&lt;=Index!$E$4)</f>
        <v>1</v>
      </c>
      <c r="N675" t="b" cm="1">
        <f t="array" ref="N675">_xlfn.XLOOKUP(Sales_Data[[#This Row],[Sales Team]],_xlfn.ANCHORARRAY(Dashboard!$B$9),Dashboard!$D$9:$D$10,,0)</f>
        <v>1</v>
      </c>
      <c r="O675" t="b" cm="1">
        <f t="array" ref="O675">_xlfn.XLOOKUP(Sales_Data[[#This Row],[Sales Rep]],_xlfn.ANCHORARRAY(Dashboard!$B$13),Dashboard!$D$13:$D$17,,0)</f>
        <v>1</v>
      </c>
      <c r="P675" t="b" cm="1">
        <f t="array" ref="P675">_xlfn.XLOOKUP(Sales_Data[[#This Row],[Stage]],_xlfn.ANCHORARRAY(Dashboard!$B$20),Dashboard!$D$20:$D$25)</f>
        <v>1</v>
      </c>
      <c r="Q675" t="b" cm="1">
        <f t="array" ref="Q675">_xlfn.XLOOKUP(Sales_Data[[#This Row],[Lead Source]],_xlfn.ANCHORARRAY(Dashboard!$B$28),Dashboard!$D$28:$D$32)</f>
        <v>1</v>
      </c>
      <c r="R675">
        <f>Sales_Data[[#This Row],[Date inc]]*Sales_Data[[#This Row],[Team Inc]]*Sales_Data[[#This Row],[Rep Inc]]*Sales_Data[[#This Row],[Stage Inc]]*Sales_Data[[#This Row],[Source Inc]]</f>
        <v>1</v>
      </c>
    </row>
    <row r="676" spans="1:18" x14ac:dyDescent="0.3">
      <c r="A676" t="s">
        <v>683</v>
      </c>
      <c r="B676" s="2">
        <v>45609</v>
      </c>
      <c r="C676" t="s">
        <v>763</v>
      </c>
      <c r="D676" t="s">
        <v>765</v>
      </c>
      <c r="E676" t="s">
        <v>769</v>
      </c>
      <c r="F676" s="5">
        <v>25900</v>
      </c>
      <c r="G676" t="s">
        <v>781</v>
      </c>
      <c r="H676" s="2">
        <v>45677</v>
      </c>
      <c r="I676" t="s">
        <v>778</v>
      </c>
      <c r="J676" t="str">
        <f>IF(Sales_Data[[#This Row],[Close Date]] &lt;&gt; 0,"Closed", "Open")</f>
        <v>Closed</v>
      </c>
      <c r="K676">
        <f>IF(Sales_Data[[#This Row],[Open/Closed]] = "Closed",Sales_Data[[#This Row],[Close Date]]-Sales_Data[[#This Row],[Created Date]],"")</f>
        <v>68</v>
      </c>
      <c r="L676" s="2">
        <f>EOMONTH(Sales_Data[[#This Row],[Created Date]],0)</f>
        <v>45626</v>
      </c>
      <c r="M676" t="b">
        <f>AND(Sales_Data[[#This Row],[EoM Created]]&gt;=Index!$E$5,Sales_Data[[#This Row],[EoM Created]]&lt;=Index!$E$4)</f>
        <v>1</v>
      </c>
      <c r="N676" t="b" cm="1">
        <f t="array" ref="N676">_xlfn.XLOOKUP(Sales_Data[[#This Row],[Sales Team]],_xlfn.ANCHORARRAY(Dashboard!$B$9),Dashboard!$D$9:$D$10,,0)</f>
        <v>1</v>
      </c>
      <c r="O676" t="b" cm="1">
        <f t="array" ref="O676">_xlfn.XLOOKUP(Sales_Data[[#This Row],[Sales Rep]],_xlfn.ANCHORARRAY(Dashboard!$B$13),Dashboard!$D$13:$D$17,,0)</f>
        <v>1</v>
      </c>
      <c r="P676" t="b" cm="1">
        <f t="array" ref="P676">_xlfn.XLOOKUP(Sales_Data[[#This Row],[Stage]],_xlfn.ANCHORARRAY(Dashboard!$B$20),Dashboard!$D$20:$D$25)</f>
        <v>1</v>
      </c>
      <c r="Q676" t="b" cm="1">
        <f t="array" ref="Q676">_xlfn.XLOOKUP(Sales_Data[[#This Row],[Lead Source]],_xlfn.ANCHORARRAY(Dashboard!$B$28),Dashboard!$D$28:$D$32)</f>
        <v>1</v>
      </c>
      <c r="R676">
        <f>Sales_Data[[#This Row],[Date inc]]*Sales_Data[[#This Row],[Team Inc]]*Sales_Data[[#This Row],[Rep Inc]]*Sales_Data[[#This Row],[Stage Inc]]*Sales_Data[[#This Row],[Source Inc]]</f>
        <v>1</v>
      </c>
    </row>
    <row r="677" spans="1:18" x14ac:dyDescent="0.3">
      <c r="A677" t="s">
        <v>684</v>
      </c>
      <c r="B677" s="2">
        <v>45838</v>
      </c>
      <c r="C677" t="s">
        <v>760</v>
      </c>
      <c r="D677" t="s">
        <v>764</v>
      </c>
      <c r="E677" t="s">
        <v>767</v>
      </c>
      <c r="F677" s="5">
        <v>32200</v>
      </c>
      <c r="G677" t="s">
        <v>772</v>
      </c>
      <c r="H677" s="2"/>
      <c r="J677" t="str">
        <f>IF(Sales_Data[[#This Row],[Close Date]] &lt;&gt; 0,"Closed", "Open")</f>
        <v>Open</v>
      </c>
      <c r="K677" t="str">
        <f>IF(Sales_Data[[#This Row],[Open/Closed]] = "Closed",Sales_Data[[#This Row],[Close Date]]-Sales_Data[[#This Row],[Created Date]],"")</f>
        <v/>
      </c>
      <c r="L677" s="2">
        <f>EOMONTH(Sales_Data[[#This Row],[Created Date]],0)</f>
        <v>45838</v>
      </c>
      <c r="M677" t="b">
        <f>AND(Sales_Data[[#This Row],[EoM Created]]&gt;=Index!$E$5,Sales_Data[[#This Row],[EoM Created]]&lt;=Index!$E$4)</f>
        <v>1</v>
      </c>
      <c r="N677" t="b" cm="1">
        <f t="array" ref="N677">_xlfn.XLOOKUP(Sales_Data[[#This Row],[Sales Team]],_xlfn.ANCHORARRAY(Dashboard!$B$9),Dashboard!$D$9:$D$10,,0)</f>
        <v>1</v>
      </c>
      <c r="O677" t="b" cm="1">
        <f t="array" ref="O677">_xlfn.XLOOKUP(Sales_Data[[#This Row],[Sales Rep]],_xlfn.ANCHORARRAY(Dashboard!$B$13),Dashboard!$D$13:$D$17,,0)</f>
        <v>1</v>
      </c>
      <c r="P677" t="b" cm="1">
        <f t="array" ref="P677">_xlfn.XLOOKUP(Sales_Data[[#This Row],[Stage]],_xlfn.ANCHORARRAY(Dashboard!$B$20),Dashboard!$D$20:$D$25)</f>
        <v>1</v>
      </c>
      <c r="Q677" t="b" cm="1">
        <f t="array" ref="Q677">_xlfn.XLOOKUP(Sales_Data[[#This Row],[Lead Source]],_xlfn.ANCHORARRAY(Dashboard!$B$28),Dashboard!$D$28:$D$32)</f>
        <v>1</v>
      </c>
      <c r="R677">
        <f>Sales_Data[[#This Row],[Date inc]]*Sales_Data[[#This Row],[Team Inc]]*Sales_Data[[#This Row],[Rep Inc]]*Sales_Data[[#This Row],[Stage Inc]]*Sales_Data[[#This Row],[Source Inc]]</f>
        <v>1</v>
      </c>
    </row>
    <row r="678" spans="1:18" x14ac:dyDescent="0.3">
      <c r="A678" t="s">
        <v>685</v>
      </c>
      <c r="B678" s="2">
        <v>44964</v>
      </c>
      <c r="C678" t="s">
        <v>760</v>
      </c>
      <c r="D678" t="s">
        <v>764</v>
      </c>
      <c r="E678" t="s">
        <v>767</v>
      </c>
      <c r="F678" s="5">
        <v>28900</v>
      </c>
      <c r="G678" t="s">
        <v>781</v>
      </c>
      <c r="H678" s="2">
        <v>45027</v>
      </c>
      <c r="I678" t="s">
        <v>778</v>
      </c>
      <c r="J678" t="str">
        <f>IF(Sales_Data[[#This Row],[Close Date]] &lt;&gt; 0,"Closed", "Open")</f>
        <v>Closed</v>
      </c>
      <c r="K678">
        <f>IF(Sales_Data[[#This Row],[Open/Closed]] = "Closed",Sales_Data[[#This Row],[Close Date]]-Sales_Data[[#This Row],[Created Date]],"")</f>
        <v>63</v>
      </c>
      <c r="L678" s="2">
        <f>EOMONTH(Sales_Data[[#This Row],[Created Date]],0)</f>
        <v>44985</v>
      </c>
      <c r="M678" t="b">
        <f>AND(Sales_Data[[#This Row],[EoM Created]]&gt;=Index!$E$5,Sales_Data[[#This Row],[EoM Created]]&lt;=Index!$E$4)</f>
        <v>0</v>
      </c>
      <c r="N678" t="b" cm="1">
        <f t="array" ref="N678">_xlfn.XLOOKUP(Sales_Data[[#This Row],[Sales Team]],_xlfn.ANCHORARRAY(Dashboard!$B$9),Dashboard!$D$9:$D$10,,0)</f>
        <v>1</v>
      </c>
      <c r="O678" t="b" cm="1">
        <f t="array" ref="O678">_xlfn.XLOOKUP(Sales_Data[[#This Row],[Sales Rep]],_xlfn.ANCHORARRAY(Dashboard!$B$13),Dashboard!$D$13:$D$17,,0)</f>
        <v>1</v>
      </c>
      <c r="P678" t="b" cm="1">
        <f t="array" ref="P678">_xlfn.XLOOKUP(Sales_Data[[#This Row],[Stage]],_xlfn.ANCHORARRAY(Dashboard!$B$20),Dashboard!$D$20:$D$25)</f>
        <v>1</v>
      </c>
      <c r="Q678" t="b" cm="1">
        <f t="array" ref="Q678">_xlfn.XLOOKUP(Sales_Data[[#This Row],[Lead Source]],_xlfn.ANCHORARRAY(Dashboard!$B$28),Dashboard!$D$28:$D$32)</f>
        <v>1</v>
      </c>
      <c r="R678">
        <f>Sales_Data[[#This Row],[Date inc]]*Sales_Data[[#This Row],[Team Inc]]*Sales_Data[[#This Row],[Rep Inc]]*Sales_Data[[#This Row],[Stage Inc]]*Sales_Data[[#This Row],[Source Inc]]</f>
        <v>0</v>
      </c>
    </row>
    <row r="679" spans="1:18" x14ac:dyDescent="0.3">
      <c r="A679" t="s">
        <v>686</v>
      </c>
      <c r="B679" s="2">
        <v>45001</v>
      </c>
      <c r="C679" t="s">
        <v>760</v>
      </c>
      <c r="D679" t="s">
        <v>764</v>
      </c>
      <c r="E679" t="s">
        <v>766</v>
      </c>
      <c r="F679" s="5">
        <v>57500</v>
      </c>
      <c r="G679" t="s">
        <v>781</v>
      </c>
      <c r="H679" s="2">
        <v>45075</v>
      </c>
      <c r="I679" t="s">
        <v>775</v>
      </c>
      <c r="J679" t="str">
        <f>IF(Sales_Data[[#This Row],[Close Date]] &lt;&gt; 0,"Closed", "Open")</f>
        <v>Closed</v>
      </c>
      <c r="K679">
        <f>IF(Sales_Data[[#This Row],[Open/Closed]] = "Closed",Sales_Data[[#This Row],[Close Date]]-Sales_Data[[#This Row],[Created Date]],"")</f>
        <v>74</v>
      </c>
      <c r="L679" s="2">
        <f>EOMONTH(Sales_Data[[#This Row],[Created Date]],0)</f>
        <v>45016</v>
      </c>
      <c r="M679" t="b">
        <f>AND(Sales_Data[[#This Row],[EoM Created]]&gt;=Index!$E$5,Sales_Data[[#This Row],[EoM Created]]&lt;=Index!$E$4)</f>
        <v>0</v>
      </c>
      <c r="N679" t="b" cm="1">
        <f t="array" ref="N679">_xlfn.XLOOKUP(Sales_Data[[#This Row],[Sales Team]],_xlfn.ANCHORARRAY(Dashboard!$B$9),Dashboard!$D$9:$D$10,,0)</f>
        <v>1</v>
      </c>
      <c r="O679" t="b" cm="1">
        <f t="array" ref="O679">_xlfn.XLOOKUP(Sales_Data[[#This Row],[Sales Rep]],_xlfn.ANCHORARRAY(Dashboard!$B$13),Dashboard!$D$13:$D$17,,0)</f>
        <v>1</v>
      </c>
      <c r="P679" t="b" cm="1">
        <f t="array" ref="P679">_xlfn.XLOOKUP(Sales_Data[[#This Row],[Stage]],_xlfn.ANCHORARRAY(Dashboard!$B$20),Dashboard!$D$20:$D$25)</f>
        <v>1</v>
      </c>
      <c r="Q679" t="b" cm="1">
        <f t="array" ref="Q679">_xlfn.XLOOKUP(Sales_Data[[#This Row],[Lead Source]],_xlfn.ANCHORARRAY(Dashboard!$B$28),Dashboard!$D$28:$D$32)</f>
        <v>1</v>
      </c>
      <c r="R679">
        <f>Sales_Data[[#This Row],[Date inc]]*Sales_Data[[#This Row],[Team Inc]]*Sales_Data[[#This Row],[Rep Inc]]*Sales_Data[[#This Row],[Stage Inc]]*Sales_Data[[#This Row],[Source Inc]]</f>
        <v>0</v>
      </c>
    </row>
    <row r="680" spans="1:18" x14ac:dyDescent="0.3">
      <c r="A680" t="s">
        <v>687</v>
      </c>
      <c r="B680" s="2">
        <v>45529</v>
      </c>
      <c r="C680" t="s">
        <v>759</v>
      </c>
      <c r="D680" t="s">
        <v>764</v>
      </c>
      <c r="E680" t="s">
        <v>767</v>
      </c>
      <c r="F680" s="5">
        <v>49400</v>
      </c>
      <c r="G680" t="s">
        <v>781</v>
      </c>
      <c r="H680" s="2">
        <v>45605</v>
      </c>
      <c r="I680" t="s">
        <v>776</v>
      </c>
      <c r="J680" t="str">
        <f>IF(Sales_Data[[#This Row],[Close Date]] &lt;&gt; 0,"Closed", "Open")</f>
        <v>Closed</v>
      </c>
      <c r="K680">
        <f>IF(Sales_Data[[#This Row],[Open/Closed]] = "Closed",Sales_Data[[#This Row],[Close Date]]-Sales_Data[[#This Row],[Created Date]],"")</f>
        <v>76</v>
      </c>
      <c r="L680" s="2">
        <f>EOMONTH(Sales_Data[[#This Row],[Created Date]],0)</f>
        <v>45535</v>
      </c>
      <c r="M680" t="b">
        <f>AND(Sales_Data[[#This Row],[EoM Created]]&gt;=Index!$E$5,Sales_Data[[#This Row],[EoM Created]]&lt;=Index!$E$4)</f>
        <v>1</v>
      </c>
      <c r="N680" t="b" cm="1">
        <f t="array" ref="N680">_xlfn.XLOOKUP(Sales_Data[[#This Row],[Sales Team]],_xlfn.ANCHORARRAY(Dashboard!$B$9),Dashboard!$D$9:$D$10,,0)</f>
        <v>1</v>
      </c>
      <c r="O680" t="b" cm="1">
        <f t="array" ref="O680">_xlfn.XLOOKUP(Sales_Data[[#This Row],[Sales Rep]],_xlfn.ANCHORARRAY(Dashboard!$B$13),Dashboard!$D$13:$D$17,,0)</f>
        <v>1</v>
      </c>
      <c r="P680" t="b" cm="1">
        <f t="array" ref="P680">_xlfn.XLOOKUP(Sales_Data[[#This Row],[Stage]],_xlfn.ANCHORARRAY(Dashboard!$B$20),Dashboard!$D$20:$D$25)</f>
        <v>1</v>
      </c>
      <c r="Q680" t="b" cm="1">
        <f t="array" ref="Q680">_xlfn.XLOOKUP(Sales_Data[[#This Row],[Lead Source]],_xlfn.ANCHORARRAY(Dashboard!$B$28),Dashboard!$D$28:$D$32)</f>
        <v>1</v>
      </c>
      <c r="R680">
        <f>Sales_Data[[#This Row],[Date inc]]*Sales_Data[[#This Row],[Team Inc]]*Sales_Data[[#This Row],[Rep Inc]]*Sales_Data[[#This Row],[Stage Inc]]*Sales_Data[[#This Row],[Source Inc]]</f>
        <v>1</v>
      </c>
    </row>
    <row r="681" spans="1:18" x14ac:dyDescent="0.3">
      <c r="A681" t="s">
        <v>688</v>
      </c>
      <c r="B681" s="2">
        <v>45186</v>
      </c>
      <c r="C681" t="s">
        <v>760</v>
      </c>
      <c r="D681" t="s">
        <v>764</v>
      </c>
      <c r="E681" t="s">
        <v>767</v>
      </c>
      <c r="F681" s="5">
        <v>52700</v>
      </c>
      <c r="G681" t="s">
        <v>781</v>
      </c>
      <c r="H681" s="2">
        <v>45268</v>
      </c>
      <c r="I681" t="s">
        <v>777</v>
      </c>
      <c r="J681" t="str">
        <f>IF(Sales_Data[[#This Row],[Close Date]] &lt;&gt; 0,"Closed", "Open")</f>
        <v>Closed</v>
      </c>
      <c r="K681">
        <f>IF(Sales_Data[[#This Row],[Open/Closed]] = "Closed",Sales_Data[[#This Row],[Close Date]]-Sales_Data[[#This Row],[Created Date]],"")</f>
        <v>82</v>
      </c>
      <c r="L681" s="2">
        <f>EOMONTH(Sales_Data[[#This Row],[Created Date]],0)</f>
        <v>45199</v>
      </c>
      <c r="M681" t="b">
        <f>AND(Sales_Data[[#This Row],[EoM Created]]&gt;=Index!$E$5,Sales_Data[[#This Row],[EoM Created]]&lt;=Index!$E$4)</f>
        <v>1</v>
      </c>
      <c r="N681" t="b" cm="1">
        <f t="array" ref="N681">_xlfn.XLOOKUP(Sales_Data[[#This Row],[Sales Team]],_xlfn.ANCHORARRAY(Dashboard!$B$9),Dashboard!$D$9:$D$10,,0)</f>
        <v>1</v>
      </c>
      <c r="O681" t="b" cm="1">
        <f t="array" ref="O681">_xlfn.XLOOKUP(Sales_Data[[#This Row],[Sales Rep]],_xlfn.ANCHORARRAY(Dashboard!$B$13),Dashboard!$D$13:$D$17,,0)</f>
        <v>1</v>
      </c>
      <c r="P681" t="b" cm="1">
        <f t="array" ref="P681">_xlfn.XLOOKUP(Sales_Data[[#This Row],[Stage]],_xlfn.ANCHORARRAY(Dashboard!$B$20),Dashboard!$D$20:$D$25)</f>
        <v>1</v>
      </c>
      <c r="Q681" t="b" cm="1">
        <f t="array" ref="Q681">_xlfn.XLOOKUP(Sales_Data[[#This Row],[Lead Source]],_xlfn.ANCHORARRAY(Dashboard!$B$28),Dashboard!$D$28:$D$32)</f>
        <v>1</v>
      </c>
      <c r="R681">
        <f>Sales_Data[[#This Row],[Date inc]]*Sales_Data[[#This Row],[Team Inc]]*Sales_Data[[#This Row],[Rep Inc]]*Sales_Data[[#This Row],[Stage Inc]]*Sales_Data[[#This Row],[Source Inc]]</f>
        <v>1</v>
      </c>
    </row>
    <row r="682" spans="1:18" x14ac:dyDescent="0.3">
      <c r="A682" t="s">
        <v>689</v>
      </c>
      <c r="B682" s="2">
        <v>45737</v>
      </c>
      <c r="C682" t="s">
        <v>762</v>
      </c>
      <c r="D682" t="s">
        <v>764</v>
      </c>
      <c r="E682" t="s">
        <v>767</v>
      </c>
      <c r="F682" s="5">
        <v>47200</v>
      </c>
      <c r="G682" t="s">
        <v>780</v>
      </c>
      <c r="H682" s="2">
        <v>45806</v>
      </c>
      <c r="J682" t="str">
        <f>IF(Sales_Data[[#This Row],[Close Date]] &lt;&gt; 0,"Closed", "Open")</f>
        <v>Closed</v>
      </c>
      <c r="K682">
        <f>IF(Sales_Data[[#This Row],[Open/Closed]] = "Closed",Sales_Data[[#This Row],[Close Date]]-Sales_Data[[#This Row],[Created Date]],"")</f>
        <v>69</v>
      </c>
      <c r="L682" s="2">
        <f>EOMONTH(Sales_Data[[#This Row],[Created Date]],0)</f>
        <v>45747</v>
      </c>
      <c r="M682" t="b">
        <f>AND(Sales_Data[[#This Row],[EoM Created]]&gt;=Index!$E$5,Sales_Data[[#This Row],[EoM Created]]&lt;=Index!$E$4)</f>
        <v>1</v>
      </c>
      <c r="N682" t="b" cm="1">
        <f t="array" ref="N682">_xlfn.XLOOKUP(Sales_Data[[#This Row],[Sales Team]],_xlfn.ANCHORARRAY(Dashboard!$B$9),Dashboard!$D$9:$D$10,,0)</f>
        <v>1</v>
      </c>
      <c r="O682" t="b" cm="1">
        <f t="array" ref="O682">_xlfn.XLOOKUP(Sales_Data[[#This Row],[Sales Rep]],_xlfn.ANCHORARRAY(Dashboard!$B$13),Dashboard!$D$13:$D$17,,0)</f>
        <v>1</v>
      </c>
      <c r="P682" t="b" cm="1">
        <f t="array" ref="P682">_xlfn.XLOOKUP(Sales_Data[[#This Row],[Stage]],_xlfn.ANCHORARRAY(Dashboard!$B$20),Dashboard!$D$20:$D$25)</f>
        <v>1</v>
      </c>
      <c r="Q682" t="b" cm="1">
        <f t="array" ref="Q682">_xlfn.XLOOKUP(Sales_Data[[#This Row],[Lead Source]],_xlfn.ANCHORARRAY(Dashboard!$B$28),Dashboard!$D$28:$D$32)</f>
        <v>1</v>
      </c>
      <c r="R682">
        <f>Sales_Data[[#This Row],[Date inc]]*Sales_Data[[#This Row],[Team Inc]]*Sales_Data[[#This Row],[Rep Inc]]*Sales_Data[[#This Row],[Stage Inc]]*Sales_Data[[#This Row],[Source Inc]]</f>
        <v>1</v>
      </c>
    </row>
    <row r="683" spans="1:18" x14ac:dyDescent="0.3">
      <c r="A683" t="s">
        <v>690</v>
      </c>
      <c r="B683" s="2">
        <v>45186</v>
      </c>
      <c r="C683" t="s">
        <v>759</v>
      </c>
      <c r="D683" t="s">
        <v>764</v>
      </c>
      <c r="E683" t="s">
        <v>766</v>
      </c>
      <c r="F683" s="5">
        <v>28700</v>
      </c>
      <c r="G683" t="s">
        <v>781</v>
      </c>
      <c r="H683" s="2">
        <v>45246</v>
      </c>
      <c r="I683" t="s">
        <v>777</v>
      </c>
      <c r="J683" t="str">
        <f>IF(Sales_Data[[#This Row],[Close Date]] &lt;&gt; 0,"Closed", "Open")</f>
        <v>Closed</v>
      </c>
      <c r="K683">
        <f>IF(Sales_Data[[#This Row],[Open/Closed]] = "Closed",Sales_Data[[#This Row],[Close Date]]-Sales_Data[[#This Row],[Created Date]],"")</f>
        <v>60</v>
      </c>
      <c r="L683" s="2">
        <f>EOMONTH(Sales_Data[[#This Row],[Created Date]],0)</f>
        <v>45199</v>
      </c>
      <c r="M683" t="b">
        <f>AND(Sales_Data[[#This Row],[EoM Created]]&gt;=Index!$E$5,Sales_Data[[#This Row],[EoM Created]]&lt;=Index!$E$4)</f>
        <v>1</v>
      </c>
      <c r="N683" t="b" cm="1">
        <f t="array" ref="N683">_xlfn.XLOOKUP(Sales_Data[[#This Row],[Sales Team]],_xlfn.ANCHORARRAY(Dashboard!$B$9),Dashboard!$D$9:$D$10,,0)</f>
        <v>1</v>
      </c>
      <c r="O683" t="b" cm="1">
        <f t="array" ref="O683">_xlfn.XLOOKUP(Sales_Data[[#This Row],[Sales Rep]],_xlfn.ANCHORARRAY(Dashboard!$B$13),Dashboard!$D$13:$D$17,,0)</f>
        <v>1</v>
      </c>
      <c r="P683" t="b" cm="1">
        <f t="array" ref="P683">_xlfn.XLOOKUP(Sales_Data[[#This Row],[Stage]],_xlfn.ANCHORARRAY(Dashboard!$B$20),Dashboard!$D$20:$D$25)</f>
        <v>1</v>
      </c>
      <c r="Q683" t="b" cm="1">
        <f t="array" ref="Q683">_xlfn.XLOOKUP(Sales_Data[[#This Row],[Lead Source]],_xlfn.ANCHORARRAY(Dashboard!$B$28),Dashboard!$D$28:$D$32)</f>
        <v>1</v>
      </c>
      <c r="R683">
        <f>Sales_Data[[#This Row],[Date inc]]*Sales_Data[[#This Row],[Team Inc]]*Sales_Data[[#This Row],[Rep Inc]]*Sales_Data[[#This Row],[Stage Inc]]*Sales_Data[[#This Row],[Source Inc]]</f>
        <v>1</v>
      </c>
    </row>
    <row r="684" spans="1:18" x14ac:dyDescent="0.3">
      <c r="A684" t="s">
        <v>691</v>
      </c>
      <c r="B684" s="2">
        <v>45460</v>
      </c>
      <c r="C684" t="s">
        <v>762</v>
      </c>
      <c r="D684" t="s">
        <v>764</v>
      </c>
      <c r="E684" t="s">
        <v>766</v>
      </c>
      <c r="F684" s="5">
        <v>34800</v>
      </c>
      <c r="G684" t="s">
        <v>780</v>
      </c>
      <c r="H684" s="2">
        <v>45524</v>
      </c>
      <c r="J684" t="str">
        <f>IF(Sales_Data[[#This Row],[Close Date]] &lt;&gt; 0,"Closed", "Open")</f>
        <v>Closed</v>
      </c>
      <c r="K684">
        <f>IF(Sales_Data[[#This Row],[Open/Closed]] = "Closed",Sales_Data[[#This Row],[Close Date]]-Sales_Data[[#This Row],[Created Date]],"")</f>
        <v>64</v>
      </c>
      <c r="L684" s="2">
        <f>EOMONTH(Sales_Data[[#This Row],[Created Date]],0)</f>
        <v>45473</v>
      </c>
      <c r="M684" t="b">
        <f>AND(Sales_Data[[#This Row],[EoM Created]]&gt;=Index!$E$5,Sales_Data[[#This Row],[EoM Created]]&lt;=Index!$E$4)</f>
        <v>1</v>
      </c>
      <c r="N684" t="b" cm="1">
        <f t="array" ref="N684">_xlfn.XLOOKUP(Sales_Data[[#This Row],[Sales Team]],_xlfn.ANCHORARRAY(Dashboard!$B$9),Dashboard!$D$9:$D$10,,0)</f>
        <v>1</v>
      </c>
      <c r="O684" t="b" cm="1">
        <f t="array" ref="O684">_xlfn.XLOOKUP(Sales_Data[[#This Row],[Sales Rep]],_xlfn.ANCHORARRAY(Dashboard!$B$13),Dashboard!$D$13:$D$17,,0)</f>
        <v>1</v>
      </c>
      <c r="P684" t="b" cm="1">
        <f t="array" ref="P684">_xlfn.XLOOKUP(Sales_Data[[#This Row],[Stage]],_xlfn.ANCHORARRAY(Dashboard!$B$20),Dashboard!$D$20:$D$25)</f>
        <v>1</v>
      </c>
      <c r="Q684" t="b" cm="1">
        <f t="array" ref="Q684">_xlfn.XLOOKUP(Sales_Data[[#This Row],[Lead Source]],_xlfn.ANCHORARRAY(Dashboard!$B$28),Dashboard!$D$28:$D$32)</f>
        <v>1</v>
      </c>
      <c r="R684">
        <f>Sales_Data[[#This Row],[Date inc]]*Sales_Data[[#This Row],[Team Inc]]*Sales_Data[[#This Row],[Rep Inc]]*Sales_Data[[#This Row],[Stage Inc]]*Sales_Data[[#This Row],[Source Inc]]</f>
        <v>1</v>
      </c>
    </row>
    <row r="685" spans="1:18" x14ac:dyDescent="0.3">
      <c r="A685" t="s">
        <v>692</v>
      </c>
      <c r="B685" s="2">
        <v>45138</v>
      </c>
      <c r="C685" t="s">
        <v>761</v>
      </c>
      <c r="D685" t="s">
        <v>765</v>
      </c>
      <c r="E685" t="s">
        <v>770</v>
      </c>
      <c r="F685" s="5">
        <v>44900</v>
      </c>
      <c r="G685" t="s">
        <v>781</v>
      </c>
      <c r="H685" s="2">
        <v>45223</v>
      </c>
      <c r="I685" t="s">
        <v>778</v>
      </c>
      <c r="J685" t="str">
        <f>IF(Sales_Data[[#This Row],[Close Date]] &lt;&gt; 0,"Closed", "Open")</f>
        <v>Closed</v>
      </c>
      <c r="K685">
        <f>IF(Sales_Data[[#This Row],[Open/Closed]] = "Closed",Sales_Data[[#This Row],[Close Date]]-Sales_Data[[#This Row],[Created Date]],"")</f>
        <v>85</v>
      </c>
      <c r="L685" s="2">
        <f>EOMONTH(Sales_Data[[#This Row],[Created Date]],0)</f>
        <v>45138</v>
      </c>
      <c r="M685" t="b">
        <f>AND(Sales_Data[[#This Row],[EoM Created]]&gt;=Index!$E$5,Sales_Data[[#This Row],[EoM Created]]&lt;=Index!$E$4)</f>
        <v>1</v>
      </c>
      <c r="N685" t="b" cm="1">
        <f t="array" ref="N685">_xlfn.XLOOKUP(Sales_Data[[#This Row],[Sales Team]],_xlfn.ANCHORARRAY(Dashboard!$B$9),Dashboard!$D$9:$D$10,,0)</f>
        <v>1</v>
      </c>
      <c r="O685" t="b" cm="1">
        <f t="array" ref="O685">_xlfn.XLOOKUP(Sales_Data[[#This Row],[Sales Rep]],_xlfn.ANCHORARRAY(Dashboard!$B$13),Dashboard!$D$13:$D$17,,0)</f>
        <v>1</v>
      </c>
      <c r="P685" t="b" cm="1">
        <f t="array" ref="P685">_xlfn.XLOOKUP(Sales_Data[[#This Row],[Stage]],_xlfn.ANCHORARRAY(Dashboard!$B$20),Dashboard!$D$20:$D$25)</f>
        <v>1</v>
      </c>
      <c r="Q685" t="b" cm="1">
        <f t="array" ref="Q685">_xlfn.XLOOKUP(Sales_Data[[#This Row],[Lead Source]],_xlfn.ANCHORARRAY(Dashboard!$B$28),Dashboard!$D$28:$D$32)</f>
        <v>1</v>
      </c>
      <c r="R685">
        <f>Sales_Data[[#This Row],[Date inc]]*Sales_Data[[#This Row],[Team Inc]]*Sales_Data[[#This Row],[Rep Inc]]*Sales_Data[[#This Row],[Stage Inc]]*Sales_Data[[#This Row],[Source Inc]]</f>
        <v>1</v>
      </c>
    </row>
    <row r="686" spans="1:18" x14ac:dyDescent="0.3">
      <c r="A686" t="s">
        <v>693</v>
      </c>
      <c r="B686" s="2">
        <v>45093</v>
      </c>
      <c r="C686" t="s">
        <v>761</v>
      </c>
      <c r="D686" t="s">
        <v>765</v>
      </c>
      <c r="E686" t="s">
        <v>769</v>
      </c>
      <c r="F686" s="5">
        <v>27800</v>
      </c>
      <c r="G686" t="s">
        <v>781</v>
      </c>
      <c r="H686" s="2">
        <v>45174</v>
      </c>
      <c r="I686" t="s">
        <v>779</v>
      </c>
      <c r="J686" t="str">
        <f>IF(Sales_Data[[#This Row],[Close Date]] &lt;&gt; 0,"Closed", "Open")</f>
        <v>Closed</v>
      </c>
      <c r="K686">
        <f>IF(Sales_Data[[#This Row],[Open/Closed]] = "Closed",Sales_Data[[#This Row],[Close Date]]-Sales_Data[[#This Row],[Created Date]],"")</f>
        <v>81</v>
      </c>
      <c r="L686" s="2">
        <f>EOMONTH(Sales_Data[[#This Row],[Created Date]],0)</f>
        <v>45107</v>
      </c>
      <c r="M686" t="b">
        <f>AND(Sales_Data[[#This Row],[EoM Created]]&gt;=Index!$E$5,Sales_Data[[#This Row],[EoM Created]]&lt;=Index!$E$4)</f>
        <v>0</v>
      </c>
      <c r="N686" t="b" cm="1">
        <f t="array" ref="N686">_xlfn.XLOOKUP(Sales_Data[[#This Row],[Sales Team]],_xlfn.ANCHORARRAY(Dashboard!$B$9),Dashboard!$D$9:$D$10,,0)</f>
        <v>1</v>
      </c>
      <c r="O686" t="b" cm="1">
        <f t="array" ref="O686">_xlfn.XLOOKUP(Sales_Data[[#This Row],[Sales Rep]],_xlfn.ANCHORARRAY(Dashboard!$B$13),Dashboard!$D$13:$D$17,,0)</f>
        <v>1</v>
      </c>
      <c r="P686" t="b" cm="1">
        <f t="array" ref="P686">_xlfn.XLOOKUP(Sales_Data[[#This Row],[Stage]],_xlfn.ANCHORARRAY(Dashboard!$B$20),Dashboard!$D$20:$D$25)</f>
        <v>1</v>
      </c>
      <c r="Q686" t="b" cm="1">
        <f t="array" ref="Q686">_xlfn.XLOOKUP(Sales_Data[[#This Row],[Lead Source]],_xlfn.ANCHORARRAY(Dashboard!$B$28),Dashboard!$D$28:$D$32)</f>
        <v>1</v>
      </c>
      <c r="R686">
        <f>Sales_Data[[#This Row],[Date inc]]*Sales_Data[[#This Row],[Team Inc]]*Sales_Data[[#This Row],[Rep Inc]]*Sales_Data[[#This Row],[Stage Inc]]*Sales_Data[[#This Row],[Source Inc]]</f>
        <v>0</v>
      </c>
    </row>
    <row r="687" spans="1:18" x14ac:dyDescent="0.3">
      <c r="A687" t="s">
        <v>694</v>
      </c>
      <c r="B687" s="2">
        <v>45120</v>
      </c>
      <c r="C687" t="s">
        <v>761</v>
      </c>
      <c r="D687" t="s">
        <v>765</v>
      </c>
      <c r="E687" t="s">
        <v>768</v>
      </c>
      <c r="F687" s="5">
        <v>47100</v>
      </c>
      <c r="G687" t="s">
        <v>781</v>
      </c>
      <c r="H687" s="2">
        <v>45208</v>
      </c>
      <c r="I687" t="s">
        <v>778</v>
      </c>
      <c r="J687" t="str">
        <f>IF(Sales_Data[[#This Row],[Close Date]] &lt;&gt; 0,"Closed", "Open")</f>
        <v>Closed</v>
      </c>
      <c r="K687">
        <f>IF(Sales_Data[[#This Row],[Open/Closed]] = "Closed",Sales_Data[[#This Row],[Close Date]]-Sales_Data[[#This Row],[Created Date]],"")</f>
        <v>88</v>
      </c>
      <c r="L687" s="2">
        <f>EOMONTH(Sales_Data[[#This Row],[Created Date]],0)</f>
        <v>45138</v>
      </c>
      <c r="M687" t="b">
        <f>AND(Sales_Data[[#This Row],[EoM Created]]&gt;=Index!$E$5,Sales_Data[[#This Row],[EoM Created]]&lt;=Index!$E$4)</f>
        <v>1</v>
      </c>
      <c r="N687" t="b" cm="1">
        <f t="array" ref="N687">_xlfn.XLOOKUP(Sales_Data[[#This Row],[Sales Team]],_xlfn.ANCHORARRAY(Dashboard!$B$9),Dashboard!$D$9:$D$10,,0)</f>
        <v>1</v>
      </c>
      <c r="O687" t="b" cm="1">
        <f t="array" ref="O687">_xlfn.XLOOKUP(Sales_Data[[#This Row],[Sales Rep]],_xlfn.ANCHORARRAY(Dashboard!$B$13),Dashboard!$D$13:$D$17,,0)</f>
        <v>1</v>
      </c>
      <c r="P687" t="b" cm="1">
        <f t="array" ref="P687">_xlfn.XLOOKUP(Sales_Data[[#This Row],[Stage]],_xlfn.ANCHORARRAY(Dashboard!$B$20),Dashboard!$D$20:$D$25)</f>
        <v>1</v>
      </c>
      <c r="Q687" t="b" cm="1">
        <f t="array" ref="Q687">_xlfn.XLOOKUP(Sales_Data[[#This Row],[Lead Source]],_xlfn.ANCHORARRAY(Dashboard!$B$28),Dashboard!$D$28:$D$32)</f>
        <v>1</v>
      </c>
      <c r="R687">
        <f>Sales_Data[[#This Row],[Date inc]]*Sales_Data[[#This Row],[Team Inc]]*Sales_Data[[#This Row],[Rep Inc]]*Sales_Data[[#This Row],[Stage Inc]]*Sales_Data[[#This Row],[Source Inc]]</f>
        <v>1</v>
      </c>
    </row>
    <row r="688" spans="1:18" x14ac:dyDescent="0.3">
      <c r="A688" t="s">
        <v>695</v>
      </c>
      <c r="B688" s="2">
        <v>45452</v>
      </c>
      <c r="C688" t="s">
        <v>761</v>
      </c>
      <c r="D688" t="s">
        <v>765</v>
      </c>
      <c r="E688" t="s">
        <v>770</v>
      </c>
      <c r="F688" s="5">
        <v>37600</v>
      </c>
      <c r="G688" t="s">
        <v>781</v>
      </c>
      <c r="H688" s="2">
        <v>45534</v>
      </c>
      <c r="I688" t="s">
        <v>777</v>
      </c>
      <c r="J688" t="str">
        <f>IF(Sales_Data[[#This Row],[Close Date]] &lt;&gt; 0,"Closed", "Open")</f>
        <v>Closed</v>
      </c>
      <c r="K688">
        <f>IF(Sales_Data[[#This Row],[Open/Closed]] = "Closed",Sales_Data[[#This Row],[Close Date]]-Sales_Data[[#This Row],[Created Date]],"")</f>
        <v>82</v>
      </c>
      <c r="L688" s="2">
        <f>EOMONTH(Sales_Data[[#This Row],[Created Date]],0)</f>
        <v>45473</v>
      </c>
      <c r="M688" t="b">
        <f>AND(Sales_Data[[#This Row],[EoM Created]]&gt;=Index!$E$5,Sales_Data[[#This Row],[EoM Created]]&lt;=Index!$E$4)</f>
        <v>1</v>
      </c>
      <c r="N688" t="b" cm="1">
        <f t="array" ref="N688">_xlfn.XLOOKUP(Sales_Data[[#This Row],[Sales Team]],_xlfn.ANCHORARRAY(Dashboard!$B$9),Dashboard!$D$9:$D$10,,0)</f>
        <v>1</v>
      </c>
      <c r="O688" t="b" cm="1">
        <f t="array" ref="O688">_xlfn.XLOOKUP(Sales_Data[[#This Row],[Sales Rep]],_xlfn.ANCHORARRAY(Dashboard!$B$13),Dashboard!$D$13:$D$17,,0)</f>
        <v>1</v>
      </c>
      <c r="P688" t="b" cm="1">
        <f t="array" ref="P688">_xlfn.XLOOKUP(Sales_Data[[#This Row],[Stage]],_xlfn.ANCHORARRAY(Dashboard!$B$20),Dashboard!$D$20:$D$25)</f>
        <v>1</v>
      </c>
      <c r="Q688" t="b" cm="1">
        <f t="array" ref="Q688">_xlfn.XLOOKUP(Sales_Data[[#This Row],[Lead Source]],_xlfn.ANCHORARRAY(Dashboard!$B$28),Dashboard!$D$28:$D$32)</f>
        <v>1</v>
      </c>
      <c r="R688">
        <f>Sales_Data[[#This Row],[Date inc]]*Sales_Data[[#This Row],[Team Inc]]*Sales_Data[[#This Row],[Rep Inc]]*Sales_Data[[#This Row],[Stage Inc]]*Sales_Data[[#This Row],[Source Inc]]</f>
        <v>1</v>
      </c>
    </row>
    <row r="689" spans="1:18" x14ac:dyDescent="0.3">
      <c r="A689" t="s">
        <v>696</v>
      </c>
      <c r="B689" s="2">
        <v>45286</v>
      </c>
      <c r="C689" t="s">
        <v>759</v>
      </c>
      <c r="D689" t="s">
        <v>764</v>
      </c>
      <c r="E689" t="s">
        <v>767</v>
      </c>
      <c r="F689" s="5">
        <v>36300</v>
      </c>
      <c r="G689" t="s">
        <v>781</v>
      </c>
      <c r="H689" s="2">
        <v>45373</v>
      </c>
      <c r="I689" t="s">
        <v>775</v>
      </c>
      <c r="J689" t="str">
        <f>IF(Sales_Data[[#This Row],[Close Date]] &lt;&gt; 0,"Closed", "Open")</f>
        <v>Closed</v>
      </c>
      <c r="K689">
        <f>IF(Sales_Data[[#This Row],[Open/Closed]] = "Closed",Sales_Data[[#This Row],[Close Date]]-Sales_Data[[#This Row],[Created Date]],"")</f>
        <v>87</v>
      </c>
      <c r="L689" s="2">
        <f>EOMONTH(Sales_Data[[#This Row],[Created Date]],0)</f>
        <v>45291</v>
      </c>
      <c r="M689" t="b">
        <f>AND(Sales_Data[[#This Row],[EoM Created]]&gt;=Index!$E$5,Sales_Data[[#This Row],[EoM Created]]&lt;=Index!$E$4)</f>
        <v>1</v>
      </c>
      <c r="N689" t="b" cm="1">
        <f t="array" ref="N689">_xlfn.XLOOKUP(Sales_Data[[#This Row],[Sales Team]],_xlfn.ANCHORARRAY(Dashboard!$B$9),Dashboard!$D$9:$D$10,,0)</f>
        <v>1</v>
      </c>
      <c r="O689" t="b" cm="1">
        <f t="array" ref="O689">_xlfn.XLOOKUP(Sales_Data[[#This Row],[Sales Rep]],_xlfn.ANCHORARRAY(Dashboard!$B$13),Dashboard!$D$13:$D$17,,0)</f>
        <v>1</v>
      </c>
      <c r="P689" t="b" cm="1">
        <f t="array" ref="P689">_xlfn.XLOOKUP(Sales_Data[[#This Row],[Stage]],_xlfn.ANCHORARRAY(Dashboard!$B$20),Dashboard!$D$20:$D$25)</f>
        <v>1</v>
      </c>
      <c r="Q689" t="b" cm="1">
        <f t="array" ref="Q689">_xlfn.XLOOKUP(Sales_Data[[#This Row],[Lead Source]],_xlfn.ANCHORARRAY(Dashboard!$B$28),Dashboard!$D$28:$D$32)</f>
        <v>1</v>
      </c>
      <c r="R689">
        <f>Sales_Data[[#This Row],[Date inc]]*Sales_Data[[#This Row],[Team Inc]]*Sales_Data[[#This Row],[Rep Inc]]*Sales_Data[[#This Row],[Stage Inc]]*Sales_Data[[#This Row],[Source Inc]]</f>
        <v>1</v>
      </c>
    </row>
    <row r="690" spans="1:18" x14ac:dyDescent="0.3">
      <c r="A690" t="s">
        <v>697</v>
      </c>
      <c r="B690" s="2">
        <v>45075</v>
      </c>
      <c r="C690" t="s">
        <v>763</v>
      </c>
      <c r="D690" t="s">
        <v>765</v>
      </c>
      <c r="E690" t="s">
        <v>769</v>
      </c>
      <c r="F690" s="5">
        <v>47100</v>
      </c>
      <c r="G690" t="s">
        <v>781</v>
      </c>
      <c r="H690" s="2">
        <v>45152</v>
      </c>
      <c r="I690" t="s">
        <v>775</v>
      </c>
      <c r="J690" t="str">
        <f>IF(Sales_Data[[#This Row],[Close Date]] &lt;&gt; 0,"Closed", "Open")</f>
        <v>Closed</v>
      </c>
      <c r="K690">
        <f>IF(Sales_Data[[#This Row],[Open/Closed]] = "Closed",Sales_Data[[#This Row],[Close Date]]-Sales_Data[[#This Row],[Created Date]],"")</f>
        <v>77</v>
      </c>
      <c r="L690" s="2">
        <f>EOMONTH(Sales_Data[[#This Row],[Created Date]],0)</f>
        <v>45077</v>
      </c>
      <c r="M690" t="b">
        <f>AND(Sales_Data[[#This Row],[EoM Created]]&gt;=Index!$E$5,Sales_Data[[#This Row],[EoM Created]]&lt;=Index!$E$4)</f>
        <v>0</v>
      </c>
      <c r="N690" t="b" cm="1">
        <f t="array" ref="N690">_xlfn.XLOOKUP(Sales_Data[[#This Row],[Sales Team]],_xlfn.ANCHORARRAY(Dashboard!$B$9),Dashboard!$D$9:$D$10,,0)</f>
        <v>1</v>
      </c>
      <c r="O690" t="b" cm="1">
        <f t="array" ref="O690">_xlfn.XLOOKUP(Sales_Data[[#This Row],[Sales Rep]],_xlfn.ANCHORARRAY(Dashboard!$B$13),Dashboard!$D$13:$D$17,,0)</f>
        <v>1</v>
      </c>
      <c r="P690" t="b" cm="1">
        <f t="array" ref="P690">_xlfn.XLOOKUP(Sales_Data[[#This Row],[Stage]],_xlfn.ANCHORARRAY(Dashboard!$B$20),Dashboard!$D$20:$D$25)</f>
        <v>1</v>
      </c>
      <c r="Q690" t="b" cm="1">
        <f t="array" ref="Q690">_xlfn.XLOOKUP(Sales_Data[[#This Row],[Lead Source]],_xlfn.ANCHORARRAY(Dashboard!$B$28),Dashboard!$D$28:$D$32)</f>
        <v>1</v>
      </c>
      <c r="R690">
        <f>Sales_Data[[#This Row],[Date inc]]*Sales_Data[[#This Row],[Team Inc]]*Sales_Data[[#This Row],[Rep Inc]]*Sales_Data[[#This Row],[Stage Inc]]*Sales_Data[[#This Row],[Source Inc]]</f>
        <v>0</v>
      </c>
    </row>
    <row r="691" spans="1:18" x14ac:dyDescent="0.3">
      <c r="A691" t="s">
        <v>698</v>
      </c>
      <c r="B691" s="2">
        <v>45486</v>
      </c>
      <c r="C691" t="s">
        <v>760</v>
      </c>
      <c r="D691" t="s">
        <v>764</v>
      </c>
      <c r="E691" t="s">
        <v>767</v>
      </c>
      <c r="F691" s="5">
        <v>44400</v>
      </c>
      <c r="G691" t="s">
        <v>780</v>
      </c>
      <c r="H691" s="2">
        <v>45554</v>
      </c>
      <c r="J691" t="str">
        <f>IF(Sales_Data[[#This Row],[Close Date]] &lt;&gt; 0,"Closed", "Open")</f>
        <v>Closed</v>
      </c>
      <c r="K691">
        <f>IF(Sales_Data[[#This Row],[Open/Closed]] = "Closed",Sales_Data[[#This Row],[Close Date]]-Sales_Data[[#This Row],[Created Date]],"")</f>
        <v>68</v>
      </c>
      <c r="L691" s="2">
        <f>EOMONTH(Sales_Data[[#This Row],[Created Date]],0)</f>
        <v>45504</v>
      </c>
      <c r="M691" t="b">
        <f>AND(Sales_Data[[#This Row],[EoM Created]]&gt;=Index!$E$5,Sales_Data[[#This Row],[EoM Created]]&lt;=Index!$E$4)</f>
        <v>1</v>
      </c>
      <c r="N691" t="b" cm="1">
        <f t="array" ref="N691">_xlfn.XLOOKUP(Sales_Data[[#This Row],[Sales Team]],_xlfn.ANCHORARRAY(Dashboard!$B$9),Dashboard!$D$9:$D$10,,0)</f>
        <v>1</v>
      </c>
      <c r="O691" t="b" cm="1">
        <f t="array" ref="O691">_xlfn.XLOOKUP(Sales_Data[[#This Row],[Sales Rep]],_xlfn.ANCHORARRAY(Dashboard!$B$13),Dashboard!$D$13:$D$17,,0)</f>
        <v>1</v>
      </c>
      <c r="P691" t="b" cm="1">
        <f t="array" ref="P691">_xlfn.XLOOKUP(Sales_Data[[#This Row],[Stage]],_xlfn.ANCHORARRAY(Dashboard!$B$20),Dashboard!$D$20:$D$25)</f>
        <v>1</v>
      </c>
      <c r="Q691" t="b" cm="1">
        <f t="array" ref="Q691">_xlfn.XLOOKUP(Sales_Data[[#This Row],[Lead Source]],_xlfn.ANCHORARRAY(Dashboard!$B$28),Dashboard!$D$28:$D$32)</f>
        <v>1</v>
      </c>
      <c r="R691">
        <f>Sales_Data[[#This Row],[Date inc]]*Sales_Data[[#This Row],[Team Inc]]*Sales_Data[[#This Row],[Rep Inc]]*Sales_Data[[#This Row],[Stage Inc]]*Sales_Data[[#This Row],[Source Inc]]</f>
        <v>1</v>
      </c>
    </row>
    <row r="692" spans="1:18" x14ac:dyDescent="0.3">
      <c r="A692" t="s">
        <v>699</v>
      </c>
      <c r="B692" s="2">
        <v>45505</v>
      </c>
      <c r="C692" t="s">
        <v>763</v>
      </c>
      <c r="D692" t="s">
        <v>765</v>
      </c>
      <c r="E692" t="s">
        <v>770</v>
      </c>
      <c r="F692" s="5">
        <v>36400</v>
      </c>
      <c r="G692" t="s">
        <v>780</v>
      </c>
      <c r="H692" s="2">
        <v>45593</v>
      </c>
      <c r="J692" t="str">
        <f>IF(Sales_Data[[#This Row],[Close Date]] &lt;&gt; 0,"Closed", "Open")</f>
        <v>Closed</v>
      </c>
      <c r="K692">
        <f>IF(Sales_Data[[#This Row],[Open/Closed]] = "Closed",Sales_Data[[#This Row],[Close Date]]-Sales_Data[[#This Row],[Created Date]],"")</f>
        <v>88</v>
      </c>
      <c r="L692" s="2">
        <f>EOMONTH(Sales_Data[[#This Row],[Created Date]],0)</f>
        <v>45535</v>
      </c>
      <c r="M692" t="b">
        <f>AND(Sales_Data[[#This Row],[EoM Created]]&gt;=Index!$E$5,Sales_Data[[#This Row],[EoM Created]]&lt;=Index!$E$4)</f>
        <v>1</v>
      </c>
      <c r="N692" t="b" cm="1">
        <f t="array" ref="N692">_xlfn.XLOOKUP(Sales_Data[[#This Row],[Sales Team]],_xlfn.ANCHORARRAY(Dashboard!$B$9),Dashboard!$D$9:$D$10,,0)</f>
        <v>1</v>
      </c>
      <c r="O692" t="b" cm="1">
        <f t="array" ref="O692">_xlfn.XLOOKUP(Sales_Data[[#This Row],[Sales Rep]],_xlfn.ANCHORARRAY(Dashboard!$B$13),Dashboard!$D$13:$D$17,,0)</f>
        <v>1</v>
      </c>
      <c r="P692" t="b" cm="1">
        <f t="array" ref="P692">_xlfn.XLOOKUP(Sales_Data[[#This Row],[Stage]],_xlfn.ANCHORARRAY(Dashboard!$B$20),Dashboard!$D$20:$D$25)</f>
        <v>1</v>
      </c>
      <c r="Q692" t="b" cm="1">
        <f t="array" ref="Q692">_xlfn.XLOOKUP(Sales_Data[[#This Row],[Lead Source]],_xlfn.ANCHORARRAY(Dashboard!$B$28),Dashboard!$D$28:$D$32)</f>
        <v>1</v>
      </c>
      <c r="R692">
        <f>Sales_Data[[#This Row],[Date inc]]*Sales_Data[[#This Row],[Team Inc]]*Sales_Data[[#This Row],[Rep Inc]]*Sales_Data[[#This Row],[Stage Inc]]*Sales_Data[[#This Row],[Source Inc]]</f>
        <v>1</v>
      </c>
    </row>
    <row r="693" spans="1:18" x14ac:dyDescent="0.3">
      <c r="A693" t="s">
        <v>700</v>
      </c>
      <c r="B693" s="2">
        <v>45373</v>
      </c>
      <c r="C693" t="s">
        <v>761</v>
      </c>
      <c r="D693" t="s">
        <v>765</v>
      </c>
      <c r="E693" t="s">
        <v>768</v>
      </c>
      <c r="F693" s="5">
        <v>51600</v>
      </c>
      <c r="G693" t="s">
        <v>781</v>
      </c>
      <c r="H693" s="2">
        <v>45451</v>
      </c>
      <c r="I693" t="s">
        <v>779</v>
      </c>
      <c r="J693" t="str">
        <f>IF(Sales_Data[[#This Row],[Close Date]] &lt;&gt; 0,"Closed", "Open")</f>
        <v>Closed</v>
      </c>
      <c r="K693">
        <f>IF(Sales_Data[[#This Row],[Open/Closed]] = "Closed",Sales_Data[[#This Row],[Close Date]]-Sales_Data[[#This Row],[Created Date]],"")</f>
        <v>78</v>
      </c>
      <c r="L693" s="2">
        <f>EOMONTH(Sales_Data[[#This Row],[Created Date]],0)</f>
        <v>45382</v>
      </c>
      <c r="M693" t="b">
        <f>AND(Sales_Data[[#This Row],[EoM Created]]&gt;=Index!$E$5,Sales_Data[[#This Row],[EoM Created]]&lt;=Index!$E$4)</f>
        <v>1</v>
      </c>
      <c r="N693" t="b" cm="1">
        <f t="array" ref="N693">_xlfn.XLOOKUP(Sales_Data[[#This Row],[Sales Team]],_xlfn.ANCHORARRAY(Dashboard!$B$9),Dashboard!$D$9:$D$10,,0)</f>
        <v>1</v>
      </c>
      <c r="O693" t="b" cm="1">
        <f t="array" ref="O693">_xlfn.XLOOKUP(Sales_Data[[#This Row],[Sales Rep]],_xlfn.ANCHORARRAY(Dashboard!$B$13),Dashboard!$D$13:$D$17,,0)</f>
        <v>1</v>
      </c>
      <c r="P693" t="b" cm="1">
        <f t="array" ref="P693">_xlfn.XLOOKUP(Sales_Data[[#This Row],[Stage]],_xlfn.ANCHORARRAY(Dashboard!$B$20),Dashboard!$D$20:$D$25)</f>
        <v>1</v>
      </c>
      <c r="Q693" t="b" cm="1">
        <f t="array" ref="Q693">_xlfn.XLOOKUP(Sales_Data[[#This Row],[Lead Source]],_xlfn.ANCHORARRAY(Dashboard!$B$28),Dashboard!$D$28:$D$32)</f>
        <v>1</v>
      </c>
      <c r="R693">
        <f>Sales_Data[[#This Row],[Date inc]]*Sales_Data[[#This Row],[Team Inc]]*Sales_Data[[#This Row],[Rep Inc]]*Sales_Data[[#This Row],[Stage Inc]]*Sales_Data[[#This Row],[Source Inc]]</f>
        <v>1</v>
      </c>
    </row>
    <row r="694" spans="1:18" x14ac:dyDescent="0.3">
      <c r="A694" t="s">
        <v>701</v>
      </c>
      <c r="B694" s="2">
        <v>44987</v>
      </c>
      <c r="C694" t="s">
        <v>761</v>
      </c>
      <c r="D694" t="s">
        <v>765</v>
      </c>
      <c r="E694" t="s">
        <v>770</v>
      </c>
      <c r="F694" s="5">
        <v>29200</v>
      </c>
      <c r="G694" t="s">
        <v>780</v>
      </c>
      <c r="H694" s="2">
        <v>45071</v>
      </c>
      <c r="J694" t="str">
        <f>IF(Sales_Data[[#This Row],[Close Date]] &lt;&gt; 0,"Closed", "Open")</f>
        <v>Closed</v>
      </c>
      <c r="K694">
        <f>IF(Sales_Data[[#This Row],[Open/Closed]] = "Closed",Sales_Data[[#This Row],[Close Date]]-Sales_Data[[#This Row],[Created Date]],"")</f>
        <v>84</v>
      </c>
      <c r="L694" s="2">
        <f>EOMONTH(Sales_Data[[#This Row],[Created Date]],0)</f>
        <v>45016</v>
      </c>
      <c r="M694" t="b">
        <f>AND(Sales_Data[[#This Row],[EoM Created]]&gt;=Index!$E$5,Sales_Data[[#This Row],[EoM Created]]&lt;=Index!$E$4)</f>
        <v>0</v>
      </c>
      <c r="N694" t="b" cm="1">
        <f t="array" ref="N694">_xlfn.XLOOKUP(Sales_Data[[#This Row],[Sales Team]],_xlfn.ANCHORARRAY(Dashboard!$B$9),Dashboard!$D$9:$D$10,,0)</f>
        <v>1</v>
      </c>
      <c r="O694" t="b" cm="1">
        <f t="array" ref="O694">_xlfn.XLOOKUP(Sales_Data[[#This Row],[Sales Rep]],_xlfn.ANCHORARRAY(Dashboard!$B$13),Dashboard!$D$13:$D$17,,0)</f>
        <v>1</v>
      </c>
      <c r="P694" t="b" cm="1">
        <f t="array" ref="P694">_xlfn.XLOOKUP(Sales_Data[[#This Row],[Stage]],_xlfn.ANCHORARRAY(Dashboard!$B$20),Dashboard!$D$20:$D$25)</f>
        <v>1</v>
      </c>
      <c r="Q694" t="b" cm="1">
        <f t="array" ref="Q694">_xlfn.XLOOKUP(Sales_Data[[#This Row],[Lead Source]],_xlfn.ANCHORARRAY(Dashboard!$B$28),Dashboard!$D$28:$D$32)</f>
        <v>1</v>
      </c>
      <c r="R694">
        <f>Sales_Data[[#This Row],[Date inc]]*Sales_Data[[#This Row],[Team Inc]]*Sales_Data[[#This Row],[Rep Inc]]*Sales_Data[[#This Row],[Stage Inc]]*Sales_Data[[#This Row],[Source Inc]]</f>
        <v>0</v>
      </c>
    </row>
    <row r="695" spans="1:18" x14ac:dyDescent="0.3">
      <c r="A695" t="s">
        <v>702</v>
      </c>
      <c r="B695" s="2">
        <v>45453</v>
      </c>
      <c r="C695" t="s">
        <v>759</v>
      </c>
      <c r="D695" t="s">
        <v>764</v>
      </c>
      <c r="E695" t="s">
        <v>767</v>
      </c>
      <c r="F695" s="5">
        <v>46200</v>
      </c>
      <c r="G695" t="s">
        <v>781</v>
      </c>
      <c r="H695" s="2">
        <v>45520</v>
      </c>
      <c r="I695" t="s">
        <v>778</v>
      </c>
      <c r="J695" t="str">
        <f>IF(Sales_Data[[#This Row],[Close Date]] &lt;&gt; 0,"Closed", "Open")</f>
        <v>Closed</v>
      </c>
      <c r="K695">
        <f>IF(Sales_Data[[#This Row],[Open/Closed]] = "Closed",Sales_Data[[#This Row],[Close Date]]-Sales_Data[[#This Row],[Created Date]],"")</f>
        <v>67</v>
      </c>
      <c r="L695" s="2">
        <f>EOMONTH(Sales_Data[[#This Row],[Created Date]],0)</f>
        <v>45473</v>
      </c>
      <c r="M695" t="b">
        <f>AND(Sales_Data[[#This Row],[EoM Created]]&gt;=Index!$E$5,Sales_Data[[#This Row],[EoM Created]]&lt;=Index!$E$4)</f>
        <v>1</v>
      </c>
      <c r="N695" t="b" cm="1">
        <f t="array" ref="N695">_xlfn.XLOOKUP(Sales_Data[[#This Row],[Sales Team]],_xlfn.ANCHORARRAY(Dashboard!$B$9),Dashboard!$D$9:$D$10,,0)</f>
        <v>1</v>
      </c>
      <c r="O695" t="b" cm="1">
        <f t="array" ref="O695">_xlfn.XLOOKUP(Sales_Data[[#This Row],[Sales Rep]],_xlfn.ANCHORARRAY(Dashboard!$B$13),Dashboard!$D$13:$D$17,,0)</f>
        <v>1</v>
      </c>
      <c r="P695" t="b" cm="1">
        <f t="array" ref="P695">_xlfn.XLOOKUP(Sales_Data[[#This Row],[Stage]],_xlfn.ANCHORARRAY(Dashboard!$B$20),Dashboard!$D$20:$D$25)</f>
        <v>1</v>
      </c>
      <c r="Q695" t="b" cm="1">
        <f t="array" ref="Q695">_xlfn.XLOOKUP(Sales_Data[[#This Row],[Lead Source]],_xlfn.ANCHORARRAY(Dashboard!$B$28),Dashboard!$D$28:$D$32)</f>
        <v>1</v>
      </c>
      <c r="R695">
        <f>Sales_Data[[#This Row],[Date inc]]*Sales_Data[[#This Row],[Team Inc]]*Sales_Data[[#This Row],[Rep Inc]]*Sales_Data[[#This Row],[Stage Inc]]*Sales_Data[[#This Row],[Source Inc]]</f>
        <v>1</v>
      </c>
    </row>
    <row r="696" spans="1:18" x14ac:dyDescent="0.3">
      <c r="A696" t="s">
        <v>703</v>
      </c>
      <c r="B696" s="2">
        <v>45836</v>
      </c>
      <c r="C696" t="s">
        <v>760</v>
      </c>
      <c r="D696" t="s">
        <v>764</v>
      </c>
      <c r="E696" t="s">
        <v>767</v>
      </c>
      <c r="F696" s="5">
        <v>45900</v>
      </c>
      <c r="G696" t="s">
        <v>773</v>
      </c>
      <c r="H696" s="2"/>
      <c r="J696" t="str">
        <f>IF(Sales_Data[[#This Row],[Close Date]] &lt;&gt; 0,"Closed", "Open")</f>
        <v>Open</v>
      </c>
      <c r="K696" t="str">
        <f>IF(Sales_Data[[#This Row],[Open/Closed]] = "Closed",Sales_Data[[#This Row],[Close Date]]-Sales_Data[[#This Row],[Created Date]],"")</f>
        <v/>
      </c>
      <c r="L696" s="2">
        <f>EOMONTH(Sales_Data[[#This Row],[Created Date]],0)</f>
        <v>45838</v>
      </c>
      <c r="M696" t="b">
        <f>AND(Sales_Data[[#This Row],[EoM Created]]&gt;=Index!$E$5,Sales_Data[[#This Row],[EoM Created]]&lt;=Index!$E$4)</f>
        <v>1</v>
      </c>
      <c r="N696" t="b" cm="1">
        <f t="array" ref="N696">_xlfn.XLOOKUP(Sales_Data[[#This Row],[Sales Team]],_xlfn.ANCHORARRAY(Dashboard!$B$9),Dashboard!$D$9:$D$10,,0)</f>
        <v>1</v>
      </c>
      <c r="O696" t="b" cm="1">
        <f t="array" ref="O696">_xlfn.XLOOKUP(Sales_Data[[#This Row],[Sales Rep]],_xlfn.ANCHORARRAY(Dashboard!$B$13),Dashboard!$D$13:$D$17,,0)</f>
        <v>1</v>
      </c>
      <c r="P696" t="b" cm="1">
        <f t="array" ref="P696">_xlfn.XLOOKUP(Sales_Data[[#This Row],[Stage]],_xlfn.ANCHORARRAY(Dashboard!$B$20),Dashboard!$D$20:$D$25)</f>
        <v>1</v>
      </c>
      <c r="Q696" t="b" cm="1">
        <f t="array" ref="Q696">_xlfn.XLOOKUP(Sales_Data[[#This Row],[Lead Source]],_xlfn.ANCHORARRAY(Dashboard!$B$28),Dashboard!$D$28:$D$32)</f>
        <v>1</v>
      </c>
      <c r="R696">
        <f>Sales_Data[[#This Row],[Date inc]]*Sales_Data[[#This Row],[Team Inc]]*Sales_Data[[#This Row],[Rep Inc]]*Sales_Data[[#This Row],[Stage Inc]]*Sales_Data[[#This Row],[Source Inc]]</f>
        <v>1</v>
      </c>
    </row>
    <row r="697" spans="1:18" x14ac:dyDescent="0.3">
      <c r="A697" t="s">
        <v>704</v>
      </c>
      <c r="B697" s="2">
        <v>45535</v>
      </c>
      <c r="C697" t="s">
        <v>759</v>
      </c>
      <c r="D697" t="s">
        <v>764</v>
      </c>
      <c r="E697" t="s">
        <v>766</v>
      </c>
      <c r="F697" s="5">
        <v>36900</v>
      </c>
      <c r="G697" t="s">
        <v>781</v>
      </c>
      <c r="H697" s="2">
        <v>45607</v>
      </c>
      <c r="I697" t="s">
        <v>775</v>
      </c>
      <c r="J697" t="str">
        <f>IF(Sales_Data[[#This Row],[Close Date]] &lt;&gt; 0,"Closed", "Open")</f>
        <v>Closed</v>
      </c>
      <c r="K697">
        <f>IF(Sales_Data[[#This Row],[Open/Closed]] = "Closed",Sales_Data[[#This Row],[Close Date]]-Sales_Data[[#This Row],[Created Date]],"")</f>
        <v>72</v>
      </c>
      <c r="L697" s="2">
        <f>EOMONTH(Sales_Data[[#This Row],[Created Date]],0)</f>
        <v>45535</v>
      </c>
      <c r="M697" t="b">
        <f>AND(Sales_Data[[#This Row],[EoM Created]]&gt;=Index!$E$5,Sales_Data[[#This Row],[EoM Created]]&lt;=Index!$E$4)</f>
        <v>1</v>
      </c>
      <c r="N697" t="b" cm="1">
        <f t="array" ref="N697">_xlfn.XLOOKUP(Sales_Data[[#This Row],[Sales Team]],_xlfn.ANCHORARRAY(Dashboard!$B$9),Dashboard!$D$9:$D$10,,0)</f>
        <v>1</v>
      </c>
      <c r="O697" t="b" cm="1">
        <f t="array" ref="O697">_xlfn.XLOOKUP(Sales_Data[[#This Row],[Sales Rep]],_xlfn.ANCHORARRAY(Dashboard!$B$13),Dashboard!$D$13:$D$17,,0)</f>
        <v>1</v>
      </c>
      <c r="P697" t="b" cm="1">
        <f t="array" ref="P697">_xlfn.XLOOKUP(Sales_Data[[#This Row],[Stage]],_xlfn.ANCHORARRAY(Dashboard!$B$20),Dashboard!$D$20:$D$25)</f>
        <v>1</v>
      </c>
      <c r="Q697" t="b" cm="1">
        <f t="array" ref="Q697">_xlfn.XLOOKUP(Sales_Data[[#This Row],[Lead Source]],_xlfn.ANCHORARRAY(Dashboard!$B$28),Dashboard!$D$28:$D$32)</f>
        <v>1</v>
      </c>
      <c r="R697">
        <f>Sales_Data[[#This Row],[Date inc]]*Sales_Data[[#This Row],[Team Inc]]*Sales_Data[[#This Row],[Rep Inc]]*Sales_Data[[#This Row],[Stage Inc]]*Sales_Data[[#This Row],[Source Inc]]</f>
        <v>1</v>
      </c>
    </row>
    <row r="698" spans="1:18" x14ac:dyDescent="0.3">
      <c r="A698" t="s">
        <v>705</v>
      </c>
      <c r="B698" s="2">
        <v>45020</v>
      </c>
      <c r="C698" t="s">
        <v>761</v>
      </c>
      <c r="D698" t="s">
        <v>765</v>
      </c>
      <c r="E698" t="s">
        <v>770</v>
      </c>
      <c r="F698" s="5">
        <v>43300</v>
      </c>
      <c r="G698" t="s">
        <v>781</v>
      </c>
      <c r="H698" s="2">
        <v>45098</v>
      </c>
      <c r="I698" t="s">
        <v>779</v>
      </c>
      <c r="J698" t="str">
        <f>IF(Sales_Data[[#This Row],[Close Date]] &lt;&gt; 0,"Closed", "Open")</f>
        <v>Closed</v>
      </c>
      <c r="K698">
        <f>IF(Sales_Data[[#This Row],[Open/Closed]] = "Closed",Sales_Data[[#This Row],[Close Date]]-Sales_Data[[#This Row],[Created Date]],"")</f>
        <v>78</v>
      </c>
      <c r="L698" s="2">
        <f>EOMONTH(Sales_Data[[#This Row],[Created Date]],0)</f>
        <v>45046</v>
      </c>
      <c r="M698" t="b">
        <f>AND(Sales_Data[[#This Row],[EoM Created]]&gt;=Index!$E$5,Sales_Data[[#This Row],[EoM Created]]&lt;=Index!$E$4)</f>
        <v>0</v>
      </c>
      <c r="N698" t="b" cm="1">
        <f t="array" ref="N698">_xlfn.XLOOKUP(Sales_Data[[#This Row],[Sales Team]],_xlfn.ANCHORARRAY(Dashboard!$B$9),Dashboard!$D$9:$D$10,,0)</f>
        <v>1</v>
      </c>
      <c r="O698" t="b" cm="1">
        <f t="array" ref="O698">_xlfn.XLOOKUP(Sales_Data[[#This Row],[Sales Rep]],_xlfn.ANCHORARRAY(Dashboard!$B$13),Dashboard!$D$13:$D$17,,0)</f>
        <v>1</v>
      </c>
      <c r="P698" t="b" cm="1">
        <f t="array" ref="P698">_xlfn.XLOOKUP(Sales_Data[[#This Row],[Stage]],_xlfn.ANCHORARRAY(Dashboard!$B$20),Dashboard!$D$20:$D$25)</f>
        <v>1</v>
      </c>
      <c r="Q698" t="b" cm="1">
        <f t="array" ref="Q698">_xlfn.XLOOKUP(Sales_Data[[#This Row],[Lead Source]],_xlfn.ANCHORARRAY(Dashboard!$B$28),Dashboard!$D$28:$D$32)</f>
        <v>1</v>
      </c>
      <c r="R698">
        <f>Sales_Data[[#This Row],[Date inc]]*Sales_Data[[#This Row],[Team Inc]]*Sales_Data[[#This Row],[Rep Inc]]*Sales_Data[[#This Row],[Stage Inc]]*Sales_Data[[#This Row],[Source Inc]]</f>
        <v>0</v>
      </c>
    </row>
    <row r="699" spans="1:18" x14ac:dyDescent="0.3">
      <c r="A699" t="s">
        <v>706</v>
      </c>
      <c r="B699" s="2">
        <v>45281</v>
      </c>
      <c r="C699" t="s">
        <v>762</v>
      </c>
      <c r="D699" t="s">
        <v>764</v>
      </c>
      <c r="E699" t="s">
        <v>766</v>
      </c>
      <c r="F699" s="5">
        <v>27500</v>
      </c>
      <c r="G699" t="s">
        <v>781</v>
      </c>
      <c r="H699" s="2">
        <v>45362</v>
      </c>
      <c r="I699" t="s">
        <v>777</v>
      </c>
      <c r="J699" t="str">
        <f>IF(Sales_Data[[#This Row],[Close Date]] &lt;&gt; 0,"Closed", "Open")</f>
        <v>Closed</v>
      </c>
      <c r="K699">
        <f>IF(Sales_Data[[#This Row],[Open/Closed]] = "Closed",Sales_Data[[#This Row],[Close Date]]-Sales_Data[[#This Row],[Created Date]],"")</f>
        <v>81</v>
      </c>
      <c r="L699" s="2">
        <f>EOMONTH(Sales_Data[[#This Row],[Created Date]],0)</f>
        <v>45291</v>
      </c>
      <c r="M699" t="b">
        <f>AND(Sales_Data[[#This Row],[EoM Created]]&gt;=Index!$E$5,Sales_Data[[#This Row],[EoM Created]]&lt;=Index!$E$4)</f>
        <v>1</v>
      </c>
      <c r="N699" t="b" cm="1">
        <f t="array" ref="N699">_xlfn.XLOOKUP(Sales_Data[[#This Row],[Sales Team]],_xlfn.ANCHORARRAY(Dashboard!$B$9),Dashboard!$D$9:$D$10,,0)</f>
        <v>1</v>
      </c>
      <c r="O699" t="b" cm="1">
        <f t="array" ref="O699">_xlfn.XLOOKUP(Sales_Data[[#This Row],[Sales Rep]],_xlfn.ANCHORARRAY(Dashboard!$B$13),Dashboard!$D$13:$D$17,,0)</f>
        <v>1</v>
      </c>
      <c r="P699" t="b" cm="1">
        <f t="array" ref="P699">_xlfn.XLOOKUP(Sales_Data[[#This Row],[Stage]],_xlfn.ANCHORARRAY(Dashboard!$B$20),Dashboard!$D$20:$D$25)</f>
        <v>1</v>
      </c>
      <c r="Q699" t="b" cm="1">
        <f t="array" ref="Q699">_xlfn.XLOOKUP(Sales_Data[[#This Row],[Lead Source]],_xlfn.ANCHORARRAY(Dashboard!$B$28),Dashboard!$D$28:$D$32)</f>
        <v>1</v>
      </c>
      <c r="R699">
        <f>Sales_Data[[#This Row],[Date inc]]*Sales_Data[[#This Row],[Team Inc]]*Sales_Data[[#This Row],[Rep Inc]]*Sales_Data[[#This Row],[Stage Inc]]*Sales_Data[[#This Row],[Source Inc]]</f>
        <v>1</v>
      </c>
    </row>
    <row r="700" spans="1:18" x14ac:dyDescent="0.3">
      <c r="A700" t="s">
        <v>707</v>
      </c>
      <c r="B700" s="2">
        <v>44988</v>
      </c>
      <c r="C700" t="s">
        <v>761</v>
      </c>
      <c r="D700" t="s">
        <v>765</v>
      </c>
      <c r="E700" t="s">
        <v>769</v>
      </c>
      <c r="F700" s="5">
        <v>49200</v>
      </c>
      <c r="G700" t="s">
        <v>780</v>
      </c>
      <c r="H700" s="2">
        <v>45056</v>
      </c>
      <c r="J700" t="str">
        <f>IF(Sales_Data[[#This Row],[Close Date]] &lt;&gt; 0,"Closed", "Open")</f>
        <v>Closed</v>
      </c>
      <c r="K700">
        <f>IF(Sales_Data[[#This Row],[Open/Closed]] = "Closed",Sales_Data[[#This Row],[Close Date]]-Sales_Data[[#This Row],[Created Date]],"")</f>
        <v>68</v>
      </c>
      <c r="L700" s="2">
        <f>EOMONTH(Sales_Data[[#This Row],[Created Date]],0)</f>
        <v>45016</v>
      </c>
      <c r="M700" t="b">
        <f>AND(Sales_Data[[#This Row],[EoM Created]]&gt;=Index!$E$5,Sales_Data[[#This Row],[EoM Created]]&lt;=Index!$E$4)</f>
        <v>0</v>
      </c>
      <c r="N700" t="b" cm="1">
        <f t="array" ref="N700">_xlfn.XLOOKUP(Sales_Data[[#This Row],[Sales Team]],_xlfn.ANCHORARRAY(Dashboard!$B$9),Dashboard!$D$9:$D$10,,0)</f>
        <v>1</v>
      </c>
      <c r="O700" t="b" cm="1">
        <f t="array" ref="O700">_xlfn.XLOOKUP(Sales_Data[[#This Row],[Sales Rep]],_xlfn.ANCHORARRAY(Dashboard!$B$13),Dashboard!$D$13:$D$17,,0)</f>
        <v>1</v>
      </c>
      <c r="P700" t="b" cm="1">
        <f t="array" ref="P700">_xlfn.XLOOKUP(Sales_Data[[#This Row],[Stage]],_xlfn.ANCHORARRAY(Dashboard!$B$20),Dashboard!$D$20:$D$25)</f>
        <v>1</v>
      </c>
      <c r="Q700" t="b" cm="1">
        <f t="array" ref="Q700">_xlfn.XLOOKUP(Sales_Data[[#This Row],[Lead Source]],_xlfn.ANCHORARRAY(Dashboard!$B$28),Dashboard!$D$28:$D$32)</f>
        <v>1</v>
      </c>
      <c r="R700">
        <f>Sales_Data[[#This Row],[Date inc]]*Sales_Data[[#This Row],[Team Inc]]*Sales_Data[[#This Row],[Rep Inc]]*Sales_Data[[#This Row],[Stage Inc]]*Sales_Data[[#This Row],[Source Inc]]</f>
        <v>0</v>
      </c>
    </row>
    <row r="701" spans="1:18" x14ac:dyDescent="0.3">
      <c r="A701" t="s">
        <v>708</v>
      </c>
      <c r="B701" s="2">
        <v>45830</v>
      </c>
      <c r="C701" t="s">
        <v>759</v>
      </c>
      <c r="D701" t="s">
        <v>764</v>
      </c>
      <c r="E701" t="s">
        <v>767</v>
      </c>
      <c r="F701" s="5">
        <v>38200</v>
      </c>
      <c r="G701" t="s">
        <v>771</v>
      </c>
      <c r="H701" s="2"/>
      <c r="J701" t="str">
        <f>IF(Sales_Data[[#This Row],[Close Date]] &lt;&gt; 0,"Closed", "Open")</f>
        <v>Open</v>
      </c>
      <c r="K701" t="str">
        <f>IF(Sales_Data[[#This Row],[Open/Closed]] = "Closed",Sales_Data[[#This Row],[Close Date]]-Sales_Data[[#This Row],[Created Date]],"")</f>
        <v/>
      </c>
      <c r="L701" s="2">
        <f>EOMONTH(Sales_Data[[#This Row],[Created Date]],0)</f>
        <v>45838</v>
      </c>
      <c r="M701" t="b">
        <f>AND(Sales_Data[[#This Row],[EoM Created]]&gt;=Index!$E$5,Sales_Data[[#This Row],[EoM Created]]&lt;=Index!$E$4)</f>
        <v>1</v>
      </c>
      <c r="N701" t="b" cm="1">
        <f t="array" ref="N701">_xlfn.XLOOKUP(Sales_Data[[#This Row],[Sales Team]],_xlfn.ANCHORARRAY(Dashboard!$B$9),Dashboard!$D$9:$D$10,,0)</f>
        <v>1</v>
      </c>
      <c r="O701" t="b" cm="1">
        <f t="array" ref="O701">_xlfn.XLOOKUP(Sales_Data[[#This Row],[Sales Rep]],_xlfn.ANCHORARRAY(Dashboard!$B$13),Dashboard!$D$13:$D$17,,0)</f>
        <v>1</v>
      </c>
      <c r="P701" t="b" cm="1">
        <f t="array" ref="P701">_xlfn.XLOOKUP(Sales_Data[[#This Row],[Stage]],_xlfn.ANCHORARRAY(Dashboard!$B$20),Dashboard!$D$20:$D$25)</f>
        <v>1</v>
      </c>
      <c r="Q701" t="b" cm="1">
        <f t="array" ref="Q701">_xlfn.XLOOKUP(Sales_Data[[#This Row],[Lead Source]],_xlfn.ANCHORARRAY(Dashboard!$B$28),Dashboard!$D$28:$D$32)</f>
        <v>1</v>
      </c>
      <c r="R701">
        <f>Sales_Data[[#This Row],[Date inc]]*Sales_Data[[#This Row],[Team Inc]]*Sales_Data[[#This Row],[Rep Inc]]*Sales_Data[[#This Row],[Stage Inc]]*Sales_Data[[#This Row],[Source Inc]]</f>
        <v>1</v>
      </c>
    </row>
    <row r="702" spans="1:18" x14ac:dyDescent="0.3">
      <c r="A702" t="s">
        <v>709</v>
      </c>
      <c r="B702" s="2">
        <v>45780</v>
      </c>
      <c r="C702" t="s">
        <v>761</v>
      </c>
      <c r="D702" t="s">
        <v>765</v>
      </c>
      <c r="E702" t="s">
        <v>770</v>
      </c>
      <c r="F702" s="5">
        <v>34800</v>
      </c>
      <c r="G702" t="s">
        <v>774</v>
      </c>
      <c r="H702" s="2"/>
      <c r="J702" t="str">
        <f>IF(Sales_Data[[#This Row],[Close Date]] &lt;&gt; 0,"Closed", "Open")</f>
        <v>Open</v>
      </c>
      <c r="K702" t="str">
        <f>IF(Sales_Data[[#This Row],[Open/Closed]] = "Closed",Sales_Data[[#This Row],[Close Date]]-Sales_Data[[#This Row],[Created Date]],"")</f>
        <v/>
      </c>
      <c r="L702" s="2">
        <f>EOMONTH(Sales_Data[[#This Row],[Created Date]],0)</f>
        <v>45808</v>
      </c>
      <c r="M702" t="b">
        <f>AND(Sales_Data[[#This Row],[EoM Created]]&gt;=Index!$E$5,Sales_Data[[#This Row],[EoM Created]]&lt;=Index!$E$4)</f>
        <v>1</v>
      </c>
      <c r="N702" t="b" cm="1">
        <f t="array" ref="N702">_xlfn.XLOOKUP(Sales_Data[[#This Row],[Sales Team]],_xlfn.ANCHORARRAY(Dashboard!$B$9),Dashboard!$D$9:$D$10,,0)</f>
        <v>1</v>
      </c>
      <c r="O702" t="b" cm="1">
        <f t="array" ref="O702">_xlfn.XLOOKUP(Sales_Data[[#This Row],[Sales Rep]],_xlfn.ANCHORARRAY(Dashboard!$B$13),Dashboard!$D$13:$D$17,,0)</f>
        <v>1</v>
      </c>
      <c r="P702" t="b" cm="1">
        <f t="array" ref="P702">_xlfn.XLOOKUP(Sales_Data[[#This Row],[Stage]],_xlfn.ANCHORARRAY(Dashboard!$B$20),Dashboard!$D$20:$D$25)</f>
        <v>1</v>
      </c>
      <c r="Q702" t="b" cm="1">
        <f t="array" ref="Q702">_xlfn.XLOOKUP(Sales_Data[[#This Row],[Lead Source]],_xlfn.ANCHORARRAY(Dashboard!$B$28),Dashboard!$D$28:$D$32)</f>
        <v>1</v>
      </c>
      <c r="R702">
        <f>Sales_Data[[#This Row],[Date inc]]*Sales_Data[[#This Row],[Team Inc]]*Sales_Data[[#This Row],[Rep Inc]]*Sales_Data[[#This Row],[Stage Inc]]*Sales_Data[[#This Row],[Source Inc]]</f>
        <v>1</v>
      </c>
    </row>
    <row r="703" spans="1:18" x14ac:dyDescent="0.3">
      <c r="A703" t="s">
        <v>710</v>
      </c>
      <c r="B703" s="2">
        <v>45661</v>
      </c>
      <c r="C703" t="s">
        <v>759</v>
      </c>
      <c r="D703" t="s">
        <v>764</v>
      </c>
      <c r="E703" t="s">
        <v>767</v>
      </c>
      <c r="F703" s="5">
        <v>50500</v>
      </c>
      <c r="G703" t="s">
        <v>781</v>
      </c>
      <c r="H703" s="2">
        <v>45733</v>
      </c>
      <c r="I703" t="s">
        <v>775</v>
      </c>
      <c r="J703" t="str">
        <f>IF(Sales_Data[[#This Row],[Close Date]] &lt;&gt; 0,"Closed", "Open")</f>
        <v>Closed</v>
      </c>
      <c r="K703">
        <f>IF(Sales_Data[[#This Row],[Open/Closed]] = "Closed",Sales_Data[[#This Row],[Close Date]]-Sales_Data[[#This Row],[Created Date]],"")</f>
        <v>72</v>
      </c>
      <c r="L703" s="2">
        <f>EOMONTH(Sales_Data[[#This Row],[Created Date]],0)</f>
        <v>45688</v>
      </c>
      <c r="M703" t="b">
        <f>AND(Sales_Data[[#This Row],[EoM Created]]&gt;=Index!$E$5,Sales_Data[[#This Row],[EoM Created]]&lt;=Index!$E$4)</f>
        <v>1</v>
      </c>
      <c r="N703" t="b" cm="1">
        <f t="array" ref="N703">_xlfn.XLOOKUP(Sales_Data[[#This Row],[Sales Team]],_xlfn.ANCHORARRAY(Dashboard!$B$9),Dashboard!$D$9:$D$10,,0)</f>
        <v>1</v>
      </c>
      <c r="O703" t="b" cm="1">
        <f t="array" ref="O703">_xlfn.XLOOKUP(Sales_Data[[#This Row],[Sales Rep]],_xlfn.ANCHORARRAY(Dashboard!$B$13),Dashboard!$D$13:$D$17,,0)</f>
        <v>1</v>
      </c>
      <c r="P703" t="b" cm="1">
        <f t="array" ref="P703">_xlfn.XLOOKUP(Sales_Data[[#This Row],[Stage]],_xlfn.ANCHORARRAY(Dashboard!$B$20),Dashboard!$D$20:$D$25)</f>
        <v>1</v>
      </c>
      <c r="Q703" t="b" cm="1">
        <f t="array" ref="Q703">_xlfn.XLOOKUP(Sales_Data[[#This Row],[Lead Source]],_xlfn.ANCHORARRAY(Dashboard!$B$28),Dashboard!$D$28:$D$32)</f>
        <v>1</v>
      </c>
      <c r="R703">
        <f>Sales_Data[[#This Row],[Date inc]]*Sales_Data[[#This Row],[Team Inc]]*Sales_Data[[#This Row],[Rep Inc]]*Sales_Data[[#This Row],[Stage Inc]]*Sales_Data[[#This Row],[Source Inc]]</f>
        <v>1</v>
      </c>
    </row>
    <row r="704" spans="1:18" x14ac:dyDescent="0.3">
      <c r="A704" t="s">
        <v>711</v>
      </c>
      <c r="B704" s="2">
        <v>45152</v>
      </c>
      <c r="C704" t="s">
        <v>762</v>
      </c>
      <c r="D704" t="s">
        <v>764</v>
      </c>
      <c r="E704" t="s">
        <v>767</v>
      </c>
      <c r="F704" s="5">
        <v>33000</v>
      </c>
      <c r="G704" t="s">
        <v>781</v>
      </c>
      <c r="H704" s="2">
        <v>45236</v>
      </c>
      <c r="I704" t="s">
        <v>779</v>
      </c>
      <c r="J704" t="str">
        <f>IF(Sales_Data[[#This Row],[Close Date]] &lt;&gt; 0,"Closed", "Open")</f>
        <v>Closed</v>
      </c>
      <c r="K704">
        <f>IF(Sales_Data[[#This Row],[Open/Closed]] = "Closed",Sales_Data[[#This Row],[Close Date]]-Sales_Data[[#This Row],[Created Date]],"")</f>
        <v>84</v>
      </c>
      <c r="L704" s="2">
        <f>EOMONTH(Sales_Data[[#This Row],[Created Date]],0)</f>
        <v>45169</v>
      </c>
      <c r="M704" t="b">
        <f>AND(Sales_Data[[#This Row],[EoM Created]]&gt;=Index!$E$5,Sales_Data[[#This Row],[EoM Created]]&lt;=Index!$E$4)</f>
        <v>1</v>
      </c>
      <c r="N704" t="b" cm="1">
        <f t="array" ref="N704">_xlfn.XLOOKUP(Sales_Data[[#This Row],[Sales Team]],_xlfn.ANCHORARRAY(Dashboard!$B$9),Dashboard!$D$9:$D$10,,0)</f>
        <v>1</v>
      </c>
      <c r="O704" t="b" cm="1">
        <f t="array" ref="O704">_xlfn.XLOOKUP(Sales_Data[[#This Row],[Sales Rep]],_xlfn.ANCHORARRAY(Dashboard!$B$13),Dashboard!$D$13:$D$17,,0)</f>
        <v>1</v>
      </c>
      <c r="P704" t="b" cm="1">
        <f t="array" ref="P704">_xlfn.XLOOKUP(Sales_Data[[#This Row],[Stage]],_xlfn.ANCHORARRAY(Dashboard!$B$20),Dashboard!$D$20:$D$25)</f>
        <v>1</v>
      </c>
      <c r="Q704" t="b" cm="1">
        <f t="array" ref="Q704">_xlfn.XLOOKUP(Sales_Data[[#This Row],[Lead Source]],_xlfn.ANCHORARRAY(Dashboard!$B$28),Dashboard!$D$28:$D$32)</f>
        <v>1</v>
      </c>
      <c r="R704">
        <f>Sales_Data[[#This Row],[Date inc]]*Sales_Data[[#This Row],[Team Inc]]*Sales_Data[[#This Row],[Rep Inc]]*Sales_Data[[#This Row],[Stage Inc]]*Sales_Data[[#This Row],[Source Inc]]</f>
        <v>1</v>
      </c>
    </row>
    <row r="705" spans="1:18" x14ac:dyDescent="0.3">
      <c r="A705" t="s">
        <v>712</v>
      </c>
      <c r="B705" s="2">
        <v>45153</v>
      </c>
      <c r="C705" t="s">
        <v>760</v>
      </c>
      <c r="D705" t="s">
        <v>764</v>
      </c>
      <c r="E705" t="s">
        <v>766</v>
      </c>
      <c r="F705" s="5">
        <v>25900</v>
      </c>
      <c r="G705" t="s">
        <v>781</v>
      </c>
      <c r="H705" s="2">
        <v>45224</v>
      </c>
      <c r="I705" t="s">
        <v>775</v>
      </c>
      <c r="J705" t="str">
        <f>IF(Sales_Data[[#This Row],[Close Date]] &lt;&gt; 0,"Closed", "Open")</f>
        <v>Closed</v>
      </c>
      <c r="K705">
        <f>IF(Sales_Data[[#This Row],[Open/Closed]] = "Closed",Sales_Data[[#This Row],[Close Date]]-Sales_Data[[#This Row],[Created Date]],"")</f>
        <v>71</v>
      </c>
      <c r="L705" s="2">
        <f>EOMONTH(Sales_Data[[#This Row],[Created Date]],0)</f>
        <v>45169</v>
      </c>
      <c r="M705" t="b">
        <f>AND(Sales_Data[[#This Row],[EoM Created]]&gt;=Index!$E$5,Sales_Data[[#This Row],[EoM Created]]&lt;=Index!$E$4)</f>
        <v>1</v>
      </c>
      <c r="N705" t="b" cm="1">
        <f t="array" ref="N705">_xlfn.XLOOKUP(Sales_Data[[#This Row],[Sales Team]],_xlfn.ANCHORARRAY(Dashboard!$B$9),Dashboard!$D$9:$D$10,,0)</f>
        <v>1</v>
      </c>
      <c r="O705" t="b" cm="1">
        <f t="array" ref="O705">_xlfn.XLOOKUP(Sales_Data[[#This Row],[Sales Rep]],_xlfn.ANCHORARRAY(Dashboard!$B$13),Dashboard!$D$13:$D$17,,0)</f>
        <v>1</v>
      </c>
      <c r="P705" t="b" cm="1">
        <f t="array" ref="P705">_xlfn.XLOOKUP(Sales_Data[[#This Row],[Stage]],_xlfn.ANCHORARRAY(Dashboard!$B$20),Dashboard!$D$20:$D$25)</f>
        <v>1</v>
      </c>
      <c r="Q705" t="b" cm="1">
        <f t="array" ref="Q705">_xlfn.XLOOKUP(Sales_Data[[#This Row],[Lead Source]],_xlfn.ANCHORARRAY(Dashboard!$B$28),Dashboard!$D$28:$D$32)</f>
        <v>1</v>
      </c>
      <c r="R705">
        <f>Sales_Data[[#This Row],[Date inc]]*Sales_Data[[#This Row],[Team Inc]]*Sales_Data[[#This Row],[Rep Inc]]*Sales_Data[[#This Row],[Stage Inc]]*Sales_Data[[#This Row],[Source Inc]]</f>
        <v>1</v>
      </c>
    </row>
    <row r="706" spans="1:18" x14ac:dyDescent="0.3">
      <c r="A706" t="s">
        <v>713</v>
      </c>
      <c r="B706" s="2">
        <v>45652</v>
      </c>
      <c r="C706" t="s">
        <v>760</v>
      </c>
      <c r="D706" t="s">
        <v>764</v>
      </c>
      <c r="E706" t="s">
        <v>767</v>
      </c>
      <c r="F706" s="5">
        <v>24400</v>
      </c>
      <c r="G706" t="s">
        <v>780</v>
      </c>
      <c r="H706" s="2">
        <v>45733</v>
      </c>
      <c r="J706" t="str">
        <f>IF(Sales_Data[[#This Row],[Close Date]] &lt;&gt; 0,"Closed", "Open")</f>
        <v>Closed</v>
      </c>
      <c r="K706">
        <f>IF(Sales_Data[[#This Row],[Open/Closed]] = "Closed",Sales_Data[[#This Row],[Close Date]]-Sales_Data[[#This Row],[Created Date]],"")</f>
        <v>81</v>
      </c>
      <c r="L706" s="2">
        <f>EOMONTH(Sales_Data[[#This Row],[Created Date]],0)</f>
        <v>45657</v>
      </c>
      <c r="M706" t="b">
        <f>AND(Sales_Data[[#This Row],[EoM Created]]&gt;=Index!$E$5,Sales_Data[[#This Row],[EoM Created]]&lt;=Index!$E$4)</f>
        <v>1</v>
      </c>
      <c r="N706" t="b" cm="1">
        <f t="array" ref="N706">_xlfn.XLOOKUP(Sales_Data[[#This Row],[Sales Team]],_xlfn.ANCHORARRAY(Dashboard!$B$9),Dashboard!$D$9:$D$10,,0)</f>
        <v>1</v>
      </c>
      <c r="O706" t="b" cm="1">
        <f t="array" ref="O706">_xlfn.XLOOKUP(Sales_Data[[#This Row],[Sales Rep]],_xlfn.ANCHORARRAY(Dashboard!$B$13),Dashboard!$D$13:$D$17,,0)</f>
        <v>1</v>
      </c>
      <c r="P706" t="b" cm="1">
        <f t="array" ref="P706">_xlfn.XLOOKUP(Sales_Data[[#This Row],[Stage]],_xlfn.ANCHORARRAY(Dashboard!$B$20),Dashboard!$D$20:$D$25)</f>
        <v>1</v>
      </c>
      <c r="Q706" t="b" cm="1">
        <f t="array" ref="Q706">_xlfn.XLOOKUP(Sales_Data[[#This Row],[Lead Source]],_xlfn.ANCHORARRAY(Dashboard!$B$28),Dashboard!$D$28:$D$32)</f>
        <v>1</v>
      </c>
      <c r="R706">
        <f>Sales_Data[[#This Row],[Date inc]]*Sales_Data[[#This Row],[Team Inc]]*Sales_Data[[#This Row],[Rep Inc]]*Sales_Data[[#This Row],[Stage Inc]]*Sales_Data[[#This Row],[Source Inc]]</f>
        <v>1</v>
      </c>
    </row>
    <row r="707" spans="1:18" x14ac:dyDescent="0.3">
      <c r="A707" t="s">
        <v>714</v>
      </c>
      <c r="B707" s="2">
        <v>45540</v>
      </c>
      <c r="C707" t="s">
        <v>761</v>
      </c>
      <c r="D707" t="s">
        <v>765</v>
      </c>
      <c r="E707" t="s">
        <v>769</v>
      </c>
      <c r="F707" s="5">
        <v>46100</v>
      </c>
      <c r="G707" t="s">
        <v>781</v>
      </c>
      <c r="H707" s="2">
        <v>45621</v>
      </c>
      <c r="I707" t="s">
        <v>778</v>
      </c>
      <c r="J707" t="str">
        <f>IF(Sales_Data[[#This Row],[Close Date]] &lt;&gt; 0,"Closed", "Open")</f>
        <v>Closed</v>
      </c>
      <c r="K707">
        <f>IF(Sales_Data[[#This Row],[Open/Closed]] = "Closed",Sales_Data[[#This Row],[Close Date]]-Sales_Data[[#This Row],[Created Date]],"")</f>
        <v>81</v>
      </c>
      <c r="L707" s="2">
        <f>EOMONTH(Sales_Data[[#This Row],[Created Date]],0)</f>
        <v>45565</v>
      </c>
      <c r="M707" t="b">
        <f>AND(Sales_Data[[#This Row],[EoM Created]]&gt;=Index!$E$5,Sales_Data[[#This Row],[EoM Created]]&lt;=Index!$E$4)</f>
        <v>1</v>
      </c>
      <c r="N707" t="b" cm="1">
        <f t="array" ref="N707">_xlfn.XLOOKUP(Sales_Data[[#This Row],[Sales Team]],_xlfn.ANCHORARRAY(Dashboard!$B$9),Dashboard!$D$9:$D$10,,0)</f>
        <v>1</v>
      </c>
      <c r="O707" t="b" cm="1">
        <f t="array" ref="O707">_xlfn.XLOOKUP(Sales_Data[[#This Row],[Sales Rep]],_xlfn.ANCHORARRAY(Dashboard!$B$13),Dashboard!$D$13:$D$17,,0)</f>
        <v>1</v>
      </c>
      <c r="P707" t="b" cm="1">
        <f t="array" ref="P707">_xlfn.XLOOKUP(Sales_Data[[#This Row],[Stage]],_xlfn.ANCHORARRAY(Dashboard!$B$20),Dashboard!$D$20:$D$25)</f>
        <v>1</v>
      </c>
      <c r="Q707" t="b" cm="1">
        <f t="array" ref="Q707">_xlfn.XLOOKUP(Sales_Data[[#This Row],[Lead Source]],_xlfn.ANCHORARRAY(Dashboard!$B$28),Dashboard!$D$28:$D$32)</f>
        <v>1</v>
      </c>
      <c r="R707">
        <f>Sales_Data[[#This Row],[Date inc]]*Sales_Data[[#This Row],[Team Inc]]*Sales_Data[[#This Row],[Rep Inc]]*Sales_Data[[#This Row],[Stage Inc]]*Sales_Data[[#This Row],[Source Inc]]</f>
        <v>1</v>
      </c>
    </row>
    <row r="708" spans="1:18" x14ac:dyDescent="0.3">
      <c r="A708" t="s">
        <v>715</v>
      </c>
      <c r="B708" s="2">
        <v>45751</v>
      </c>
      <c r="C708" t="s">
        <v>760</v>
      </c>
      <c r="D708" t="s">
        <v>764</v>
      </c>
      <c r="E708" t="s">
        <v>766</v>
      </c>
      <c r="F708" s="5">
        <v>27200</v>
      </c>
      <c r="G708" t="s">
        <v>774</v>
      </c>
      <c r="H708" s="2"/>
      <c r="J708" t="str">
        <f>IF(Sales_Data[[#This Row],[Close Date]] &lt;&gt; 0,"Closed", "Open")</f>
        <v>Open</v>
      </c>
      <c r="K708" t="str">
        <f>IF(Sales_Data[[#This Row],[Open/Closed]] = "Closed",Sales_Data[[#This Row],[Close Date]]-Sales_Data[[#This Row],[Created Date]],"")</f>
        <v/>
      </c>
      <c r="L708" s="2">
        <f>EOMONTH(Sales_Data[[#This Row],[Created Date]],0)</f>
        <v>45777</v>
      </c>
      <c r="M708" t="b">
        <f>AND(Sales_Data[[#This Row],[EoM Created]]&gt;=Index!$E$5,Sales_Data[[#This Row],[EoM Created]]&lt;=Index!$E$4)</f>
        <v>1</v>
      </c>
      <c r="N708" t="b" cm="1">
        <f t="array" ref="N708">_xlfn.XLOOKUP(Sales_Data[[#This Row],[Sales Team]],_xlfn.ANCHORARRAY(Dashboard!$B$9),Dashboard!$D$9:$D$10,,0)</f>
        <v>1</v>
      </c>
      <c r="O708" t="b" cm="1">
        <f t="array" ref="O708">_xlfn.XLOOKUP(Sales_Data[[#This Row],[Sales Rep]],_xlfn.ANCHORARRAY(Dashboard!$B$13),Dashboard!$D$13:$D$17,,0)</f>
        <v>1</v>
      </c>
      <c r="P708" t="b" cm="1">
        <f t="array" ref="P708">_xlfn.XLOOKUP(Sales_Data[[#This Row],[Stage]],_xlfn.ANCHORARRAY(Dashboard!$B$20),Dashboard!$D$20:$D$25)</f>
        <v>1</v>
      </c>
      <c r="Q708" t="b" cm="1">
        <f t="array" ref="Q708">_xlfn.XLOOKUP(Sales_Data[[#This Row],[Lead Source]],_xlfn.ANCHORARRAY(Dashboard!$B$28),Dashboard!$D$28:$D$32)</f>
        <v>1</v>
      </c>
      <c r="R708">
        <f>Sales_Data[[#This Row],[Date inc]]*Sales_Data[[#This Row],[Team Inc]]*Sales_Data[[#This Row],[Rep Inc]]*Sales_Data[[#This Row],[Stage Inc]]*Sales_Data[[#This Row],[Source Inc]]</f>
        <v>1</v>
      </c>
    </row>
    <row r="709" spans="1:18" x14ac:dyDescent="0.3">
      <c r="A709" t="s">
        <v>716</v>
      </c>
      <c r="B709" s="2">
        <v>44952</v>
      </c>
      <c r="C709" t="s">
        <v>759</v>
      </c>
      <c r="D709" t="s">
        <v>764</v>
      </c>
      <c r="E709" t="s">
        <v>767</v>
      </c>
      <c r="F709" s="5">
        <v>57500</v>
      </c>
      <c r="G709" t="s">
        <v>780</v>
      </c>
      <c r="H709" s="2">
        <v>45039</v>
      </c>
      <c r="J709" t="str">
        <f>IF(Sales_Data[[#This Row],[Close Date]] &lt;&gt; 0,"Closed", "Open")</f>
        <v>Closed</v>
      </c>
      <c r="K709">
        <f>IF(Sales_Data[[#This Row],[Open/Closed]] = "Closed",Sales_Data[[#This Row],[Close Date]]-Sales_Data[[#This Row],[Created Date]],"")</f>
        <v>87</v>
      </c>
      <c r="L709" s="2">
        <f>EOMONTH(Sales_Data[[#This Row],[Created Date]],0)</f>
        <v>44957</v>
      </c>
      <c r="M709" t="b">
        <f>AND(Sales_Data[[#This Row],[EoM Created]]&gt;=Index!$E$5,Sales_Data[[#This Row],[EoM Created]]&lt;=Index!$E$4)</f>
        <v>0</v>
      </c>
      <c r="N709" t="b" cm="1">
        <f t="array" ref="N709">_xlfn.XLOOKUP(Sales_Data[[#This Row],[Sales Team]],_xlfn.ANCHORARRAY(Dashboard!$B$9),Dashboard!$D$9:$D$10,,0)</f>
        <v>1</v>
      </c>
      <c r="O709" t="b" cm="1">
        <f t="array" ref="O709">_xlfn.XLOOKUP(Sales_Data[[#This Row],[Sales Rep]],_xlfn.ANCHORARRAY(Dashboard!$B$13),Dashboard!$D$13:$D$17,,0)</f>
        <v>1</v>
      </c>
      <c r="P709" t="b" cm="1">
        <f t="array" ref="P709">_xlfn.XLOOKUP(Sales_Data[[#This Row],[Stage]],_xlfn.ANCHORARRAY(Dashboard!$B$20),Dashboard!$D$20:$D$25)</f>
        <v>1</v>
      </c>
      <c r="Q709" t="b" cm="1">
        <f t="array" ref="Q709">_xlfn.XLOOKUP(Sales_Data[[#This Row],[Lead Source]],_xlfn.ANCHORARRAY(Dashboard!$B$28),Dashboard!$D$28:$D$32)</f>
        <v>1</v>
      </c>
      <c r="R709">
        <f>Sales_Data[[#This Row],[Date inc]]*Sales_Data[[#This Row],[Team Inc]]*Sales_Data[[#This Row],[Rep Inc]]*Sales_Data[[#This Row],[Stage Inc]]*Sales_Data[[#This Row],[Source Inc]]</f>
        <v>0</v>
      </c>
    </row>
    <row r="710" spans="1:18" x14ac:dyDescent="0.3">
      <c r="A710" t="s">
        <v>717</v>
      </c>
      <c r="B710" s="2">
        <v>45183</v>
      </c>
      <c r="C710" t="s">
        <v>759</v>
      </c>
      <c r="D710" t="s">
        <v>764</v>
      </c>
      <c r="E710" t="s">
        <v>766</v>
      </c>
      <c r="F710" s="5">
        <v>19200</v>
      </c>
      <c r="G710" t="s">
        <v>781</v>
      </c>
      <c r="H710" s="2">
        <v>45249</v>
      </c>
      <c r="I710" t="s">
        <v>776</v>
      </c>
      <c r="J710" t="str">
        <f>IF(Sales_Data[[#This Row],[Close Date]] &lt;&gt; 0,"Closed", "Open")</f>
        <v>Closed</v>
      </c>
      <c r="K710">
        <f>IF(Sales_Data[[#This Row],[Open/Closed]] = "Closed",Sales_Data[[#This Row],[Close Date]]-Sales_Data[[#This Row],[Created Date]],"")</f>
        <v>66</v>
      </c>
      <c r="L710" s="2">
        <f>EOMONTH(Sales_Data[[#This Row],[Created Date]],0)</f>
        <v>45199</v>
      </c>
      <c r="M710" t="b">
        <f>AND(Sales_Data[[#This Row],[EoM Created]]&gt;=Index!$E$5,Sales_Data[[#This Row],[EoM Created]]&lt;=Index!$E$4)</f>
        <v>1</v>
      </c>
      <c r="N710" t="b" cm="1">
        <f t="array" ref="N710">_xlfn.XLOOKUP(Sales_Data[[#This Row],[Sales Team]],_xlfn.ANCHORARRAY(Dashboard!$B$9),Dashboard!$D$9:$D$10,,0)</f>
        <v>1</v>
      </c>
      <c r="O710" t="b" cm="1">
        <f t="array" ref="O710">_xlfn.XLOOKUP(Sales_Data[[#This Row],[Sales Rep]],_xlfn.ANCHORARRAY(Dashboard!$B$13),Dashboard!$D$13:$D$17,,0)</f>
        <v>1</v>
      </c>
      <c r="P710" t="b" cm="1">
        <f t="array" ref="P710">_xlfn.XLOOKUP(Sales_Data[[#This Row],[Stage]],_xlfn.ANCHORARRAY(Dashboard!$B$20),Dashboard!$D$20:$D$25)</f>
        <v>1</v>
      </c>
      <c r="Q710" t="b" cm="1">
        <f t="array" ref="Q710">_xlfn.XLOOKUP(Sales_Data[[#This Row],[Lead Source]],_xlfn.ANCHORARRAY(Dashboard!$B$28),Dashboard!$D$28:$D$32)</f>
        <v>1</v>
      </c>
      <c r="R710">
        <f>Sales_Data[[#This Row],[Date inc]]*Sales_Data[[#This Row],[Team Inc]]*Sales_Data[[#This Row],[Rep Inc]]*Sales_Data[[#This Row],[Stage Inc]]*Sales_Data[[#This Row],[Source Inc]]</f>
        <v>1</v>
      </c>
    </row>
    <row r="711" spans="1:18" x14ac:dyDescent="0.3">
      <c r="A711" t="s">
        <v>718</v>
      </c>
      <c r="B711" s="2">
        <v>45456</v>
      </c>
      <c r="C711" t="s">
        <v>763</v>
      </c>
      <c r="D711" t="s">
        <v>765</v>
      </c>
      <c r="E711" t="s">
        <v>770</v>
      </c>
      <c r="F711" s="5">
        <v>57000</v>
      </c>
      <c r="G711" t="s">
        <v>780</v>
      </c>
      <c r="H711" s="2">
        <v>45532</v>
      </c>
      <c r="J711" t="str">
        <f>IF(Sales_Data[[#This Row],[Close Date]] &lt;&gt; 0,"Closed", "Open")</f>
        <v>Closed</v>
      </c>
      <c r="K711">
        <f>IF(Sales_Data[[#This Row],[Open/Closed]] = "Closed",Sales_Data[[#This Row],[Close Date]]-Sales_Data[[#This Row],[Created Date]],"")</f>
        <v>76</v>
      </c>
      <c r="L711" s="2">
        <f>EOMONTH(Sales_Data[[#This Row],[Created Date]],0)</f>
        <v>45473</v>
      </c>
      <c r="M711" t="b">
        <f>AND(Sales_Data[[#This Row],[EoM Created]]&gt;=Index!$E$5,Sales_Data[[#This Row],[EoM Created]]&lt;=Index!$E$4)</f>
        <v>1</v>
      </c>
      <c r="N711" t="b" cm="1">
        <f t="array" ref="N711">_xlfn.XLOOKUP(Sales_Data[[#This Row],[Sales Team]],_xlfn.ANCHORARRAY(Dashboard!$B$9),Dashboard!$D$9:$D$10,,0)</f>
        <v>1</v>
      </c>
      <c r="O711" t="b" cm="1">
        <f t="array" ref="O711">_xlfn.XLOOKUP(Sales_Data[[#This Row],[Sales Rep]],_xlfn.ANCHORARRAY(Dashboard!$B$13),Dashboard!$D$13:$D$17,,0)</f>
        <v>1</v>
      </c>
      <c r="P711" t="b" cm="1">
        <f t="array" ref="P711">_xlfn.XLOOKUP(Sales_Data[[#This Row],[Stage]],_xlfn.ANCHORARRAY(Dashboard!$B$20),Dashboard!$D$20:$D$25)</f>
        <v>1</v>
      </c>
      <c r="Q711" t="b" cm="1">
        <f t="array" ref="Q711">_xlfn.XLOOKUP(Sales_Data[[#This Row],[Lead Source]],_xlfn.ANCHORARRAY(Dashboard!$B$28),Dashboard!$D$28:$D$32)</f>
        <v>1</v>
      </c>
      <c r="R711">
        <f>Sales_Data[[#This Row],[Date inc]]*Sales_Data[[#This Row],[Team Inc]]*Sales_Data[[#This Row],[Rep Inc]]*Sales_Data[[#This Row],[Stage Inc]]*Sales_Data[[#This Row],[Source Inc]]</f>
        <v>1</v>
      </c>
    </row>
    <row r="712" spans="1:18" x14ac:dyDescent="0.3">
      <c r="A712" t="s">
        <v>719</v>
      </c>
      <c r="B712" s="2">
        <v>45836</v>
      </c>
      <c r="C712" t="s">
        <v>761</v>
      </c>
      <c r="D712" t="s">
        <v>765</v>
      </c>
      <c r="E712" t="s">
        <v>769</v>
      </c>
      <c r="F712" s="5">
        <v>42100</v>
      </c>
      <c r="G712" t="s">
        <v>780</v>
      </c>
      <c r="H712" s="2">
        <v>45922</v>
      </c>
      <c r="J712" t="str">
        <f>IF(Sales_Data[[#This Row],[Close Date]] &lt;&gt; 0,"Closed", "Open")</f>
        <v>Closed</v>
      </c>
      <c r="K712">
        <f>IF(Sales_Data[[#This Row],[Open/Closed]] = "Closed",Sales_Data[[#This Row],[Close Date]]-Sales_Data[[#This Row],[Created Date]],"")</f>
        <v>86</v>
      </c>
      <c r="L712" s="2">
        <f>EOMONTH(Sales_Data[[#This Row],[Created Date]],0)</f>
        <v>45838</v>
      </c>
      <c r="M712" t="b">
        <f>AND(Sales_Data[[#This Row],[EoM Created]]&gt;=Index!$E$5,Sales_Data[[#This Row],[EoM Created]]&lt;=Index!$E$4)</f>
        <v>1</v>
      </c>
      <c r="N712" t="b" cm="1">
        <f t="array" ref="N712">_xlfn.XLOOKUP(Sales_Data[[#This Row],[Sales Team]],_xlfn.ANCHORARRAY(Dashboard!$B$9),Dashboard!$D$9:$D$10,,0)</f>
        <v>1</v>
      </c>
      <c r="O712" t="b" cm="1">
        <f t="array" ref="O712">_xlfn.XLOOKUP(Sales_Data[[#This Row],[Sales Rep]],_xlfn.ANCHORARRAY(Dashboard!$B$13),Dashboard!$D$13:$D$17,,0)</f>
        <v>1</v>
      </c>
      <c r="P712" t="b" cm="1">
        <f t="array" ref="P712">_xlfn.XLOOKUP(Sales_Data[[#This Row],[Stage]],_xlfn.ANCHORARRAY(Dashboard!$B$20),Dashboard!$D$20:$D$25)</f>
        <v>1</v>
      </c>
      <c r="Q712" t="b" cm="1">
        <f t="array" ref="Q712">_xlfn.XLOOKUP(Sales_Data[[#This Row],[Lead Source]],_xlfn.ANCHORARRAY(Dashboard!$B$28),Dashboard!$D$28:$D$32)</f>
        <v>1</v>
      </c>
      <c r="R712">
        <f>Sales_Data[[#This Row],[Date inc]]*Sales_Data[[#This Row],[Team Inc]]*Sales_Data[[#This Row],[Rep Inc]]*Sales_Data[[#This Row],[Stage Inc]]*Sales_Data[[#This Row],[Source Inc]]</f>
        <v>1</v>
      </c>
    </row>
    <row r="713" spans="1:18" x14ac:dyDescent="0.3">
      <c r="A713" t="s">
        <v>720</v>
      </c>
      <c r="B713" s="2">
        <v>45829</v>
      </c>
      <c r="C713" t="s">
        <v>763</v>
      </c>
      <c r="D713" t="s">
        <v>765</v>
      </c>
      <c r="E713" t="s">
        <v>769</v>
      </c>
      <c r="F713" s="5">
        <v>39000</v>
      </c>
      <c r="G713" t="s">
        <v>774</v>
      </c>
      <c r="H713" s="2"/>
      <c r="J713" t="str">
        <f>IF(Sales_Data[[#This Row],[Close Date]] &lt;&gt; 0,"Closed", "Open")</f>
        <v>Open</v>
      </c>
      <c r="K713" t="str">
        <f>IF(Sales_Data[[#This Row],[Open/Closed]] = "Closed",Sales_Data[[#This Row],[Close Date]]-Sales_Data[[#This Row],[Created Date]],"")</f>
        <v/>
      </c>
      <c r="L713" s="2">
        <f>EOMONTH(Sales_Data[[#This Row],[Created Date]],0)</f>
        <v>45838</v>
      </c>
      <c r="M713" t="b">
        <f>AND(Sales_Data[[#This Row],[EoM Created]]&gt;=Index!$E$5,Sales_Data[[#This Row],[EoM Created]]&lt;=Index!$E$4)</f>
        <v>1</v>
      </c>
      <c r="N713" t="b" cm="1">
        <f t="array" ref="N713">_xlfn.XLOOKUP(Sales_Data[[#This Row],[Sales Team]],_xlfn.ANCHORARRAY(Dashboard!$B$9),Dashboard!$D$9:$D$10,,0)</f>
        <v>1</v>
      </c>
      <c r="O713" t="b" cm="1">
        <f t="array" ref="O713">_xlfn.XLOOKUP(Sales_Data[[#This Row],[Sales Rep]],_xlfn.ANCHORARRAY(Dashboard!$B$13),Dashboard!$D$13:$D$17,,0)</f>
        <v>1</v>
      </c>
      <c r="P713" t="b" cm="1">
        <f t="array" ref="P713">_xlfn.XLOOKUP(Sales_Data[[#This Row],[Stage]],_xlfn.ANCHORARRAY(Dashboard!$B$20),Dashboard!$D$20:$D$25)</f>
        <v>1</v>
      </c>
      <c r="Q713" t="b" cm="1">
        <f t="array" ref="Q713">_xlfn.XLOOKUP(Sales_Data[[#This Row],[Lead Source]],_xlfn.ANCHORARRAY(Dashboard!$B$28),Dashboard!$D$28:$D$32)</f>
        <v>1</v>
      </c>
      <c r="R713">
        <f>Sales_Data[[#This Row],[Date inc]]*Sales_Data[[#This Row],[Team Inc]]*Sales_Data[[#This Row],[Rep Inc]]*Sales_Data[[#This Row],[Stage Inc]]*Sales_Data[[#This Row],[Source Inc]]</f>
        <v>1</v>
      </c>
    </row>
    <row r="714" spans="1:18" x14ac:dyDescent="0.3">
      <c r="A714" t="s">
        <v>721</v>
      </c>
      <c r="B714" s="2">
        <v>45083</v>
      </c>
      <c r="C714" t="s">
        <v>762</v>
      </c>
      <c r="D714" t="s">
        <v>764</v>
      </c>
      <c r="E714" t="s">
        <v>767</v>
      </c>
      <c r="F714" s="5">
        <v>34600</v>
      </c>
      <c r="G714" t="s">
        <v>781</v>
      </c>
      <c r="H714" s="2">
        <v>45145</v>
      </c>
      <c r="I714" t="s">
        <v>775</v>
      </c>
      <c r="J714" t="str">
        <f>IF(Sales_Data[[#This Row],[Close Date]] &lt;&gt; 0,"Closed", "Open")</f>
        <v>Closed</v>
      </c>
      <c r="K714">
        <f>IF(Sales_Data[[#This Row],[Open/Closed]] = "Closed",Sales_Data[[#This Row],[Close Date]]-Sales_Data[[#This Row],[Created Date]],"")</f>
        <v>62</v>
      </c>
      <c r="L714" s="2">
        <f>EOMONTH(Sales_Data[[#This Row],[Created Date]],0)</f>
        <v>45107</v>
      </c>
      <c r="M714" t="b">
        <f>AND(Sales_Data[[#This Row],[EoM Created]]&gt;=Index!$E$5,Sales_Data[[#This Row],[EoM Created]]&lt;=Index!$E$4)</f>
        <v>0</v>
      </c>
      <c r="N714" t="b" cm="1">
        <f t="array" ref="N714">_xlfn.XLOOKUP(Sales_Data[[#This Row],[Sales Team]],_xlfn.ANCHORARRAY(Dashboard!$B$9),Dashboard!$D$9:$D$10,,0)</f>
        <v>1</v>
      </c>
      <c r="O714" t="b" cm="1">
        <f t="array" ref="O714">_xlfn.XLOOKUP(Sales_Data[[#This Row],[Sales Rep]],_xlfn.ANCHORARRAY(Dashboard!$B$13),Dashboard!$D$13:$D$17,,0)</f>
        <v>1</v>
      </c>
      <c r="P714" t="b" cm="1">
        <f t="array" ref="P714">_xlfn.XLOOKUP(Sales_Data[[#This Row],[Stage]],_xlfn.ANCHORARRAY(Dashboard!$B$20),Dashboard!$D$20:$D$25)</f>
        <v>1</v>
      </c>
      <c r="Q714" t="b" cm="1">
        <f t="array" ref="Q714">_xlfn.XLOOKUP(Sales_Data[[#This Row],[Lead Source]],_xlfn.ANCHORARRAY(Dashboard!$B$28),Dashboard!$D$28:$D$32)</f>
        <v>1</v>
      </c>
      <c r="R714">
        <f>Sales_Data[[#This Row],[Date inc]]*Sales_Data[[#This Row],[Team Inc]]*Sales_Data[[#This Row],[Rep Inc]]*Sales_Data[[#This Row],[Stage Inc]]*Sales_Data[[#This Row],[Source Inc]]</f>
        <v>0</v>
      </c>
    </row>
    <row r="715" spans="1:18" x14ac:dyDescent="0.3">
      <c r="A715" t="s">
        <v>722</v>
      </c>
      <c r="B715" s="2">
        <v>44937</v>
      </c>
      <c r="C715" t="s">
        <v>760</v>
      </c>
      <c r="D715" t="s">
        <v>764</v>
      </c>
      <c r="E715" t="s">
        <v>766</v>
      </c>
      <c r="F715" s="5">
        <v>44000</v>
      </c>
      <c r="G715" t="s">
        <v>781</v>
      </c>
      <c r="H715" s="2">
        <v>45025</v>
      </c>
      <c r="I715" t="s">
        <v>777</v>
      </c>
      <c r="J715" t="str">
        <f>IF(Sales_Data[[#This Row],[Close Date]] &lt;&gt; 0,"Closed", "Open")</f>
        <v>Closed</v>
      </c>
      <c r="K715">
        <f>IF(Sales_Data[[#This Row],[Open/Closed]] = "Closed",Sales_Data[[#This Row],[Close Date]]-Sales_Data[[#This Row],[Created Date]],"")</f>
        <v>88</v>
      </c>
      <c r="L715" s="2">
        <f>EOMONTH(Sales_Data[[#This Row],[Created Date]],0)</f>
        <v>44957</v>
      </c>
      <c r="M715" t="b">
        <f>AND(Sales_Data[[#This Row],[EoM Created]]&gt;=Index!$E$5,Sales_Data[[#This Row],[EoM Created]]&lt;=Index!$E$4)</f>
        <v>0</v>
      </c>
      <c r="N715" t="b" cm="1">
        <f t="array" ref="N715">_xlfn.XLOOKUP(Sales_Data[[#This Row],[Sales Team]],_xlfn.ANCHORARRAY(Dashboard!$B$9),Dashboard!$D$9:$D$10,,0)</f>
        <v>1</v>
      </c>
      <c r="O715" t="b" cm="1">
        <f t="array" ref="O715">_xlfn.XLOOKUP(Sales_Data[[#This Row],[Sales Rep]],_xlfn.ANCHORARRAY(Dashboard!$B$13),Dashboard!$D$13:$D$17,,0)</f>
        <v>1</v>
      </c>
      <c r="P715" t="b" cm="1">
        <f t="array" ref="P715">_xlfn.XLOOKUP(Sales_Data[[#This Row],[Stage]],_xlfn.ANCHORARRAY(Dashboard!$B$20),Dashboard!$D$20:$D$25)</f>
        <v>1</v>
      </c>
      <c r="Q715" t="b" cm="1">
        <f t="array" ref="Q715">_xlfn.XLOOKUP(Sales_Data[[#This Row],[Lead Source]],_xlfn.ANCHORARRAY(Dashboard!$B$28),Dashboard!$D$28:$D$32)</f>
        <v>1</v>
      </c>
      <c r="R715">
        <f>Sales_Data[[#This Row],[Date inc]]*Sales_Data[[#This Row],[Team Inc]]*Sales_Data[[#This Row],[Rep Inc]]*Sales_Data[[#This Row],[Stage Inc]]*Sales_Data[[#This Row],[Source Inc]]</f>
        <v>0</v>
      </c>
    </row>
    <row r="716" spans="1:18" x14ac:dyDescent="0.3">
      <c r="A716" t="s">
        <v>723</v>
      </c>
      <c r="B716" s="2">
        <v>45422</v>
      </c>
      <c r="C716" t="s">
        <v>761</v>
      </c>
      <c r="D716" t="s">
        <v>765</v>
      </c>
      <c r="E716" t="s">
        <v>768</v>
      </c>
      <c r="F716" s="5">
        <v>39600</v>
      </c>
      <c r="G716" t="s">
        <v>781</v>
      </c>
      <c r="H716" s="2">
        <v>45511</v>
      </c>
      <c r="I716" t="s">
        <v>776</v>
      </c>
      <c r="J716" t="str">
        <f>IF(Sales_Data[[#This Row],[Close Date]] &lt;&gt; 0,"Closed", "Open")</f>
        <v>Closed</v>
      </c>
      <c r="K716">
        <f>IF(Sales_Data[[#This Row],[Open/Closed]] = "Closed",Sales_Data[[#This Row],[Close Date]]-Sales_Data[[#This Row],[Created Date]],"")</f>
        <v>89</v>
      </c>
      <c r="L716" s="2">
        <f>EOMONTH(Sales_Data[[#This Row],[Created Date]],0)</f>
        <v>45443</v>
      </c>
      <c r="M716" t="b">
        <f>AND(Sales_Data[[#This Row],[EoM Created]]&gt;=Index!$E$5,Sales_Data[[#This Row],[EoM Created]]&lt;=Index!$E$4)</f>
        <v>1</v>
      </c>
      <c r="N716" t="b" cm="1">
        <f t="array" ref="N716">_xlfn.XLOOKUP(Sales_Data[[#This Row],[Sales Team]],_xlfn.ANCHORARRAY(Dashboard!$B$9),Dashboard!$D$9:$D$10,,0)</f>
        <v>1</v>
      </c>
      <c r="O716" t="b" cm="1">
        <f t="array" ref="O716">_xlfn.XLOOKUP(Sales_Data[[#This Row],[Sales Rep]],_xlfn.ANCHORARRAY(Dashboard!$B$13),Dashboard!$D$13:$D$17,,0)</f>
        <v>1</v>
      </c>
      <c r="P716" t="b" cm="1">
        <f t="array" ref="P716">_xlfn.XLOOKUP(Sales_Data[[#This Row],[Stage]],_xlfn.ANCHORARRAY(Dashboard!$B$20),Dashboard!$D$20:$D$25)</f>
        <v>1</v>
      </c>
      <c r="Q716" t="b" cm="1">
        <f t="array" ref="Q716">_xlfn.XLOOKUP(Sales_Data[[#This Row],[Lead Source]],_xlfn.ANCHORARRAY(Dashboard!$B$28),Dashboard!$D$28:$D$32)</f>
        <v>1</v>
      </c>
      <c r="R716">
        <f>Sales_Data[[#This Row],[Date inc]]*Sales_Data[[#This Row],[Team Inc]]*Sales_Data[[#This Row],[Rep Inc]]*Sales_Data[[#This Row],[Stage Inc]]*Sales_Data[[#This Row],[Source Inc]]</f>
        <v>1</v>
      </c>
    </row>
    <row r="717" spans="1:18" x14ac:dyDescent="0.3">
      <c r="A717" t="s">
        <v>724</v>
      </c>
      <c r="B717" s="2">
        <v>45635</v>
      </c>
      <c r="C717" t="s">
        <v>761</v>
      </c>
      <c r="D717" t="s">
        <v>765</v>
      </c>
      <c r="E717" t="s">
        <v>768</v>
      </c>
      <c r="F717" s="5">
        <v>51000</v>
      </c>
      <c r="G717" t="s">
        <v>780</v>
      </c>
      <c r="H717" s="2">
        <v>45716</v>
      </c>
      <c r="J717" t="str">
        <f>IF(Sales_Data[[#This Row],[Close Date]] &lt;&gt; 0,"Closed", "Open")</f>
        <v>Closed</v>
      </c>
      <c r="K717">
        <f>IF(Sales_Data[[#This Row],[Open/Closed]] = "Closed",Sales_Data[[#This Row],[Close Date]]-Sales_Data[[#This Row],[Created Date]],"")</f>
        <v>81</v>
      </c>
      <c r="L717" s="2">
        <f>EOMONTH(Sales_Data[[#This Row],[Created Date]],0)</f>
        <v>45657</v>
      </c>
      <c r="M717" t="b">
        <f>AND(Sales_Data[[#This Row],[EoM Created]]&gt;=Index!$E$5,Sales_Data[[#This Row],[EoM Created]]&lt;=Index!$E$4)</f>
        <v>1</v>
      </c>
      <c r="N717" t="b" cm="1">
        <f t="array" ref="N717">_xlfn.XLOOKUP(Sales_Data[[#This Row],[Sales Team]],_xlfn.ANCHORARRAY(Dashboard!$B$9),Dashboard!$D$9:$D$10,,0)</f>
        <v>1</v>
      </c>
      <c r="O717" t="b" cm="1">
        <f t="array" ref="O717">_xlfn.XLOOKUP(Sales_Data[[#This Row],[Sales Rep]],_xlfn.ANCHORARRAY(Dashboard!$B$13),Dashboard!$D$13:$D$17,,0)</f>
        <v>1</v>
      </c>
      <c r="P717" t="b" cm="1">
        <f t="array" ref="P717">_xlfn.XLOOKUP(Sales_Data[[#This Row],[Stage]],_xlfn.ANCHORARRAY(Dashboard!$B$20),Dashboard!$D$20:$D$25)</f>
        <v>1</v>
      </c>
      <c r="Q717" t="b" cm="1">
        <f t="array" ref="Q717">_xlfn.XLOOKUP(Sales_Data[[#This Row],[Lead Source]],_xlfn.ANCHORARRAY(Dashboard!$B$28),Dashboard!$D$28:$D$32)</f>
        <v>1</v>
      </c>
      <c r="R717">
        <f>Sales_Data[[#This Row],[Date inc]]*Sales_Data[[#This Row],[Team Inc]]*Sales_Data[[#This Row],[Rep Inc]]*Sales_Data[[#This Row],[Stage Inc]]*Sales_Data[[#This Row],[Source Inc]]</f>
        <v>1</v>
      </c>
    </row>
    <row r="718" spans="1:18" x14ac:dyDescent="0.3">
      <c r="A718" t="s">
        <v>725</v>
      </c>
      <c r="B718" s="2">
        <v>45607</v>
      </c>
      <c r="C718" t="s">
        <v>762</v>
      </c>
      <c r="D718" t="s">
        <v>764</v>
      </c>
      <c r="E718" t="s">
        <v>766</v>
      </c>
      <c r="F718" s="5">
        <v>41100</v>
      </c>
      <c r="G718" t="s">
        <v>781</v>
      </c>
      <c r="H718" s="2">
        <v>45670</v>
      </c>
      <c r="I718" t="s">
        <v>776</v>
      </c>
      <c r="J718" t="str">
        <f>IF(Sales_Data[[#This Row],[Close Date]] &lt;&gt; 0,"Closed", "Open")</f>
        <v>Closed</v>
      </c>
      <c r="K718">
        <f>IF(Sales_Data[[#This Row],[Open/Closed]] = "Closed",Sales_Data[[#This Row],[Close Date]]-Sales_Data[[#This Row],[Created Date]],"")</f>
        <v>63</v>
      </c>
      <c r="L718" s="2">
        <f>EOMONTH(Sales_Data[[#This Row],[Created Date]],0)</f>
        <v>45626</v>
      </c>
      <c r="M718" t="b">
        <f>AND(Sales_Data[[#This Row],[EoM Created]]&gt;=Index!$E$5,Sales_Data[[#This Row],[EoM Created]]&lt;=Index!$E$4)</f>
        <v>1</v>
      </c>
      <c r="N718" t="b" cm="1">
        <f t="array" ref="N718">_xlfn.XLOOKUP(Sales_Data[[#This Row],[Sales Team]],_xlfn.ANCHORARRAY(Dashboard!$B$9),Dashboard!$D$9:$D$10,,0)</f>
        <v>1</v>
      </c>
      <c r="O718" t="b" cm="1">
        <f t="array" ref="O718">_xlfn.XLOOKUP(Sales_Data[[#This Row],[Sales Rep]],_xlfn.ANCHORARRAY(Dashboard!$B$13),Dashboard!$D$13:$D$17,,0)</f>
        <v>1</v>
      </c>
      <c r="P718" t="b" cm="1">
        <f t="array" ref="P718">_xlfn.XLOOKUP(Sales_Data[[#This Row],[Stage]],_xlfn.ANCHORARRAY(Dashboard!$B$20),Dashboard!$D$20:$D$25)</f>
        <v>1</v>
      </c>
      <c r="Q718" t="b" cm="1">
        <f t="array" ref="Q718">_xlfn.XLOOKUP(Sales_Data[[#This Row],[Lead Source]],_xlfn.ANCHORARRAY(Dashboard!$B$28),Dashboard!$D$28:$D$32)</f>
        <v>1</v>
      </c>
      <c r="R718">
        <f>Sales_Data[[#This Row],[Date inc]]*Sales_Data[[#This Row],[Team Inc]]*Sales_Data[[#This Row],[Rep Inc]]*Sales_Data[[#This Row],[Stage Inc]]*Sales_Data[[#This Row],[Source Inc]]</f>
        <v>1</v>
      </c>
    </row>
    <row r="719" spans="1:18" x14ac:dyDescent="0.3">
      <c r="A719" t="s">
        <v>726</v>
      </c>
      <c r="B719" s="2">
        <v>45568</v>
      </c>
      <c r="C719" t="s">
        <v>763</v>
      </c>
      <c r="D719" t="s">
        <v>765</v>
      </c>
      <c r="E719" t="s">
        <v>768</v>
      </c>
      <c r="F719" s="5">
        <v>41500</v>
      </c>
      <c r="G719" t="s">
        <v>781</v>
      </c>
      <c r="H719" s="2">
        <v>45628</v>
      </c>
      <c r="I719" t="s">
        <v>778</v>
      </c>
      <c r="J719" t="str">
        <f>IF(Sales_Data[[#This Row],[Close Date]] &lt;&gt; 0,"Closed", "Open")</f>
        <v>Closed</v>
      </c>
      <c r="K719">
        <f>IF(Sales_Data[[#This Row],[Open/Closed]] = "Closed",Sales_Data[[#This Row],[Close Date]]-Sales_Data[[#This Row],[Created Date]],"")</f>
        <v>60</v>
      </c>
      <c r="L719" s="2">
        <f>EOMONTH(Sales_Data[[#This Row],[Created Date]],0)</f>
        <v>45596</v>
      </c>
      <c r="M719" t="b">
        <f>AND(Sales_Data[[#This Row],[EoM Created]]&gt;=Index!$E$5,Sales_Data[[#This Row],[EoM Created]]&lt;=Index!$E$4)</f>
        <v>1</v>
      </c>
      <c r="N719" t="b" cm="1">
        <f t="array" ref="N719">_xlfn.XLOOKUP(Sales_Data[[#This Row],[Sales Team]],_xlfn.ANCHORARRAY(Dashboard!$B$9),Dashboard!$D$9:$D$10,,0)</f>
        <v>1</v>
      </c>
      <c r="O719" t="b" cm="1">
        <f t="array" ref="O719">_xlfn.XLOOKUP(Sales_Data[[#This Row],[Sales Rep]],_xlfn.ANCHORARRAY(Dashboard!$B$13),Dashboard!$D$13:$D$17,,0)</f>
        <v>1</v>
      </c>
      <c r="P719" t="b" cm="1">
        <f t="array" ref="P719">_xlfn.XLOOKUP(Sales_Data[[#This Row],[Stage]],_xlfn.ANCHORARRAY(Dashboard!$B$20),Dashboard!$D$20:$D$25)</f>
        <v>1</v>
      </c>
      <c r="Q719" t="b" cm="1">
        <f t="array" ref="Q719">_xlfn.XLOOKUP(Sales_Data[[#This Row],[Lead Source]],_xlfn.ANCHORARRAY(Dashboard!$B$28),Dashboard!$D$28:$D$32)</f>
        <v>1</v>
      </c>
      <c r="R719">
        <f>Sales_Data[[#This Row],[Date inc]]*Sales_Data[[#This Row],[Team Inc]]*Sales_Data[[#This Row],[Rep Inc]]*Sales_Data[[#This Row],[Stage Inc]]*Sales_Data[[#This Row],[Source Inc]]</f>
        <v>1</v>
      </c>
    </row>
    <row r="720" spans="1:18" x14ac:dyDescent="0.3">
      <c r="A720" t="s">
        <v>727</v>
      </c>
      <c r="B720" s="2">
        <v>45426</v>
      </c>
      <c r="C720" t="s">
        <v>761</v>
      </c>
      <c r="D720" t="s">
        <v>765</v>
      </c>
      <c r="E720" t="s">
        <v>768</v>
      </c>
      <c r="F720" s="5">
        <v>36400</v>
      </c>
      <c r="G720" t="s">
        <v>780</v>
      </c>
      <c r="H720" s="2">
        <v>45507</v>
      </c>
      <c r="J720" t="str">
        <f>IF(Sales_Data[[#This Row],[Close Date]] &lt;&gt; 0,"Closed", "Open")</f>
        <v>Closed</v>
      </c>
      <c r="K720">
        <f>IF(Sales_Data[[#This Row],[Open/Closed]] = "Closed",Sales_Data[[#This Row],[Close Date]]-Sales_Data[[#This Row],[Created Date]],"")</f>
        <v>81</v>
      </c>
      <c r="L720" s="2">
        <f>EOMONTH(Sales_Data[[#This Row],[Created Date]],0)</f>
        <v>45443</v>
      </c>
      <c r="M720" t="b">
        <f>AND(Sales_Data[[#This Row],[EoM Created]]&gt;=Index!$E$5,Sales_Data[[#This Row],[EoM Created]]&lt;=Index!$E$4)</f>
        <v>1</v>
      </c>
      <c r="N720" t="b" cm="1">
        <f t="array" ref="N720">_xlfn.XLOOKUP(Sales_Data[[#This Row],[Sales Team]],_xlfn.ANCHORARRAY(Dashboard!$B$9),Dashboard!$D$9:$D$10,,0)</f>
        <v>1</v>
      </c>
      <c r="O720" t="b" cm="1">
        <f t="array" ref="O720">_xlfn.XLOOKUP(Sales_Data[[#This Row],[Sales Rep]],_xlfn.ANCHORARRAY(Dashboard!$B$13),Dashboard!$D$13:$D$17,,0)</f>
        <v>1</v>
      </c>
      <c r="P720" t="b" cm="1">
        <f t="array" ref="P720">_xlfn.XLOOKUP(Sales_Data[[#This Row],[Stage]],_xlfn.ANCHORARRAY(Dashboard!$B$20),Dashboard!$D$20:$D$25)</f>
        <v>1</v>
      </c>
      <c r="Q720" t="b" cm="1">
        <f t="array" ref="Q720">_xlfn.XLOOKUP(Sales_Data[[#This Row],[Lead Source]],_xlfn.ANCHORARRAY(Dashboard!$B$28),Dashboard!$D$28:$D$32)</f>
        <v>1</v>
      </c>
      <c r="R720">
        <f>Sales_Data[[#This Row],[Date inc]]*Sales_Data[[#This Row],[Team Inc]]*Sales_Data[[#This Row],[Rep Inc]]*Sales_Data[[#This Row],[Stage Inc]]*Sales_Data[[#This Row],[Source Inc]]</f>
        <v>1</v>
      </c>
    </row>
    <row r="721" spans="1:18" x14ac:dyDescent="0.3">
      <c r="A721" t="s">
        <v>728</v>
      </c>
      <c r="B721" s="2">
        <v>45340</v>
      </c>
      <c r="C721" t="s">
        <v>763</v>
      </c>
      <c r="D721" t="s">
        <v>765</v>
      </c>
      <c r="E721" t="s">
        <v>770</v>
      </c>
      <c r="F721" s="5">
        <v>39400</v>
      </c>
      <c r="G721" t="s">
        <v>781</v>
      </c>
      <c r="H721" s="2">
        <v>45404</v>
      </c>
      <c r="I721" t="s">
        <v>777</v>
      </c>
      <c r="J721" t="str">
        <f>IF(Sales_Data[[#This Row],[Close Date]] &lt;&gt; 0,"Closed", "Open")</f>
        <v>Closed</v>
      </c>
      <c r="K721">
        <f>IF(Sales_Data[[#This Row],[Open/Closed]] = "Closed",Sales_Data[[#This Row],[Close Date]]-Sales_Data[[#This Row],[Created Date]],"")</f>
        <v>64</v>
      </c>
      <c r="L721" s="2">
        <f>EOMONTH(Sales_Data[[#This Row],[Created Date]],0)</f>
        <v>45351</v>
      </c>
      <c r="M721" t="b">
        <f>AND(Sales_Data[[#This Row],[EoM Created]]&gt;=Index!$E$5,Sales_Data[[#This Row],[EoM Created]]&lt;=Index!$E$4)</f>
        <v>1</v>
      </c>
      <c r="N721" t="b" cm="1">
        <f t="array" ref="N721">_xlfn.XLOOKUP(Sales_Data[[#This Row],[Sales Team]],_xlfn.ANCHORARRAY(Dashboard!$B$9),Dashboard!$D$9:$D$10,,0)</f>
        <v>1</v>
      </c>
      <c r="O721" t="b" cm="1">
        <f t="array" ref="O721">_xlfn.XLOOKUP(Sales_Data[[#This Row],[Sales Rep]],_xlfn.ANCHORARRAY(Dashboard!$B$13),Dashboard!$D$13:$D$17,,0)</f>
        <v>1</v>
      </c>
      <c r="P721" t="b" cm="1">
        <f t="array" ref="P721">_xlfn.XLOOKUP(Sales_Data[[#This Row],[Stage]],_xlfn.ANCHORARRAY(Dashboard!$B$20),Dashboard!$D$20:$D$25)</f>
        <v>1</v>
      </c>
      <c r="Q721" t="b" cm="1">
        <f t="array" ref="Q721">_xlfn.XLOOKUP(Sales_Data[[#This Row],[Lead Source]],_xlfn.ANCHORARRAY(Dashboard!$B$28),Dashboard!$D$28:$D$32)</f>
        <v>1</v>
      </c>
      <c r="R721">
        <f>Sales_Data[[#This Row],[Date inc]]*Sales_Data[[#This Row],[Team Inc]]*Sales_Data[[#This Row],[Rep Inc]]*Sales_Data[[#This Row],[Stage Inc]]*Sales_Data[[#This Row],[Source Inc]]</f>
        <v>1</v>
      </c>
    </row>
    <row r="722" spans="1:18" x14ac:dyDescent="0.3">
      <c r="A722" t="s">
        <v>729</v>
      </c>
      <c r="B722" s="2">
        <v>45444</v>
      </c>
      <c r="C722" t="s">
        <v>762</v>
      </c>
      <c r="D722" t="s">
        <v>764</v>
      </c>
      <c r="E722" t="s">
        <v>767</v>
      </c>
      <c r="F722" s="5">
        <v>43100</v>
      </c>
      <c r="G722" t="s">
        <v>780</v>
      </c>
      <c r="H722" s="2">
        <v>45510</v>
      </c>
      <c r="J722" t="str">
        <f>IF(Sales_Data[[#This Row],[Close Date]] &lt;&gt; 0,"Closed", "Open")</f>
        <v>Closed</v>
      </c>
      <c r="K722">
        <f>IF(Sales_Data[[#This Row],[Open/Closed]] = "Closed",Sales_Data[[#This Row],[Close Date]]-Sales_Data[[#This Row],[Created Date]],"")</f>
        <v>66</v>
      </c>
      <c r="L722" s="2">
        <f>EOMONTH(Sales_Data[[#This Row],[Created Date]],0)</f>
        <v>45473</v>
      </c>
      <c r="M722" t="b">
        <f>AND(Sales_Data[[#This Row],[EoM Created]]&gt;=Index!$E$5,Sales_Data[[#This Row],[EoM Created]]&lt;=Index!$E$4)</f>
        <v>1</v>
      </c>
      <c r="N722" t="b" cm="1">
        <f t="array" ref="N722">_xlfn.XLOOKUP(Sales_Data[[#This Row],[Sales Team]],_xlfn.ANCHORARRAY(Dashboard!$B$9),Dashboard!$D$9:$D$10,,0)</f>
        <v>1</v>
      </c>
      <c r="O722" t="b" cm="1">
        <f t="array" ref="O722">_xlfn.XLOOKUP(Sales_Data[[#This Row],[Sales Rep]],_xlfn.ANCHORARRAY(Dashboard!$B$13),Dashboard!$D$13:$D$17,,0)</f>
        <v>1</v>
      </c>
      <c r="P722" t="b" cm="1">
        <f t="array" ref="P722">_xlfn.XLOOKUP(Sales_Data[[#This Row],[Stage]],_xlfn.ANCHORARRAY(Dashboard!$B$20),Dashboard!$D$20:$D$25)</f>
        <v>1</v>
      </c>
      <c r="Q722" t="b" cm="1">
        <f t="array" ref="Q722">_xlfn.XLOOKUP(Sales_Data[[#This Row],[Lead Source]],_xlfn.ANCHORARRAY(Dashboard!$B$28),Dashboard!$D$28:$D$32)</f>
        <v>1</v>
      </c>
      <c r="R722">
        <f>Sales_Data[[#This Row],[Date inc]]*Sales_Data[[#This Row],[Team Inc]]*Sales_Data[[#This Row],[Rep Inc]]*Sales_Data[[#This Row],[Stage Inc]]*Sales_Data[[#This Row],[Source Inc]]</f>
        <v>1</v>
      </c>
    </row>
    <row r="723" spans="1:18" x14ac:dyDescent="0.3">
      <c r="A723" t="s">
        <v>730</v>
      </c>
      <c r="B723" s="2">
        <v>44989</v>
      </c>
      <c r="C723" t="s">
        <v>760</v>
      </c>
      <c r="D723" t="s">
        <v>764</v>
      </c>
      <c r="E723" t="s">
        <v>766</v>
      </c>
      <c r="F723" s="5">
        <v>22900</v>
      </c>
      <c r="G723" t="s">
        <v>781</v>
      </c>
      <c r="H723" s="2">
        <v>45077</v>
      </c>
      <c r="I723" t="s">
        <v>777</v>
      </c>
      <c r="J723" t="str">
        <f>IF(Sales_Data[[#This Row],[Close Date]] &lt;&gt; 0,"Closed", "Open")</f>
        <v>Closed</v>
      </c>
      <c r="K723">
        <f>IF(Sales_Data[[#This Row],[Open/Closed]] = "Closed",Sales_Data[[#This Row],[Close Date]]-Sales_Data[[#This Row],[Created Date]],"")</f>
        <v>88</v>
      </c>
      <c r="L723" s="2">
        <f>EOMONTH(Sales_Data[[#This Row],[Created Date]],0)</f>
        <v>45016</v>
      </c>
      <c r="M723" t="b">
        <f>AND(Sales_Data[[#This Row],[EoM Created]]&gt;=Index!$E$5,Sales_Data[[#This Row],[EoM Created]]&lt;=Index!$E$4)</f>
        <v>0</v>
      </c>
      <c r="N723" t="b" cm="1">
        <f t="array" ref="N723">_xlfn.XLOOKUP(Sales_Data[[#This Row],[Sales Team]],_xlfn.ANCHORARRAY(Dashboard!$B$9),Dashboard!$D$9:$D$10,,0)</f>
        <v>1</v>
      </c>
      <c r="O723" t="b" cm="1">
        <f t="array" ref="O723">_xlfn.XLOOKUP(Sales_Data[[#This Row],[Sales Rep]],_xlfn.ANCHORARRAY(Dashboard!$B$13),Dashboard!$D$13:$D$17,,0)</f>
        <v>1</v>
      </c>
      <c r="P723" t="b" cm="1">
        <f t="array" ref="P723">_xlfn.XLOOKUP(Sales_Data[[#This Row],[Stage]],_xlfn.ANCHORARRAY(Dashboard!$B$20),Dashboard!$D$20:$D$25)</f>
        <v>1</v>
      </c>
      <c r="Q723" t="b" cm="1">
        <f t="array" ref="Q723">_xlfn.XLOOKUP(Sales_Data[[#This Row],[Lead Source]],_xlfn.ANCHORARRAY(Dashboard!$B$28),Dashboard!$D$28:$D$32)</f>
        <v>1</v>
      </c>
      <c r="R723">
        <f>Sales_Data[[#This Row],[Date inc]]*Sales_Data[[#This Row],[Team Inc]]*Sales_Data[[#This Row],[Rep Inc]]*Sales_Data[[#This Row],[Stage Inc]]*Sales_Data[[#This Row],[Source Inc]]</f>
        <v>0</v>
      </c>
    </row>
    <row r="724" spans="1:18" x14ac:dyDescent="0.3">
      <c r="A724" t="s">
        <v>731</v>
      </c>
      <c r="B724" s="2">
        <v>45748</v>
      </c>
      <c r="C724" t="s">
        <v>761</v>
      </c>
      <c r="D724" t="s">
        <v>765</v>
      </c>
      <c r="E724" t="s">
        <v>769</v>
      </c>
      <c r="F724" s="5">
        <v>26500</v>
      </c>
      <c r="G724" t="s">
        <v>773</v>
      </c>
      <c r="H724" s="2"/>
      <c r="J724" t="str">
        <f>IF(Sales_Data[[#This Row],[Close Date]] &lt;&gt; 0,"Closed", "Open")</f>
        <v>Open</v>
      </c>
      <c r="K724" t="str">
        <f>IF(Sales_Data[[#This Row],[Open/Closed]] = "Closed",Sales_Data[[#This Row],[Close Date]]-Sales_Data[[#This Row],[Created Date]],"")</f>
        <v/>
      </c>
      <c r="L724" s="2">
        <f>EOMONTH(Sales_Data[[#This Row],[Created Date]],0)</f>
        <v>45777</v>
      </c>
      <c r="M724" t="b">
        <f>AND(Sales_Data[[#This Row],[EoM Created]]&gt;=Index!$E$5,Sales_Data[[#This Row],[EoM Created]]&lt;=Index!$E$4)</f>
        <v>1</v>
      </c>
      <c r="N724" t="b" cm="1">
        <f t="array" ref="N724">_xlfn.XLOOKUP(Sales_Data[[#This Row],[Sales Team]],_xlfn.ANCHORARRAY(Dashboard!$B$9),Dashboard!$D$9:$D$10,,0)</f>
        <v>1</v>
      </c>
      <c r="O724" t="b" cm="1">
        <f t="array" ref="O724">_xlfn.XLOOKUP(Sales_Data[[#This Row],[Sales Rep]],_xlfn.ANCHORARRAY(Dashboard!$B$13),Dashboard!$D$13:$D$17,,0)</f>
        <v>1</v>
      </c>
      <c r="P724" t="b" cm="1">
        <f t="array" ref="P724">_xlfn.XLOOKUP(Sales_Data[[#This Row],[Stage]],_xlfn.ANCHORARRAY(Dashboard!$B$20),Dashboard!$D$20:$D$25)</f>
        <v>1</v>
      </c>
      <c r="Q724" t="b" cm="1">
        <f t="array" ref="Q724">_xlfn.XLOOKUP(Sales_Data[[#This Row],[Lead Source]],_xlfn.ANCHORARRAY(Dashboard!$B$28),Dashboard!$D$28:$D$32)</f>
        <v>1</v>
      </c>
      <c r="R724">
        <f>Sales_Data[[#This Row],[Date inc]]*Sales_Data[[#This Row],[Team Inc]]*Sales_Data[[#This Row],[Rep Inc]]*Sales_Data[[#This Row],[Stage Inc]]*Sales_Data[[#This Row],[Source Inc]]</f>
        <v>1</v>
      </c>
    </row>
    <row r="725" spans="1:18" x14ac:dyDescent="0.3">
      <c r="A725" t="s">
        <v>732</v>
      </c>
      <c r="B725" s="2">
        <v>45190</v>
      </c>
      <c r="C725" t="s">
        <v>763</v>
      </c>
      <c r="D725" t="s">
        <v>765</v>
      </c>
      <c r="E725" t="s">
        <v>770</v>
      </c>
      <c r="F725" s="5">
        <v>47400</v>
      </c>
      <c r="G725" t="s">
        <v>780</v>
      </c>
      <c r="H725" s="2">
        <v>45275</v>
      </c>
      <c r="J725" t="str">
        <f>IF(Sales_Data[[#This Row],[Close Date]] &lt;&gt; 0,"Closed", "Open")</f>
        <v>Closed</v>
      </c>
      <c r="K725">
        <f>IF(Sales_Data[[#This Row],[Open/Closed]] = "Closed",Sales_Data[[#This Row],[Close Date]]-Sales_Data[[#This Row],[Created Date]],"")</f>
        <v>85</v>
      </c>
      <c r="L725" s="2">
        <f>EOMONTH(Sales_Data[[#This Row],[Created Date]],0)</f>
        <v>45199</v>
      </c>
      <c r="M725" t="b">
        <f>AND(Sales_Data[[#This Row],[EoM Created]]&gt;=Index!$E$5,Sales_Data[[#This Row],[EoM Created]]&lt;=Index!$E$4)</f>
        <v>1</v>
      </c>
      <c r="N725" t="b" cm="1">
        <f t="array" ref="N725">_xlfn.XLOOKUP(Sales_Data[[#This Row],[Sales Team]],_xlfn.ANCHORARRAY(Dashboard!$B$9),Dashboard!$D$9:$D$10,,0)</f>
        <v>1</v>
      </c>
      <c r="O725" t="b" cm="1">
        <f t="array" ref="O725">_xlfn.XLOOKUP(Sales_Data[[#This Row],[Sales Rep]],_xlfn.ANCHORARRAY(Dashboard!$B$13),Dashboard!$D$13:$D$17,,0)</f>
        <v>1</v>
      </c>
      <c r="P725" t="b" cm="1">
        <f t="array" ref="P725">_xlfn.XLOOKUP(Sales_Data[[#This Row],[Stage]],_xlfn.ANCHORARRAY(Dashboard!$B$20),Dashboard!$D$20:$D$25)</f>
        <v>1</v>
      </c>
      <c r="Q725" t="b" cm="1">
        <f t="array" ref="Q725">_xlfn.XLOOKUP(Sales_Data[[#This Row],[Lead Source]],_xlfn.ANCHORARRAY(Dashboard!$B$28),Dashboard!$D$28:$D$32)</f>
        <v>1</v>
      </c>
      <c r="R725">
        <f>Sales_Data[[#This Row],[Date inc]]*Sales_Data[[#This Row],[Team Inc]]*Sales_Data[[#This Row],[Rep Inc]]*Sales_Data[[#This Row],[Stage Inc]]*Sales_Data[[#This Row],[Source Inc]]</f>
        <v>1</v>
      </c>
    </row>
    <row r="726" spans="1:18" x14ac:dyDescent="0.3">
      <c r="A726" t="s">
        <v>733</v>
      </c>
      <c r="B726" s="2">
        <v>45478</v>
      </c>
      <c r="C726" t="s">
        <v>762</v>
      </c>
      <c r="D726" t="s">
        <v>764</v>
      </c>
      <c r="E726" t="s">
        <v>767</v>
      </c>
      <c r="F726" s="5">
        <v>41700</v>
      </c>
      <c r="G726" t="s">
        <v>780</v>
      </c>
      <c r="H726" s="2">
        <v>45547</v>
      </c>
      <c r="J726" t="str">
        <f>IF(Sales_Data[[#This Row],[Close Date]] &lt;&gt; 0,"Closed", "Open")</f>
        <v>Closed</v>
      </c>
      <c r="K726">
        <f>IF(Sales_Data[[#This Row],[Open/Closed]] = "Closed",Sales_Data[[#This Row],[Close Date]]-Sales_Data[[#This Row],[Created Date]],"")</f>
        <v>69</v>
      </c>
      <c r="L726" s="2">
        <f>EOMONTH(Sales_Data[[#This Row],[Created Date]],0)</f>
        <v>45504</v>
      </c>
      <c r="M726" t="b">
        <f>AND(Sales_Data[[#This Row],[EoM Created]]&gt;=Index!$E$5,Sales_Data[[#This Row],[EoM Created]]&lt;=Index!$E$4)</f>
        <v>1</v>
      </c>
      <c r="N726" t="b" cm="1">
        <f t="array" ref="N726">_xlfn.XLOOKUP(Sales_Data[[#This Row],[Sales Team]],_xlfn.ANCHORARRAY(Dashboard!$B$9),Dashboard!$D$9:$D$10,,0)</f>
        <v>1</v>
      </c>
      <c r="O726" t="b" cm="1">
        <f t="array" ref="O726">_xlfn.XLOOKUP(Sales_Data[[#This Row],[Sales Rep]],_xlfn.ANCHORARRAY(Dashboard!$B$13),Dashboard!$D$13:$D$17,,0)</f>
        <v>1</v>
      </c>
      <c r="P726" t="b" cm="1">
        <f t="array" ref="P726">_xlfn.XLOOKUP(Sales_Data[[#This Row],[Stage]],_xlfn.ANCHORARRAY(Dashboard!$B$20),Dashboard!$D$20:$D$25)</f>
        <v>1</v>
      </c>
      <c r="Q726" t="b" cm="1">
        <f t="array" ref="Q726">_xlfn.XLOOKUP(Sales_Data[[#This Row],[Lead Source]],_xlfn.ANCHORARRAY(Dashboard!$B$28),Dashboard!$D$28:$D$32)</f>
        <v>1</v>
      </c>
      <c r="R726">
        <f>Sales_Data[[#This Row],[Date inc]]*Sales_Data[[#This Row],[Team Inc]]*Sales_Data[[#This Row],[Rep Inc]]*Sales_Data[[#This Row],[Stage Inc]]*Sales_Data[[#This Row],[Source Inc]]</f>
        <v>1</v>
      </c>
    </row>
    <row r="727" spans="1:18" x14ac:dyDescent="0.3">
      <c r="A727" t="s">
        <v>734</v>
      </c>
      <c r="B727" s="2">
        <v>45451</v>
      </c>
      <c r="C727" t="s">
        <v>762</v>
      </c>
      <c r="D727" t="s">
        <v>764</v>
      </c>
      <c r="E727" t="s">
        <v>767</v>
      </c>
      <c r="F727" s="5">
        <v>38200</v>
      </c>
      <c r="G727" t="s">
        <v>781</v>
      </c>
      <c r="H727" s="2">
        <v>45523</v>
      </c>
      <c r="I727" t="s">
        <v>776</v>
      </c>
      <c r="J727" t="str">
        <f>IF(Sales_Data[[#This Row],[Close Date]] &lt;&gt; 0,"Closed", "Open")</f>
        <v>Closed</v>
      </c>
      <c r="K727">
        <f>IF(Sales_Data[[#This Row],[Open/Closed]] = "Closed",Sales_Data[[#This Row],[Close Date]]-Sales_Data[[#This Row],[Created Date]],"")</f>
        <v>72</v>
      </c>
      <c r="L727" s="2">
        <f>EOMONTH(Sales_Data[[#This Row],[Created Date]],0)</f>
        <v>45473</v>
      </c>
      <c r="M727" t="b">
        <f>AND(Sales_Data[[#This Row],[EoM Created]]&gt;=Index!$E$5,Sales_Data[[#This Row],[EoM Created]]&lt;=Index!$E$4)</f>
        <v>1</v>
      </c>
      <c r="N727" t="b" cm="1">
        <f t="array" ref="N727">_xlfn.XLOOKUP(Sales_Data[[#This Row],[Sales Team]],_xlfn.ANCHORARRAY(Dashboard!$B$9),Dashboard!$D$9:$D$10,,0)</f>
        <v>1</v>
      </c>
      <c r="O727" t="b" cm="1">
        <f t="array" ref="O727">_xlfn.XLOOKUP(Sales_Data[[#This Row],[Sales Rep]],_xlfn.ANCHORARRAY(Dashboard!$B$13),Dashboard!$D$13:$D$17,,0)</f>
        <v>1</v>
      </c>
      <c r="P727" t="b" cm="1">
        <f t="array" ref="P727">_xlfn.XLOOKUP(Sales_Data[[#This Row],[Stage]],_xlfn.ANCHORARRAY(Dashboard!$B$20),Dashboard!$D$20:$D$25)</f>
        <v>1</v>
      </c>
      <c r="Q727" t="b" cm="1">
        <f t="array" ref="Q727">_xlfn.XLOOKUP(Sales_Data[[#This Row],[Lead Source]],_xlfn.ANCHORARRAY(Dashboard!$B$28),Dashboard!$D$28:$D$32)</f>
        <v>1</v>
      </c>
      <c r="R727">
        <f>Sales_Data[[#This Row],[Date inc]]*Sales_Data[[#This Row],[Team Inc]]*Sales_Data[[#This Row],[Rep Inc]]*Sales_Data[[#This Row],[Stage Inc]]*Sales_Data[[#This Row],[Source Inc]]</f>
        <v>1</v>
      </c>
    </row>
    <row r="728" spans="1:18" x14ac:dyDescent="0.3">
      <c r="A728" t="s">
        <v>735</v>
      </c>
      <c r="B728" s="2">
        <v>45206</v>
      </c>
      <c r="C728" t="s">
        <v>759</v>
      </c>
      <c r="D728" t="s">
        <v>764</v>
      </c>
      <c r="E728" t="s">
        <v>766</v>
      </c>
      <c r="F728" s="5">
        <v>40200</v>
      </c>
      <c r="G728" t="s">
        <v>781</v>
      </c>
      <c r="H728" s="2">
        <v>45287</v>
      </c>
      <c r="I728" t="s">
        <v>777</v>
      </c>
      <c r="J728" t="str">
        <f>IF(Sales_Data[[#This Row],[Close Date]] &lt;&gt; 0,"Closed", "Open")</f>
        <v>Closed</v>
      </c>
      <c r="K728">
        <f>IF(Sales_Data[[#This Row],[Open/Closed]] = "Closed",Sales_Data[[#This Row],[Close Date]]-Sales_Data[[#This Row],[Created Date]],"")</f>
        <v>81</v>
      </c>
      <c r="L728" s="2">
        <f>EOMONTH(Sales_Data[[#This Row],[Created Date]],0)</f>
        <v>45230</v>
      </c>
      <c r="M728" t="b">
        <f>AND(Sales_Data[[#This Row],[EoM Created]]&gt;=Index!$E$5,Sales_Data[[#This Row],[EoM Created]]&lt;=Index!$E$4)</f>
        <v>1</v>
      </c>
      <c r="N728" t="b" cm="1">
        <f t="array" ref="N728">_xlfn.XLOOKUP(Sales_Data[[#This Row],[Sales Team]],_xlfn.ANCHORARRAY(Dashboard!$B$9),Dashboard!$D$9:$D$10,,0)</f>
        <v>1</v>
      </c>
      <c r="O728" t="b" cm="1">
        <f t="array" ref="O728">_xlfn.XLOOKUP(Sales_Data[[#This Row],[Sales Rep]],_xlfn.ANCHORARRAY(Dashboard!$B$13),Dashboard!$D$13:$D$17,,0)</f>
        <v>1</v>
      </c>
      <c r="P728" t="b" cm="1">
        <f t="array" ref="P728">_xlfn.XLOOKUP(Sales_Data[[#This Row],[Stage]],_xlfn.ANCHORARRAY(Dashboard!$B$20),Dashboard!$D$20:$D$25)</f>
        <v>1</v>
      </c>
      <c r="Q728" t="b" cm="1">
        <f t="array" ref="Q728">_xlfn.XLOOKUP(Sales_Data[[#This Row],[Lead Source]],_xlfn.ANCHORARRAY(Dashboard!$B$28),Dashboard!$D$28:$D$32)</f>
        <v>1</v>
      </c>
      <c r="R728">
        <f>Sales_Data[[#This Row],[Date inc]]*Sales_Data[[#This Row],[Team Inc]]*Sales_Data[[#This Row],[Rep Inc]]*Sales_Data[[#This Row],[Stage Inc]]*Sales_Data[[#This Row],[Source Inc]]</f>
        <v>1</v>
      </c>
    </row>
    <row r="729" spans="1:18" x14ac:dyDescent="0.3">
      <c r="A729" t="s">
        <v>736</v>
      </c>
      <c r="B729" s="2">
        <v>45682</v>
      </c>
      <c r="C729" t="s">
        <v>759</v>
      </c>
      <c r="D729" t="s">
        <v>764</v>
      </c>
      <c r="E729" t="s">
        <v>767</v>
      </c>
      <c r="F729" s="5">
        <v>43500</v>
      </c>
      <c r="G729" t="s">
        <v>780</v>
      </c>
      <c r="H729" s="2">
        <v>45763</v>
      </c>
      <c r="J729" t="str">
        <f>IF(Sales_Data[[#This Row],[Close Date]] &lt;&gt; 0,"Closed", "Open")</f>
        <v>Closed</v>
      </c>
      <c r="K729">
        <f>IF(Sales_Data[[#This Row],[Open/Closed]] = "Closed",Sales_Data[[#This Row],[Close Date]]-Sales_Data[[#This Row],[Created Date]],"")</f>
        <v>81</v>
      </c>
      <c r="L729" s="2">
        <f>EOMONTH(Sales_Data[[#This Row],[Created Date]],0)</f>
        <v>45688</v>
      </c>
      <c r="M729" t="b">
        <f>AND(Sales_Data[[#This Row],[EoM Created]]&gt;=Index!$E$5,Sales_Data[[#This Row],[EoM Created]]&lt;=Index!$E$4)</f>
        <v>1</v>
      </c>
      <c r="N729" t="b" cm="1">
        <f t="array" ref="N729">_xlfn.XLOOKUP(Sales_Data[[#This Row],[Sales Team]],_xlfn.ANCHORARRAY(Dashboard!$B$9),Dashboard!$D$9:$D$10,,0)</f>
        <v>1</v>
      </c>
      <c r="O729" t="b" cm="1">
        <f t="array" ref="O729">_xlfn.XLOOKUP(Sales_Data[[#This Row],[Sales Rep]],_xlfn.ANCHORARRAY(Dashboard!$B$13),Dashboard!$D$13:$D$17,,0)</f>
        <v>1</v>
      </c>
      <c r="P729" t="b" cm="1">
        <f t="array" ref="P729">_xlfn.XLOOKUP(Sales_Data[[#This Row],[Stage]],_xlfn.ANCHORARRAY(Dashboard!$B$20),Dashboard!$D$20:$D$25)</f>
        <v>1</v>
      </c>
      <c r="Q729" t="b" cm="1">
        <f t="array" ref="Q729">_xlfn.XLOOKUP(Sales_Data[[#This Row],[Lead Source]],_xlfn.ANCHORARRAY(Dashboard!$B$28),Dashboard!$D$28:$D$32)</f>
        <v>1</v>
      </c>
      <c r="R729">
        <f>Sales_Data[[#This Row],[Date inc]]*Sales_Data[[#This Row],[Team Inc]]*Sales_Data[[#This Row],[Rep Inc]]*Sales_Data[[#This Row],[Stage Inc]]*Sales_Data[[#This Row],[Source Inc]]</f>
        <v>1</v>
      </c>
    </row>
    <row r="730" spans="1:18" x14ac:dyDescent="0.3">
      <c r="A730" t="s">
        <v>737</v>
      </c>
      <c r="B730" s="2">
        <v>45392</v>
      </c>
      <c r="C730" t="s">
        <v>761</v>
      </c>
      <c r="D730" t="s">
        <v>765</v>
      </c>
      <c r="E730" t="s">
        <v>770</v>
      </c>
      <c r="F730" s="5">
        <v>34600</v>
      </c>
      <c r="G730" t="s">
        <v>781</v>
      </c>
      <c r="H730" s="2">
        <v>45464</v>
      </c>
      <c r="I730" t="s">
        <v>778</v>
      </c>
      <c r="J730" t="str">
        <f>IF(Sales_Data[[#This Row],[Close Date]] &lt;&gt; 0,"Closed", "Open")</f>
        <v>Closed</v>
      </c>
      <c r="K730">
        <f>IF(Sales_Data[[#This Row],[Open/Closed]] = "Closed",Sales_Data[[#This Row],[Close Date]]-Sales_Data[[#This Row],[Created Date]],"")</f>
        <v>72</v>
      </c>
      <c r="L730" s="2">
        <f>EOMONTH(Sales_Data[[#This Row],[Created Date]],0)</f>
        <v>45412</v>
      </c>
      <c r="M730" t="b">
        <f>AND(Sales_Data[[#This Row],[EoM Created]]&gt;=Index!$E$5,Sales_Data[[#This Row],[EoM Created]]&lt;=Index!$E$4)</f>
        <v>1</v>
      </c>
      <c r="N730" t="b" cm="1">
        <f t="array" ref="N730">_xlfn.XLOOKUP(Sales_Data[[#This Row],[Sales Team]],_xlfn.ANCHORARRAY(Dashboard!$B$9),Dashboard!$D$9:$D$10,,0)</f>
        <v>1</v>
      </c>
      <c r="O730" t="b" cm="1">
        <f t="array" ref="O730">_xlfn.XLOOKUP(Sales_Data[[#This Row],[Sales Rep]],_xlfn.ANCHORARRAY(Dashboard!$B$13),Dashboard!$D$13:$D$17,,0)</f>
        <v>1</v>
      </c>
      <c r="P730" t="b" cm="1">
        <f t="array" ref="P730">_xlfn.XLOOKUP(Sales_Data[[#This Row],[Stage]],_xlfn.ANCHORARRAY(Dashboard!$B$20),Dashboard!$D$20:$D$25)</f>
        <v>1</v>
      </c>
      <c r="Q730" t="b" cm="1">
        <f t="array" ref="Q730">_xlfn.XLOOKUP(Sales_Data[[#This Row],[Lead Source]],_xlfn.ANCHORARRAY(Dashboard!$B$28),Dashboard!$D$28:$D$32)</f>
        <v>1</v>
      </c>
      <c r="R730">
        <f>Sales_Data[[#This Row],[Date inc]]*Sales_Data[[#This Row],[Team Inc]]*Sales_Data[[#This Row],[Rep Inc]]*Sales_Data[[#This Row],[Stage Inc]]*Sales_Data[[#This Row],[Source Inc]]</f>
        <v>1</v>
      </c>
    </row>
    <row r="731" spans="1:18" x14ac:dyDescent="0.3">
      <c r="A731" t="s">
        <v>738</v>
      </c>
      <c r="B731" s="2">
        <v>45475</v>
      </c>
      <c r="C731" t="s">
        <v>762</v>
      </c>
      <c r="D731" t="s">
        <v>764</v>
      </c>
      <c r="E731" t="s">
        <v>767</v>
      </c>
      <c r="F731" s="5">
        <v>32200</v>
      </c>
      <c r="G731" t="s">
        <v>780</v>
      </c>
      <c r="H731" s="2">
        <v>45541</v>
      </c>
      <c r="J731" t="str">
        <f>IF(Sales_Data[[#This Row],[Close Date]] &lt;&gt; 0,"Closed", "Open")</f>
        <v>Closed</v>
      </c>
      <c r="K731">
        <f>IF(Sales_Data[[#This Row],[Open/Closed]] = "Closed",Sales_Data[[#This Row],[Close Date]]-Sales_Data[[#This Row],[Created Date]],"")</f>
        <v>66</v>
      </c>
      <c r="L731" s="2">
        <f>EOMONTH(Sales_Data[[#This Row],[Created Date]],0)</f>
        <v>45504</v>
      </c>
      <c r="M731" t="b">
        <f>AND(Sales_Data[[#This Row],[EoM Created]]&gt;=Index!$E$5,Sales_Data[[#This Row],[EoM Created]]&lt;=Index!$E$4)</f>
        <v>1</v>
      </c>
      <c r="N731" t="b" cm="1">
        <f t="array" ref="N731">_xlfn.XLOOKUP(Sales_Data[[#This Row],[Sales Team]],_xlfn.ANCHORARRAY(Dashboard!$B$9),Dashboard!$D$9:$D$10,,0)</f>
        <v>1</v>
      </c>
      <c r="O731" t="b" cm="1">
        <f t="array" ref="O731">_xlfn.XLOOKUP(Sales_Data[[#This Row],[Sales Rep]],_xlfn.ANCHORARRAY(Dashboard!$B$13),Dashboard!$D$13:$D$17,,0)</f>
        <v>1</v>
      </c>
      <c r="P731" t="b" cm="1">
        <f t="array" ref="P731">_xlfn.XLOOKUP(Sales_Data[[#This Row],[Stage]],_xlfn.ANCHORARRAY(Dashboard!$B$20),Dashboard!$D$20:$D$25)</f>
        <v>1</v>
      </c>
      <c r="Q731" t="b" cm="1">
        <f t="array" ref="Q731">_xlfn.XLOOKUP(Sales_Data[[#This Row],[Lead Source]],_xlfn.ANCHORARRAY(Dashboard!$B$28),Dashboard!$D$28:$D$32)</f>
        <v>1</v>
      </c>
      <c r="R731">
        <f>Sales_Data[[#This Row],[Date inc]]*Sales_Data[[#This Row],[Team Inc]]*Sales_Data[[#This Row],[Rep Inc]]*Sales_Data[[#This Row],[Stage Inc]]*Sales_Data[[#This Row],[Source Inc]]</f>
        <v>1</v>
      </c>
    </row>
    <row r="732" spans="1:18" x14ac:dyDescent="0.3">
      <c r="A732" t="s">
        <v>739</v>
      </c>
      <c r="B732" s="2">
        <v>45476</v>
      </c>
      <c r="C732" t="s">
        <v>760</v>
      </c>
      <c r="D732" t="s">
        <v>764</v>
      </c>
      <c r="E732" t="s">
        <v>766</v>
      </c>
      <c r="F732" s="5">
        <v>42000</v>
      </c>
      <c r="G732" t="s">
        <v>781</v>
      </c>
      <c r="H732" s="2">
        <v>45553</v>
      </c>
      <c r="I732" t="s">
        <v>777</v>
      </c>
      <c r="J732" t="str">
        <f>IF(Sales_Data[[#This Row],[Close Date]] &lt;&gt; 0,"Closed", "Open")</f>
        <v>Closed</v>
      </c>
      <c r="K732">
        <f>IF(Sales_Data[[#This Row],[Open/Closed]] = "Closed",Sales_Data[[#This Row],[Close Date]]-Sales_Data[[#This Row],[Created Date]],"")</f>
        <v>77</v>
      </c>
      <c r="L732" s="2">
        <f>EOMONTH(Sales_Data[[#This Row],[Created Date]],0)</f>
        <v>45504</v>
      </c>
      <c r="M732" t="b">
        <f>AND(Sales_Data[[#This Row],[EoM Created]]&gt;=Index!$E$5,Sales_Data[[#This Row],[EoM Created]]&lt;=Index!$E$4)</f>
        <v>1</v>
      </c>
      <c r="N732" t="b" cm="1">
        <f t="array" ref="N732">_xlfn.XLOOKUP(Sales_Data[[#This Row],[Sales Team]],_xlfn.ANCHORARRAY(Dashboard!$B$9),Dashboard!$D$9:$D$10,,0)</f>
        <v>1</v>
      </c>
      <c r="O732" t="b" cm="1">
        <f t="array" ref="O732">_xlfn.XLOOKUP(Sales_Data[[#This Row],[Sales Rep]],_xlfn.ANCHORARRAY(Dashboard!$B$13),Dashboard!$D$13:$D$17,,0)</f>
        <v>1</v>
      </c>
      <c r="P732" t="b" cm="1">
        <f t="array" ref="P732">_xlfn.XLOOKUP(Sales_Data[[#This Row],[Stage]],_xlfn.ANCHORARRAY(Dashboard!$B$20),Dashboard!$D$20:$D$25)</f>
        <v>1</v>
      </c>
      <c r="Q732" t="b" cm="1">
        <f t="array" ref="Q732">_xlfn.XLOOKUP(Sales_Data[[#This Row],[Lead Source]],_xlfn.ANCHORARRAY(Dashboard!$B$28),Dashboard!$D$28:$D$32)</f>
        <v>1</v>
      </c>
      <c r="R732">
        <f>Sales_Data[[#This Row],[Date inc]]*Sales_Data[[#This Row],[Team Inc]]*Sales_Data[[#This Row],[Rep Inc]]*Sales_Data[[#This Row],[Stage Inc]]*Sales_Data[[#This Row],[Source Inc]]</f>
        <v>1</v>
      </c>
    </row>
    <row r="733" spans="1:18" x14ac:dyDescent="0.3">
      <c r="A733" t="s">
        <v>740</v>
      </c>
      <c r="B733" s="2">
        <v>45567</v>
      </c>
      <c r="C733" t="s">
        <v>760</v>
      </c>
      <c r="D733" t="s">
        <v>764</v>
      </c>
      <c r="E733" t="s">
        <v>767</v>
      </c>
      <c r="F733" s="5">
        <v>30200</v>
      </c>
      <c r="G733" t="s">
        <v>781</v>
      </c>
      <c r="H733" s="2">
        <v>45630</v>
      </c>
      <c r="I733" t="s">
        <v>778</v>
      </c>
      <c r="J733" t="str">
        <f>IF(Sales_Data[[#This Row],[Close Date]] &lt;&gt; 0,"Closed", "Open")</f>
        <v>Closed</v>
      </c>
      <c r="K733">
        <f>IF(Sales_Data[[#This Row],[Open/Closed]] = "Closed",Sales_Data[[#This Row],[Close Date]]-Sales_Data[[#This Row],[Created Date]],"")</f>
        <v>63</v>
      </c>
      <c r="L733" s="2">
        <f>EOMONTH(Sales_Data[[#This Row],[Created Date]],0)</f>
        <v>45596</v>
      </c>
      <c r="M733" t="b">
        <f>AND(Sales_Data[[#This Row],[EoM Created]]&gt;=Index!$E$5,Sales_Data[[#This Row],[EoM Created]]&lt;=Index!$E$4)</f>
        <v>1</v>
      </c>
      <c r="N733" t="b" cm="1">
        <f t="array" ref="N733">_xlfn.XLOOKUP(Sales_Data[[#This Row],[Sales Team]],_xlfn.ANCHORARRAY(Dashboard!$B$9),Dashboard!$D$9:$D$10,,0)</f>
        <v>1</v>
      </c>
      <c r="O733" t="b" cm="1">
        <f t="array" ref="O733">_xlfn.XLOOKUP(Sales_Data[[#This Row],[Sales Rep]],_xlfn.ANCHORARRAY(Dashboard!$B$13),Dashboard!$D$13:$D$17,,0)</f>
        <v>1</v>
      </c>
      <c r="P733" t="b" cm="1">
        <f t="array" ref="P733">_xlfn.XLOOKUP(Sales_Data[[#This Row],[Stage]],_xlfn.ANCHORARRAY(Dashboard!$B$20),Dashboard!$D$20:$D$25)</f>
        <v>1</v>
      </c>
      <c r="Q733" t="b" cm="1">
        <f t="array" ref="Q733">_xlfn.XLOOKUP(Sales_Data[[#This Row],[Lead Source]],_xlfn.ANCHORARRAY(Dashboard!$B$28),Dashboard!$D$28:$D$32)</f>
        <v>1</v>
      </c>
      <c r="R733">
        <f>Sales_Data[[#This Row],[Date inc]]*Sales_Data[[#This Row],[Team Inc]]*Sales_Data[[#This Row],[Rep Inc]]*Sales_Data[[#This Row],[Stage Inc]]*Sales_Data[[#This Row],[Source Inc]]</f>
        <v>1</v>
      </c>
    </row>
    <row r="734" spans="1:18" x14ac:dyDescent="0.3">
      <c r="A734" t="s">
        <v>741</v>
      </c>
      <c r="B734" s="2">
        <v>45697</v>
      </c>
      <c r="C734" t="s">
        <v>762</v>
      </c>
      <c r="D734" t="s">
        <v>764</v>
      </c>
      <c r="E734" t="s">
        <v>766</v>
      </c>
      <c r="F734" s="5">
        <v>44100</v>
      </c>
      <c r="G734" t="s">
        <v>780</v>
      </c>
      <c r="H734" s="2">
        <v>45765</v>
      </c>
      <c r="J734" t="str">
        <f>IF(Sales_Data[[#This Row],[Close Date]] &lt;&gt; 0,"Closed", "Open")</f>
        <v>Closed</v>
      </c>
      <c r="K734">
        <f>IF(Sales_Data[[#This Row],[Open/Closed]] = "Closed",Sales_Data[[#This Row],[Close Date]]-Sales_Data[[#This Row],[Created Date]],"")</f>
        <v>68</v>
      </c>
      <c r="L734" s="2">
        <f>EOMONTH(Sales_Data[[#This Row],[Created Date]],0)</f>
        <v>45716</v>
      </c>
      <c r="M734" t="b">
        <f>AND(Sales_Data[[#This Row],[EoM Created]]&gt;=Index!$E$5,Sales_Data[[#This Row],[EoM Created]]&lt;=Index!$E$4)</f>
        <v>1</v>
      </c>
      <c r="N734" t="b" cm="1">
        <f t="array" ref="N734">_xlfn.XLOOKUP(Sales_Data[[#This Row],[Sales Team]],_xlfn.ANCHORARRAY(Dashboard!$B$9),Dashboard!$D$9:$D$10,,0)</f>
        <v>1</v>
      </c>
      <c r="O734" t="b" cm="1">
        <f t="array" ref="O734">_xlfn.XLOOKUP(Sales_Data[[#This Row],[Sales Rep]],_xlfn.ANCHORARRAY(Dashboard!$B$13),Dashboard!$D$13:$D$17,,0)</f>
        <v>1</v>
      </c>
      <c r="P734" t="b" cm="1">
        <f t="array" ref="P734">_xlfn.XLOOKUP(Sales_Data[[#This Row],[Stage]],_xlfn.ANCHORARRAY(Dashboard!$B$20),Dashboard!$D$20:$D$25)</f>
        <v>1</v>
      </c>
      <c r="Q734" t="b" cm="1">
        <f t="array" ref="Q734">_xlfn.XLOOKUP(Sales_Data[[#This Row],[Lead Source]],_xlfn.ANCHORARRAY(Dashboard!$B$28),Dashboard!$D$28:$D$32)</f>
        <v>1</v>
      </c>
      <c r="R734">
        <f>Sales_Data[[#This Row],[Date inc]]*Sales_Data[[#This Row],[Team Inc]]*Sales_Data[[#This Row],[Rep Inc]]*Sales_Data[[#This Row],[Stage Inc]]*Sales_Data[[#This Row],[Source Inc]]</f>
        <v>1</v>
      </c>
    </row>
    <row r="735" spans="1:18" x14ac:dyDescent="0.3">
      <c r="A735" t="s">
        <v>742</v>
      </c>
      <c r="B735" s="2">
        <v>45549</v>
      </c>
      <c r="C735" t="s">
        <v>763</v>
      </c>
      <c r="D735" t="s">
        <v>765</v>
      </c>
      <c r="E735" t="s">
        <v>770</v>
      </c>
      <c r="F735" s="5">
        <v>23000</v>
      </c>
      <c r="G735" t="s">
        <v>780</v>
      </c>
      <c r="H735" s="2">
        <v>45609</v>
      </c>
      <c r="J735" t="str">
        <f>IF(Sales_Data[[#This Row],[Close Date]] &lt;&gt; 0,"Closed", "Open")</f>
        <v>Closed</v>
      </c>
      <c r="K735">
        <f>IF(Sales_Data[[#This Row],[Open/Closed]] = "Closed",Sales_Data[[#This Row],[Close Date]]-Sales_Data[[#This Row],[Created Date]],"")</f>
        <v>60</v>
      </c>
      <c r="L735" s="2">
        <f>EOMONTH(Sales_Data[[#This Row],[Created Date]],0)</f>
        <v>45565</v>
      </c>
      <c r="M735" t="b">
        <f>AND(Sales_Data[[#This Row],[EoM Created]]&gt;=Index!$E$5,Sales_Data[[#This Row],[EoM Created]]&lt;=Index!$E$4)</f>
        <v>1</v>
      </c>
      <c r="N735" t="b" cm="1">
        <f t="array" ref="N735">_xlfn.XLOOKUP(Sales_Data[[#This Row],[Sales Team]],_xlfn.ANCHORARRAY(Dashboard!$B$9),Dashboard!$D$9:$D$10,,0)</f>
        <v>1</v>
      </c>
      <c r="O735" t="b" cm="1">
        <f t="array" ref="O735">_xlfn.XLOOKUP(Sales_Data[[#This Row],[Sales Rep]],_xlfn.ANCHORARRAY(Dashboard!$B$13),Dashboard!$D$13:$D$17,,0)</f>
        <v>1</v>
      </c>
      <c r="P735" t="b" cm="1">
        <f t="array" ref="P735">_xlfn.XLOOKUP(Sales_Data[[#This Row],[Stage]],_xlfn.ANCHORARRAY(Dashboard!$B$20),Dashboard!$D$20:$D$25)</f>
        <v>1</v>
      </c>
      <c r="Q735" t="b" cm="1">
        <f t="array" ref="Q735">_xlfn.XLOOKUP(Sales_Data[[#This Row],[Lead Source]],_xlfn.ANCHORARRAY(Dashboard!$B$28),Dashboard!$D$28:$D$32)</f>
        <v>1</v>
      </c>
      <c r="R735">
        <f>Sales_Data[[#This Row],[Date inc]]*Sales_Data[[#This Row],[Team Inc]]*Sales_Data[[#This Row],[Rep Inc]]*Sales_Data[[#This Row],[Stage Inc]]*Sales_Data[[#This Row],[Source Inc]]</f>
        <v>1</v>
      </c>
    </row>
    <row r="736" spans="1:18" x14ac:dyDescent="0.3">
      <c r="A736" t="s">
        <v>743</v>
      </c>
      <c r="B736" s="2">
        <v>45438</v>
      </c>
      <c r="C736" t="s">
        <v>761</v>
      </c>
      <c r="D736" t="s">
        <v>765</v>
      </c>
      <c r="E736" t="s">
        <v>770</v>
      </c>
      <c r="F736" s="5">
        <v>50300</v>
      </c>
      <c r="G736" t="s">
        <v>780</v>
      </c>
      <c r="H736" s="2">
        <v>45522</v>
      </c>
      <c r="J736" t="str">
        <f>IF(Sales_Data[[#This Row],[Close Date]] &lt;&gt; 0,"Closed", "Open")</f>
        <v>Closed</v>
      </c>
      <c r="K736">
        <f>IF(Sales_Data[[#This Row],[Open/Closed]] = "Closed",Sales_Data[[#This Row],[Close Date]]-Sales_Data[[#This Row],[Created Date]],"")</f>
        <v>84</v>
      </c>
      <c r="L736" s="2">
        <f>EOMONTH(Sales_Data[[#This Row],[Created Date]],0)</f>
        <v>45443</v>
      </c>
      <c r="M736" t="b">
        <f>AND(Sales_Data[[#This Row],[EoM Created]]&gt;=Index!$E$5,Sales_Data[[#This Row],[EoM Created]]&lt;=Index!$E$4)</f>
        <v>1</v>
      </c>
      <c r="N736" t="b" cm="1">
        <f t="array" ref="N736">_xlfn.XLOOKUP(Sales_Data[[#This Row],[Sales Team]],_xlfn.ANCHORARRAY(Dashboard!$B$9),Dashboard!$D$9:$D$10,,0)</f>
        <v>1</v>
      </c>
      <c r="O736" t="b" cm="1">
        <f t="array" ref="O736">_xlfn.XLOOKUP(Sales_Data[[#This Row],[Sales Rep]],_xlfn.ANCHORARRAY(Dashboard!$B$13),Dashboard!$D$13:$D$17,,0)</f>
        <v>1</v>
      </c>
      <c r="P736" t="b" cm="1">
        <f t="array" ref="P736">_xlfn.XLOOKUP(Sales_Data[[#This Row],[Stage]],_xlfn.ANCHORARRAY(Dashboard!$B$20),Dashboard!$D$20:$D$25)</f>
        <v>1</v>
      </c>
      <c r="Q736" t="b" cm="1">
        <f t="array" ref="Q736">_xlfn.XLOOKUP(Sales_Data[[#This Row],[Lead Source]],_xlfn.ANCHORARRAY(Dashboard!$B$28),Dashboard!$D$28:$D$32)</f>
        <v>1</v>
      </c>
      <c r="R736">
        <f>Sales_Data[[#This Row],[Date inc]]*Sales_Data[[#This Row],[Team Inc]]*Sales_Data[[#This Row],[Rep Inc]]*Sales_Data[[#This Row],[Stage Inc]]*Sales_Data[[#This Row],[Source Inc]]</f>
        <v>1</v>
      </c>
    </row>
    <row r="737" spans="1:18" x14ac:dyDescent="0.3">
      <c r="A737" t="s">
        <v>744</v>
      </c>
      <c r="B737" s="2">
        <v>45490</v>
      </c>
      <c r="C737" t="s">
        <v>761</v>
      </c>
      <c r="D737" t="s">
        <v>765</v>
      </c>
      <c r="E737" t="s">
        <v>768</v>
      </c>
      <c r="F737" s="5">
        <v>44700</v>
      </c>
      <c r="G737" t="s">
        <v>780</v>
      </c>
      <c r="H737" s="2">
        <v>45572</v>
      </c>
      <c r="J737" t="str">
        <f>IF(Sales_Data[[#This Row],[Close Date]] &lt;&gt; 0,"Closed", "Open")</f>
        <v>Closed</v>
      </c>
      <c r="K737">
        <f>IF(Sales_Data[[#This Row],[Open/Closed]] = "Closed",Sales_Data[[#This Row],[Close Date]]-Sales_Data[[#This Row],[Created Date]],"")</f>
        <v>82</v>
      </c>
      <c r="L737" s="2">
        <f>EOMONTH(Sales_Data[[#This Row],[Created Date]],0)</f>
        <v>45504</v>
      </c>
      <c r="M737" t="b">
        <f>AND(Sales_Data[[#This Row],[EoM Created]]&gt;=Index!$E$5,Sales_Data[[#This Row],[EoM Created]]&lt;=Index!$E$4)</f>
        <v>1</v>
      </c>
      <c r="N737" t="b" cm="1">
        <f t="array" ref="N737">_xlfn.XLOOKUP(Sales_Data[[#This Row],[Sales Team]],_xlfn.ANCHORARRAY(Dashboard!$B$9),Dashboard!$D$9:$D$10,,0)</f>
        <v>1</v>
      </c>
      <c r="O737" t="b" cm="1">
        <f t="array" ref="O737">_xlfn.XLOOKUP(Sales_Data[[#This Row],[Sales Rep]],_xlfn.ANCHORARRAY(Dashboard!$B$13),Dashboard!$D$13:$D$17,,0)</f>
        <v>1</v>
      </c>
      <c r="P737" t="b" cm="1">
        <f t="array" ref="P737">_xlfn.XLOOKUP(Sales_Data[[#This Row],[Stage]],_xlfn.ANCHORARRAY(Dashboard!$B$20),Dashboard!$D$20:$D$25)</f>
        <v>1</v>
      </c>
      <c r="Q737" t="b" cm="1">
        <f t="array" ref="Q737">_xlfn.XLOOKUP(Sales_Data[[#This Row],[Lead Source]],_xlfn.ANCHORARRAY(Dashboard!$B$28),Dashboard!$D$28:$D$32)</f>
        <v>1</v>
      </c>
      <c r="R737">
        <f>Sales_Data[[#This Row],[Date inc]]*Sales_Data[[#This Row],[Team Inc]]*Sales_Data[[#This Row],[Rep Inc]]*Sales_Data[[#This Row],[Stage Inc]]*Sales_Data[[#This Row],[Source Inc]]</f>
        <v>1</v>
      </c>
    </row>
    <row r="738" spans="1:18" x14ac:dyDescent="0.3">
      <c r="A738" t="s">
        <v>745</v>
      </c>
      <c r="B738" s="2">
        <v>45021</v>
      </c>
      <c r="C738" t="s">
        <v>762</v>
      </c>
      <c r="D738" t="s">
        <v>764</v>
      </c>
      <c r="E738" t="s">
        <v>766</v>
      </c>
      <c r="F738" s="5">
        <v>42600</v>
      </c>
      <c r="G738" t="s">
        <v>780</v>
      </c>
      <c r="H738" s="2">
        <v>45097</v>
      </c>
      <c r="J738" t="str">
        <f>IF(Sales_Data[[#This Row],[Close Date]] &lt;&gt; 0,"Closed", "Open")</f>
        <v>Closed</v>
      </c>
      <c r="K738">
        <f>IF(Sales_Data[[#This Row],[Open/Closed]] = "Closed",Sales_Data[[#This Row],[Close Date]]-Sales_Data[[#This Row],[Created Date]],"")</f>
        <v>76</v>
      </c>
      <c r="L738" s="2">
        <f>EOMONTH(Sales_Data[[#This Row],[Created Date]],0)</f>
        <v>45046</v>
      </c>
      <c r="M738" t="b">
        <f>AND(Sales_Data[[#This Row],[EoM Created]]&gt;=Index!$E$5,Sales_Data[[#This Row],[EoM Created]]&lt;=Index!$E$4)</f>
        <v>0</v>
      </c>
      <c r="N738" t="b" cm="1">
        <f t="array" ref="N738">_xlfn.XLOOKUP(Sales_Data[[#This Row],[Sales Team]],_xlfn.ANCHORARRAY(Dashboard!$B$9),Dashboard!$D$9:$D$10,,0)</f>
        <v>1</v>
      </c>
      <c r="O738" t="b" cm="1">
        <f t="array" ref="O738">_xlfn.XLOOKUP(Sales_Data[[#This Row],[Sales Rep]],_xlfn.ANCHORARRAY(Dashboard!$B$13),Dashboard!$D$13:$D$17,,0)</f>
        <v>1</v>
      </c>
      <c r="P738" t="b" cm="1">
        <f t="array" ref="P738">_xlfn.XLOOKUP(Sales_Data[[#This Row],[Stage]],_xlfn.ANCHORARRAY(Dashboard!$B$20),Dashboard!$D$20:$D$25)</f>
        <v>1</v>
      </c>
      <c r="Q738" t="b" cm="1">
        <f t="array" ref="Q738">_xlfn.XLOOKUP(Sales_Data[[#This Row],[Lead Source]],_xlfn.ANCHORARRAY(Dashboard!$B$28),Dashboard!$D$28:$D$32)</f>
        <v>1</v>
      </c>
      <c r="R738">
        <f>Sales_Data[[#This Row],[Date inc]]*Sales_Data[[#This Row],[Team Inc]]*Sales_Data[[#This Row],[Rep Inc]]*Sales_Data[[#This Row],[Stage Inc]]*Sales_Data[[#This Row],[Source Inc]]</f>
        <v>0</v>
      </c>
    </row>
    <row r="739" spans="1:18" x14ac:dyDescent="0.3">
      <c r="A739" t="s">
        <v>746</v>
      </c>
      <c r="B739" s="2">
        <v>45544</v>
      </c>
      <c r="C739" t="s">
        <v>760</v>
      </c>
      <c r="D739" t="s">
        <v>764</v>
      </c>
      <c r="E739" t="s">
        <v>767</v>
      </c>
      <c r="F739" s="5">
        <v>49800</v>
      </c>
      <c r="G739" t="s">
        <v>781</v>
      </c>
      <c r="H739" s="2">
        <v>45634</v>
      </c>
      <c r="I739" t="s">
        <v>779</v>
      </c>
      <c r="J739" t="str">
        <f>IF(Sales_Data[[#This Row],[Close Date]] &lt;&gt; 0,"Closed", "Open")</f>
        <v>Closed</v>
      </c>
      <c r="K739">
        <f>IF(Sales_Data[[#This Row],[Open/Closed]] = "Closed",Sales_Data[[#This Row],[Close Date]]-Sales_Data[[#This Row],[Created Date]],"")</f>
        <v>90</v>
      </c>
      <c r="L739" s="2">
        <f>EOMONTH(Sales_Data[[#This Row],[Created Date]],0)</f>
        <v>45565</v>
      </c>
      <c r="M739" t="b">
        <f>AND(Sales_Data[[#This Row],[EoM Created]]&gt;=Index!$E$5,Sales_Data[[#This Row],[EoM Created]]&lt;=Index!$E$4)</f>
        <v>1</v>
      </c>
      <c r="N739" t="b" cm="1">
        <f t="array" ref="N739">_xlfn.XLOOKUP(Sales_Data[[#This Row],[Sales Team]],_xlfn.ANCHORARRAY(Dashboard!$B$9),Dashboard!$D$9:$D$10,,0)</f>
        <v>1</v>
      </c>
      <c r="O739" t="b" cm="1">
        <f t="array" ref="O739">_xlfn.XLOOKUP(Sales_Data[[#This Row],[Sales Rep]],_xlfn.ANCHORARRAY(Dashboard!$B$13),Dashboard!$D$13:$D$17,,0)</f>
        <v>1</v>
      </c>
      <c r="P739" t="b" cm="1">
        <f t="array" ref="P739">_xlfn.XLOOKUP(Sales_Data[[#This Row],[Stage]],_xlfn.ANCHORARRAY(Dashboard!$B$20),Dashboard!$D$20:$D$25)</f>
        <v>1</v>
      </c>
      <c r="Q739" t="b" cm="1">
        <f t="array" ref="Q739">_xlfn.XLOOKUP(Sales_Data[[#This Row],[Lead Source]],_xlfn.ANCHORARRAY(Dashboard!$B$28),Dashboard!$D$28:$D$32)</f>
        <v>1</v>
      </c>
      <c r="R739">
        <f>Sales_Data[[#This Row],[Date inc]]*Sales_Data[[#This Row],[Team Inc]]*Sales_Data[[#This Row],[Rep Inc]]*Sales_Data[[#This Row],[Stage Inc]]*Sales_Data[[#This Row],[Source Inc]]</f>
        <v>1</v>
      </c>
    </row>
    <row r="740" spans="1:18" x14ac:dyDescent="0.3">
      <c r="A740" t="s">
        <v>747</v>
      </c>
      <c r="B740" s="2">
        <v>45786</v>
      </c>
      <c r="C740" t="s">
        <v>763</v>
      </c>
      <c r="D740" t="s">
        <v>765</v>
      </c>
      <c r="E740" t="s">
        <v>769</v>
      </c>
      <c r="F740" s="5">
        <v>56700</v>
      </c>
      <c r="G740" t="s">
        <v>781</v>
      </c>
      <c r="H740" s="2">
        <v>45870</v>
      </c>
      <c r="I740" t="s">
        <v>778</v>
      </c>
      <c r="J740" t="str">
        <f>IF(Sales_Data[[#This Row],[Close Date]] &lt;&gt; 0,"Closed", "Open")</f>
        <v>Closed</v>
      </c>
      <c r="K740">
        <f>IF(Sales_Data[[#This Row],[Open/Closed]] = "Closed",Sales_Data[[#This Row],[Close Date]]-Sales_Data[[#This Row],[Created Date]],"")</f>
        <v>84</v>
      </c>
      <c r="L740" s="2">
        <f>EOMONTH(Sales_Data[[#This Row],[Created Date]],0)</f>
        <v>45808</v>
      </c>
      <c r="M740" t="b">
        <f>AND(Sales_Data[[#This Row],[EoM Created]]&gt;=Index!$E$5,Sales_Data[[#This Row],[EoM Created]]&lt;=Index!$E$4)</f>
        <v>1</v>
      </c>
      <c r="N740" t="b" cm="1">
        <f t="array" ref="N740">_xlfn.XLOOKUP(Sales_Data[[#This Row],[Sales Team]],_xlfn.ANCHORARRAY(Dashboard!$B$9),Dashboard!$D$9:$D$10,,0)</f>
        <v>1</v>
      </c>
      <c r="O740" t="b" cm="1">
        <f t="array" ref="O740">_xlfn.XLOOKUP(Sales_Data[[#This Row],[Sales Rep]],_xlfn.ANCHORARRAY(Dashboard!$B$13),Dashboard!$D$13:$D$17,,0)</f>
        <v>1</v>
      </c>
      <c r="P740" t="b" cm="1">
        <f t="array" ref="P740">_xlfn.XLOOKUP(Sales_Data[[#This Row],[Stage]],_xlfn.ANCHORARRAY(Dashboard!$B$20),Dashboard!$D$20:$D$25)</f>
        <v>1</v>
      </c>
      <c r="Q740" t="b" cm="1">
        <f t="array" ref="Q740">_xlfn.XLOOKUP(Sales_Data[[#This Row],[Lead Source]],_xlfn.ANCHORARRAY(Dashboard!$B$28),Dashboard!$D$28:$D$32)</f>
        <v>1</v>
      </c>
      <c r="R740">
        <f>Sales_Data[[#This Row],[Date inc]]*Sales_Data[[#This Row],[Team Inc]]*Sales_Data[[#This Row],[Rep Inc]]*Sales_Data[[#This Row],[Stage Inc]]*Sales_Data[[#This Row],[Source Inc]]</f>
        <v>1</v>
      </c>
    </row>
    <row r="741" spans="1:18" x14ac:dyDescent="0.3">
      <c r="A741" t="s">
        <v>748</v>
      </c>
      <c r="B741" s="2">
        <v>45355</v>
      </c>
      <c r="C741" t="s">
        <v>760</v>
      </c>
      <c r="D741" t="s">
        <v>764</v>
      </c>
      <c r="E741" t="s">
        <v>767</v>
      </c>
      <c r="F741" s="5">
        <v>50100</v>
      </c>
      <c r="G741" t="s">
        <v>781</v>
      </c>
      <c r="H741" s="2">
        <v>45443</v>
      </c>
      <c r="I741" t="s">
        <v>777</v>
      </c>
      <c r="J741" t="str">
        <f>IF(Sales_Data[[#This Row],[Close Date]] &lt;&gt; 0,"Closed", "Open")</f>
        <v>Closed</v>
      </c>
      <c r="K741">
        <f>IF(Sales_Data[[#This Row],[Open/Closed]] = "Closed",Sales_Data[[#This Row],[Close Date]]-Sales_Data[[#This Row],[Created Date]],"")</f>
        <v>88</v>
      </c>
      <c r="L741" s="2">
        <f>EOMONTH(Sales_Data[[#This Row],[Created Date]],0)</f>
        <v>45382</v>
      </c>
      <c r="M741" t="b">
        <f>AND(Sales_Data[[#This Row],[EoM Created]]&gt;=Index!$E$5,Sales_Data[[#This Row],[EoM Created]]&lt;=Index!$E$4)</f>
        <v>1</v>
      </c>
      <c r="N741" t="b" cm="1">
        <f t="array" ref="N741">_xlfn.XLOOKUP(Sales_Data[[#This Row],[Sales Team]],_xlfn.ANCHORARRAY(Dashboard!$B$9),Dashboard!$D$9:$D$10,,0)</f>
        <v>1</v>
      </c>
      <c r="O741" t="b" cm="1">
        <f t="array" ref="O741">_xlfn.XLOOKUP(Sales_Data[[#This Row],[Sales Rep]],_xlfn.ANCHORARRAY(Dashboard!$B$13),Dashboard!$D$13:$D$17,,0)</f>
        <v>1</v>
      </c>
      <c r="P741" t="b" cm="1">
        <f t="array" ref="P741">_xlfn.XLOOKUP(Sales_Data[[#This Row],[Stage]],_xlfn.ANCHORARRAY(Dashboard!$B$20),Dashboard!$D$20:$D$25)</f>
        <v>1</v>
      </c>
      <c r="Q741" t="b" cm="1">
        <f t="array" ref="Q741">_xlfn.XLOOKUP(Sales_Data[[#This Row],[Lead Source]],_xlfn.ANCHORARRAY(Dashboard!$B$28),Dashboard!$D$28:$D$32)</f>
        <v>1</v>
      </c>
      <c r="R741">
        <f>Sales_Data[[#This Row],[Date inc]]*Sales_Data[[#This Row],[Team Inc]]*Sales_Data[[#This Row],[Rep Inc]]*Sales_Data[[#This Row],[Stage Inc]]*Sales_Data[[#This Row],[Source Inc]]</f>
        <v>1</v>
      </c>
    </row>
    <row r="742" spans="1:18" x14ac:dyDescent="0.3">
      <c r="A742" t="s">
        <v>749</v>
      </c>
      <c r="B742" s="2">
        <v>45214</v>
      </c>
      <c r="C742" t="s">
        <v>762</v>
      </c>
      <c r="D742" t="s">
        <v>764</v>
      </c>
      <c r="E742" t="s">
        <v>766</v>
      </c>
      <c r="F742" s="5">
        <v>21600</v>
      </c>
      <c r="G742" t="s">
        <v>781</v>
      </c>
      <c r="H742" s="2">
        <v>45278</v>
      </c>
      <c r="I742" t="s">
        <v>777</v>
      </c>
      <c r="J742" t="str">
        <f>IF(Sales_Data[[#This Row],[Close Date]] &lt;&gt; 0,"Closed", "Open")</f>
        <v>Closed</v>
      </c>
      <c r="K742">
        <f>IF(Sales_Data[[#This Row],[Open/Closed]] = "Closed",Sales_Data[[#This Row],[Close Date]]-Sales_Data[[#This Row],[Created Date]],"")</f>
        <v>64</v>
      </c>
      <c r="L742" s="2">
        <f>EOMONTH(Sales_Data[[#This Row],[Created Date]],0)</f>
        <v>45230</v>
      </c>
      <c r="M742" t="b">
        <f>AND(Sales_Data[[#This Row],[EoM Created]]&gt;=Index!$E$5,Sales_Data[[#This Row],[EoM Created]]&lt;=Index!$E$4)</f>
        <v>1</v>
      </c>
      <c r="N742" t="b" cm="1">
        <f t="array" ref="N742">_xlfn.XLOOKUP(Sales_Data[[#This Row],[Sales Team]],_xlfn.ANCHORARRAY(Dashboard!$B$9),Dashboard!$D$9:$D$10,,0)</f>
        <v>1</v>
      </c>
      <c r="O742" t="b" cm="1">
        <f t="array" ref="O742">_xlfn.XLOOKUP(Sales_Data[[#This Row],[Sales Rep]],_xlfn.ANCHORARRAY(Dashboard!$B$13),Dashboard!$D$13:$D$17,,0)</f>
        <v>1</v>
      </c>
      <c r="P742" t="b" cm="1">
        <f t="array" ref="P742">_xlfn.XLOOKUP(Sales_Data[[#This Row],[Stage]],_xlfn.ANCHORARRAY(Dashboard!$B$20),Dashboard!$D$20:$D$25)</f>
        <v>1</v>
      </c>
      <c r="Q742" t="b" cm="1">
        <f t="array" ref="Q742">_xlfn.XLOOKUP(Sales_Data[[#This Row],[Lead Source]],_xlfn.ANCHORARRAY(Dashboard!$B$28),Dashboard!$D$28:$D$32)</f>
        <v>1</v>
      </c>
      <c r="R742">
        <f>Sales_Data[[#This Row],[Date inc]]*Sales_Data[[#This Row],[Team Inc]]*Sales_Data[[#This Row],[Rep Inc]]*Sales_Data[[#This Row],[Stage Inc]]*Sales_Data[[#This Row],[Source Inc]]</f>
        <v>1</v>
      </c>
    </row>
    <row r="743" spans="1:18" x14ac:dyDescent="0.3">
      <c r="A743" t="s">
        <v>750</v>
      </c>
      <c r="B743" s="2">
        <v>45462</v>
      </c>
      <c r="C743" t="s">
        <v>763</v>
      </c>
      <c r="D743" t="s">
        <v>765</v>
      </c>
      <c r="E743" t="s">
        <v>769</v>
      </c>
      <c r="F743" s="5">
        <v>27200</v>
      </c>
      <c r="G743" t="s">
        <v>781</v>
      </c>
      <c r="H743" s="2">
        <v>45552</v>
      </c>
      <c r="I743" t="s">
        <v>777</v>
      </c>
      <c r="J743" t="str">
        <f>IF(Sales_Data[[#This Row],[Close Date]] &lt;&gt; 0,"Closed", "Open")</f>
        <v>Closed</v>
      </c>
      <c r="K743">
        <f>IF(Sales_Data[[#This Row],[Open/Closed]] = "Closed",Sales_Data[[#This Row],[Close Date]]-Sales_Data[[#This Row],[Created Date]],"")</f>
        <v>90</v>
      </c>
      <c r="L743" s="2">
        <f>EOMONTH(Sales_Data[[#This Row],[Created Date]],0)</f>
        <v>45473</v>
      </c>
      <c r="M743" t="b">
        <f>AND(Sales_Data[[#This Row],[EoM Created]]&gt;=Index!$E$5,Sales_Data[[#This Row],[EoM Created]]&lt;=Index!$E$4)</f>
        <v>1</v>
      </c>
      <c r="N743" t="b" cm="1">
        <f t="array" ref="N743">_xlfn.XLOOKUP(Sales_Data[[#This Row],[Sales Team]],_xlfn.ANCHORARRAY(Dashboard!$B$9),Dashboard!$D$9:$D$10,,0)</f>
        <v>1</v>
      </c>
      <c r="O743" t="b" cm="1">
        <f t="array" ref="O743">_xlfn.XLOOKUP(Sales_Data[[#This Row],[Sales Rep]],_xlfn.ANCHORARRAY(Dashboard!$B$13),Dashboard!$D$13:$D$17,,0)</f>
        <v>1</v>
      </c>
      <c r="P743" t="b" cm="1">
        <f t="array" ref="P743">_xlfn.XLOOKUP(Sales_Data[[#This Row],[Stage]],_xlfn.ANCHORARRAY(Dashboard!$B$20),Dashboard!$D$20:$D$25)</f>
        <v>1</v>
      </c>
      <c r="Q743" t="b" cm="1">
        <f t="array" ref="Q743">_xlfn.XLOOKUP(Sales_Data[[#This Row],[Lead Source]],_xlfn.ANCHORARRAY(Dashboard!$B$28),Dashboard!$D$28:$D$32)</f>
        <v>1</v>
      </c>
      <c r="R743">
        <f>Sales_Data[[#This Row],[Date inc]]*Sales_Data[[#This Row],[Team Inc]]*Sales_Data[[#This Row],[Rep Inc]]*Sales_Data[[#This Row],[Stage Inc]]*Sales_Data[[#This Row],[Source Inc]]</f>
        <v>1</v>
      </c>
    </row>
    <row r="744" spans="1:18" x14ac:dyDescent="0.3">
      <c r="A744" t="s">
        <v>751</v>
      </c>
      <c r="B744" s="2">
        <v>45675</v>
      </c>
      <c r="C744" t="s">
        <v>760</v>
      </c>
      <c r="D744" t="s">
        <v>764</v>
      </c>
      <c r="E744" t="s">
        <v>767</v>
      </c>
      <c r="F744" s="5">
        <v>33800</v>
      </c>
      <c r="G744" t="s">
        <v>780</v>
      </c>
      <c r="H744" s="2">
        <v>45749</v>
      </c>
      <c r="J744" t="str">
        <f>IF(Sales_Data[[#This Row],[Close Date]] &lt;&gt; 0,"Closed", "Open")</f>
        <v>Closed</v>
      </c>
      <c r="K744">
        <f>IF(Sales_Data[[#This Row],[Open/Closed]] = "Closed",Sales_Data[[#This Row],[Close Date]]-Sales_Data[[#This Row],[Created Date]],"")</f>
        <v>74</v>
      </c>
      <c r="L744" s="2">
        <f>EOMONTH(Sales_Data[[#This Row],[Created Date]],0)</f>
        <v>45688</v>
      </c>
      <c r="M744" t="b">
        <f>AND(Sales_Data[[#This Row],[EoM Created]]&gt;=Index!$E$5,Sales_Data[[#This Row],[EoM Created]]&lt;=Index!$E$4)</f>
        <v>1</v>
      </c>
      <c r="N744" t="b" cm="1">
        <f t="array" ref="N744">_xlfn.XLOOKUP(Sales_Data[[#This Row],[Sales Team]],_xlfn.ANCHORARRAY(Dashboard!$B$9),Dashboard!$D$9:$D$10,,0)</f>
        <v>1</v>
      </c>
      <c r="O744" t="b" cm="1">
        <f t="array" ref="O744">_xlfn.XLOOKUP(Sales_Data[[#This Row],[Sales Rep]],_xlfn.ANCHORARRAY(Dashboard!$B$13),Dashboard!$D$13:$D$17,,0)</f>
        <v>1</v>
      </c>
      <c r="P744" t="b" cm="1">
        <f t="array" ref="P744">_xlfn.XLOOKUP(Sales_Data[[#This Row],[Stage]],_xlfn.ANCHORARRAY(Dashboard!$B$20),Dashboard!$D$20:$D$25)</f>
        <v>1</v>
      </c>
      <c r="Q744" t="b" cm="1">
        <f t="array" ref="Q744">_xlfn.XLOOKUP(Sales_Data[[#This Row],[Lead Source]],_xlfn.ANCHORARRAY(Dashboard!$B$28),Dashboard!$D$28:$D$32)</f>
        <v>1</v>
      </c>
      <c r="R744">
        <f>Sales_Data[[#This Row],[Date inc]]*Sales_Data[[#This Row],[Team Inc]]*Sales_Data[[#This Row],[Rep Inc]]*Sales_Data[[#This Row],[Stage Inc]]*Sales_Data[[#This Row],[Source Inc]]</f>
        <v>1</v>
      </c>
    </row>
    <row r="745" spans="1:18" x14ac:dyDescent="0.3">
      <c r="A745" t="s">
        <v>752</v>
      </c>
      <c r="B745" s="2">
        <v>45696</v>
      </c>
      <c r="C745" t="s">
        <v>763</v>
      </c>
      <c r="D745" t="s">
        <v>765</v>
      </c>
      <c r="E745" t="s">
        <v>770</v>
      </c>
      <c r="F745" s="5">
        <v>40300</v>
      </c>
      <c r="G745" t="s">
        <v>781</v>
      </c>
      <c r="H745" s="2">
        <v>45764</v>
      </c>
      <c r="I745" t="s">
        <v>775</v>
      </c>
      <c r="J745" t="str">
        <f>IF(Sales_Data[[#This Row],[Close Date]] &lt;&gt; 0,"Closed", "Open")</f>
        <v>Closed</v>
      </c>
      <c r="K745">
        <f>IF(Sales_Data[[#This Row],[Open/Closed]] = "Closed",Sales_Data[[#This Row],[Close Date]]-Sales_Data[[#This Row],[Created Date]],"")</f>
        <v>68</v>
      </c>
      <c r="L745" s="2">
        <f>EOMONTH(Sales_Data[[#This Row],[Created Date]],0)</f>
        <v>45716</v>
      </c>
      <c r="M745" t="b">
        <f>AND(Sales_Data[[#This Row],[EoM Created]]&gt;=Index!$E$5,Sales_Data[[#This Row],[EoM Created]]&lt;=Index!$E$4)</f>
        <v>1</v>
      </c>
      <c r="N745" t="b" cm="1">
        <f t="array" ref="N745">_xlfn.XLOOKUP(Sales_Data[[#This Row],[Sales Team]],_xlfn.ANCHORARRAY(Dashboard!$B$9),Dashboard!$D$9:$D$10,,0)</f>
        <v>1</v>
      </c>
      <c r="O745" t="b" cm="1">
        <f t="array" ref="O745">_xlfn.XLOOKUP(Sales_Data[[#This Row],[Sales Rep]],_xlfn.ANCHORARRAY(Dashboard!$B$13),Dashboard!$D$13:$D$17,,0)</f>
        <v>1</v>
      </c>
      <c r="P745" t="b" cm="1">
        <f t="array" ref="P745">_xlfn.XLOOKUP(Sales_Data[[#This Row],[Stage]],_xlfn.ANCHORARRAY(Dashboard!$B$20),Dashboard!$D$20:$D$25)</f>
        <v>1</v>
      </c>
      <c r="Q745" t="b" cm="1">
        <f t="array" ref="Q745">_xlfn.XLOOKUP(Sales_Data[[#This Row],[Lead Source]],_xlfn.ANCHORARRAY(Dashboard!$B$28),Dashboard!$D$28:$D$32)</f>
        <v>1</v>
      </c>
      <c r="R745">
        <f>Sales_Data[[#This Row],[Date inc]]*Sales_Data[[#This Row],[Team Inc]]*Sales_Data[[#This Row],[Rep Inc]]*Sales_Data[[#This Row],[Stage Inc]]*Sales_Data[[#This Row],[Source Inc]]</f>
        <v>1</v>
      </c>
    </row>
    <row r="746" spans="1:18" x14ac:dyDescent="0.3">
      <c r="A746" t="s">
        <v>753</v>
      </c>
      <c r="B746" s="2">
        <v>45065</v>
      </c>
      <c r="C746" t="s">
        <v>763</v>
      </c>
      <c r="D746" t="s">
        <v>765</v>
      </c>
      <c r="E746" t="s">
        <v>768</v>
      </c>
      <c r="F746" s="5">
        <v>45200</v>
      </c>
      <c r="G746" t="s">
        <v>781</v>
      </c>
      <c r="H746" s="2">
        <v>45149</v>
      </c>
      <c r="I746" t="s">
        <v>778</v>
      </c>
      <c r="J746" t="str">
        <f>IF(Sales_Data[[#This Row],[Close Date]] &lt;&gt; 0,"Closed", "Open")</f>
        <v>Closed</v>
      </c>
      <c r="K746">
        <f>IF(Sales_Data[[#This Row],[Open/Closed]] = "Closed",Sales_Data[[#This Row],[Close Date]]-Sales_Data[[#This Row],[Created Date]],"")</f>
        <v>84</v>
      </c>
      <c r="L746" s="2">
        <f>EOMONTH(Sales_Data[[#This Row],[Created Date]],0)</f>
        <v>45077</v>
      </c>
      <c r="M746" t="b">
        <f>AND(Sales_Data[[#This Row],[EoM Created]]&gt;=Index!$E$5,Sales_Data[[#This Row],[EoM Created]]&lt;=Index!$E$4)</f>
        <v>0</v>
      </c>
      <c r="N746" t="b" cm="1">
        <f t="array" ref="N746">_xlfn.XLOOKUP(Sales_Data[[#This Row],[Sales Team]],_xlfn.ANCHORARRAY(Dashboard!$B$9),Dashboard!$D$9:$D$10,,0)</f>
        <v>1</v>
      </c>
      <c r="O746" t="b" cm="1">
        <f t="array" ref="O746">_xlfn.XLOOKUP(Sales_Data[[#This Row],[Sales Rep]],_xlfn.ANCHORARRAY(Dashboard!$B$13),Dashboard!$D$13:$D$17,,0)</f>
        <v>1</v>
      </c>
      <c r="P746" t="b" cm="1">
        <f t="array" ref="P746">_xlfn.XLOOKUP(Sales_Data[[#This Row],[Stage]],_xlfn.ANCHORARRAY(Dashboard!$B$20),Dashboard!$D$20:$D$25)</f>
        <v>1</v>
      </c>
      <c r="Q746" t="b" cm="1">
        <f t="array" ref="Q746">_xlfn.XLOOKUP(Sales_Data[[#This Row],[Lead Source]],_xlfn.ANCHORARRAY(Dashboard!$B$28),Dashboard!$D$28:$D$32)</f>
        <v>1</v>
      </c>
      <c r="R746">
        <f>Sales_Data[[#This Row],[Date inc]]*Sales_Data[[#This Row],[Team Inc]]*Sales_Data[[#This Row],[Rep Inc]]*Sales_Data[[#This Row],[Stage Inc]]*Sales_Data[[#This Row],[Source Inc]]</f>
        <v>0</v>
      </c>
    </row>
    <row r="747" spans="1:18" x14ac:dyDescent="0.3">
      <c r="A747" t="s">
        <v>754</v>
      </c>
      <c r="B747" s="2">
        <v>45125</v>
      </c>
      <c r="C747" t="s">
        <v>763</v>
      </c>
      <c r="D747" t="s">
        <v>765</v>
      </c>
      <c r="E747" t="s">
        <v>769</v>
      </c>
      <c r="F747" s="5">
        <v>32700</v>
      </c>
      <c r="G747" t="s">
        <v>781</v>
      </c>
      <c r="H747" s="2">
        <v>45201</v>
      </c>
      <c r="I747" t="s">
        <v>776</v>
      </c>
      <c r="J747" t="str">
        <f>IF(Sales_Data[[#This Row],[Close Date]] &lt;&gt; 0,"Closed", "Open")</f>
        <v>Closed</v>
      </c>
      <c r="K747">
        <f>IF(Sales_Data[[#This Row],[Open/Closed]] = "Closed",Sales_Data[[#This Row],[Close Date]]-Sales_Data[[#This Row],[Created Date]],"")</f>
        <v>76</v>
      </c>
      <c r="L747" s="2">
        <f>EOMONTH(Sales_Data[[#This Row],[Created Date]],0)</f>
        <v>45138</v>
      </c>
      <c r="M747" t="b">
        <f>AND(Sales_Data[[#This Row],[EoM Created]]&gt;=Index!$E$5,Sales_Data[[#This Row],[EoM Created]]&lt;=Index!$E$4)</f>
        <v>1</v>
      </c>
      <c r="N747" t="b" cm="1">
        <f t="array" ref="N747">_xlfn.XLOOKUP(Sales_Data[[#This Row],[Sales Team]],_xlfn.ANCHORARRAY(Dashboard!$B$9),Dashboard!$D$9:$D$10,,0)</f>
        <v>1</v>
      </c>
      <c r="O747" t="b" cm="1">
        <f t="array" ref="O747">_xlfn.XLOOKUP(Sales_Data[[#This Row],[Sales Rep]],_xlfn.ANCHORARRAY(Dashboard!$B$13),Dashboard!$D$13:$D$17,,0)</f>
        <v>1</v>
      </c>
      <c r="P747" t="b" cm="1">
        <f t="array" ref="P747">_xlfn.XLOOKUP(Sales_Data[[#This Row],[Stage]],_xlfn.ANCHORARRAY(Dashboard!$B$20),Dashboard!$D$20:$D$25)</f>
        <v>1</v>
      </c>
      <c r="Q747" t="b" cm="1">
        <f t="array" ref="Q747">_xlfn.XLOOKUP(Sales_Data[[#This Row],[Lead Source]],_xlfn.ANCHORARRAY(Dashboard!$B$28),Dashboard!$D$28:$D$32)</f>
        <v>1</v>
      </c>
      <c r="R747">
        <f>Sales_Data[[#This Row],[Date inc]]*Sales_Data[[#This Row],[Team Inc]]*Sales_Data[[#This Row],[Rep Inc]]*Sales_Data[[#This Row],[Stage Inc]]*Sales_Data[[#This Row],[Source Inc]]</f>
        <v>1</v>
      </c>
    </row>
    <row r="748" spans="1:18" x14ac:dyDescent="0.3">
      <c r="A748" t="s">
        <v>755</v>
      </c>
      <c r="B748" s="2">
        <v>45331</v>
      </c>
      <c r="C748" t="s">
        <v>759</v>
      </c>
      <c r="D748" t="s">
        <v>764</v>
      </c>
      <c r="E748" t="s">
        <v>766</v>
      </c>
      <c r="F748" s="5">
        <v>41900</v>
      </c>
      <c r="G748" t="s">
        <v>780</v>
      </c>
      <c r="H748" s="2">
        <v>45399</v>
      </c>
      <c r="J748" t="str">
        <f>IF(Sales_Data[[#This Row],[Close Date]] &lt;&gt; 0,"Closed", "Open")</f>
        <v>Closed</v>
      </c>
      <c r="K748">
        <f>IF(Sales_Data[[#This Row],[Open/Closed]] = "Closed",Sales_Data[[#This Row],[Close Date]]-Sales_Data[[#This Row],[Created Date]],"")</f>
        <v>68</v>
      </c>
      <c r="L748" s="2">
        <f>EOMONTH(Sales_Data[[#This Row],[Created Date]],0)</f>
        <v>45351</v>
      </c>
      <c r="M748" t="b">
        <f>AND(Sales_Data[[#This Row],[EoM Created]]&gt;=Index!$E$5,Sales_Data[[#This Row],[EoM Created]]&lt;=Index!$E$4)</f>
        <v>1</v>
      </c>
      <c r="N748" t="b" cm="1">
        <f t="array" ref="N748">_xlfn.XLOOKUP(Sales_Data[[#This Row],[Sales Team]],_xlfn.ANCHORARRAY(Dashboard!$B$9),Dashboard!$D$9:$D$10,,0)</f>
        <v>1</v>
      </c>
      <c r="O748" t="b" cm="1">
        <f t="array" ref="O748">_xlfn.XLOOKUP(Sales_Data[[#This Row],[Sales Rep]],_xlfn.ANCHORARRAY(Dashboard!$B$13),Dashboard!$D$13:$D$17,,0)</f>
        <v>1</v>
      </c>
      <c r="P748" t="b" cm="1">
        <f t="array" ref="P748">_xlfn.XLOOKUP(Sales_Data[[#This Row],[Stage]],_xlfn.ANCHORARRAY(Dashboard!$B$20),Dashboard!$D$20:$D$25)</f>
        <v>1</v>
      </c>
      <c r="Q748" t="b" cm="1">
        <f t="array" ref="Q748">_xlfn.XLOOKUP(Sales_Data[[#This Row],[Lead Source]],_xlfn.ANCHORARRAY(Dashboard!$B$28),Dashboard!$D$28:$D$32)</f>
        <v>1</v>
      </c>
      <c r="R748">
        <f>Sales_Data[[#This Row],[Date inc]]*Sales_Data[[#This Row],[Team Inc]]*Sales_Data[[#This Row],[Rep Inc]]*Sales_Data[[#This Row],[Stage Inc]]*Sales_Data[[#This Row],[Source Inc]]</f>
        <v>1</v>
      </c>
    </row>
    <row r="749" spans="1:18" x14ac:dyDescent="0.3">
      <c r="A749" t="s">
        <v>756</v>
      </c>
      <c r="B749" s="2">
        <v>45556</v>
      </c>
      <c r="C749" t="s">
        <v>761</v>
      </c>
      <c r="D749" t="s">
        <v>765</v>
      </c>
      <c r="E749" t="s">
        <v>769</v>
      </c>
      <c r="F749" s="5">
        <v>32400</v>
      </c>
      <c r="G749" t="s">
        <v>781</v>
      </c>
      <c r="H749" s="2">
        <v>45621</v>
      </c>
      <c r="I749" t="s">
        <v>778</v>
      </c>
      <c r="J749" t="str">
        <f>IF(Sales_Data[[#This Row],[Close Date]] &lt;&gt; 0,"Closed", "Open")</f>
        <v>Closed</v>
      </c>
      <c r="K749">
        <f>IF(Sales_Data[[#This Row],[Open/Closed]] = "Closed",Sales_Data[[#This Row],[Close Date]]-Sales_Data[[#This Row],[Created Date]],"")</f>
        <v>65</v>
      </c>
      <c r="L749" s="2">
        <f>EOMONTH(Sales_Data[[#This Row],[Created Date]],0)</f>
        <v>45565</v>
      </c>
      <c r="M749" t="b">
        <f>AND(Sales_Data[[#This Row],[EoM Created]]&gt;=Index!$E$5,Sales_Data[[#This Row],[EoM Created]]&lt;=Index!$E$4)</f>
        <v>1</v>
      </c>
      <c r="N749" t="b" cm="1">
        <f t="array" ref="N749">_xlfn.XLOOKUP(Sales_Data[[#This Row],[Sales Team]],_xlfn.ANCHORARRAY(Dashboard!$B$9),Dashboard!$D$9:$D$10,,0)</f>
        <v>1</v>
      </c>
      <c r="O749" t="b" cm="1">
        <f t="array" ref="O749">_xlfn.XLOOKUP(Sales_Data[[#This Row],[Sales Rep]],_xlfn.ANCHORARRAY(Dashboard!$B$13),Dashboard!$D$13:$D$17,,0)</f>
        <v>1</v>
      </c>
      <c r="P749" t="b" cm="1">
        <f t="array" ref="P749">_xlfn.XLOOKUP(Sales_Data[[#This Row],[Stage]],_xlfn.ANCHORARRAY(Dashboard!$B$20),Dashboard!$D$20:$D$25)</f>
        <v>1</v>
      </c>
      <c r="Q749" t="b" cm="1">
        <f t="array" ref="Q749">_xlfn.XLOOKUP(Sales_Data[[#This Row],[Lead Source]],_xlfn.ANCHORARRAY(Dashboard!$B$28),Dashboard!$D$28:$D$32)</f>
        <v>1</v>
      </c>
      <c r="R749">
        <f>Sales_Data[[#This Row],[Date inc]]*Sales_Data[[#This Row],[Team Inc]]*Sales_Data[[#This Row],[Rep Inc]]*Sales_Data[[#This Row],[Stage Inc]]*Sales_Data[[#This Row],[Source Inc]]</f>
        <v>1</v>
      </c>
    </row>
    <row r="750" spans="1:18" x14ac:dyDescent="0.3">
      <c r="A750" t="s">
        <v>757</v>
      </c>
      <c r="B750" s="2">
        <v>45055</v>
      </c>
      <c r="C750" t="s">
        <v>759</v>
      </c>
      <c r="D750" t="s">
        <v>764</v>
      </c>
      <c r="E750" t="s">
        <v>767</v>
      </c>
      <c r="F750" s="5">
        <v>33900</v>
      </c>
      <c r="G750" t="s">
        <v>781</v>
      </c>
      <c r="H750" s="2">
        <v>45131</v>
      </c>
      <c r="I750" t="s">
        <v>778</v>
      </c>
      <c r="J750" t="str">
        <f>IF(Sales_Data[[#This Row],[Close Date]] &lt;&gt; 0,"Closed", "Open")</f>
        <v>Closed</v>
      </c>
      <c r="K750">
        <f>IF(Sales_Data[[#This Row],[Open/Closed]] = "Closed",Sales_Data[[#This Row],[Close Date]]-Sales_Data[[#This Row],[Created Date]],"")</f>
        <v>76</v>
      </c>
      <c r="L750" s="2">
        <f>EOMONTH(Sales_Data[[#This Row],[Created Date]],0)</f>
        <v>45077</v>
      </c>
      <c r="M750" t="b">
        <f>AND(Sales_Data[[#This Row],[EoM Created]]&gt;=Index!$E$5,Sales_Data[[#This Row],[EoM Created]]&lt;=Index!$E$4)</f>
        <v>0</v>
      </c>
      <c r="N750" t="b" cm="1">
        <f t="array" ref="N750">_xlfn.XLOOKUP(Sales_Data[[#This Row],[Sales Team]],_xlfn.ANCHORARRAY(Dashboard!$B$9),Dashboard!$D$9:$D$10,,0)</f>
        <v>1</v>
      </c>
      <c r="O750" t="b" cm="1">
        <f t="array" ref="O750">_xlfn.XLOOKUP(Sales_Data[[#This Row],[Sales Rep]],_xlfn.ANCHORARRAY(Dashboard!$B$13),Dashboard!$D$13:$D$17,,0)</f>
        <v>1</v>
      </c>
      <c r="P750" t="b" cm="1">
        <f t="array" ref="P750">_xlfn.XLOOKUP(Sales_Data[[#This Row],[Stage]],_xlfn.ANCHORARRAY(Dashboard!$B$20),Dashboard!$D$20:$D$25)</f>
        <v>1</v>
      </c>
      <c r="Q750" t="b" cm="1">
        <f t="array" ref="Q750">_xlfn.XLOOKUP(Sales_Data[[#This Row],[Lead Source]],_xlfn.ANCHORARRAY(Dashboard!$B$28),Dashboard!$D$28:$D$32)</f>
        <v>1</v>
      </c>
      <c r="R750">
        <f>Sales_Data[[#This Row],[Date inc]]*Sales_Data[[#This Row],[Team Inc]]*Sales_Data[[#This Row],[Rep Inc]]*Sales_Data[[#This Row],[Stage Inc]]*Sales_Data[[#This Row],[Source Inc]]</f>
        <v>0</v>
      </c>
    </row>
    <row r="751" spans="1:18" x14ac:dyDescent="0.3">
      <c r="A751" t="s">
        <v>758</v>
      </c>
      <c r="B751" s="2">
        <v>45365</v>
      </c>
      <c r="C751" t="s">
        <v>759</v>
      </c>
      <c r="D751" t="s">
        <v>764</v>
      </c>
      <c r="E751" t="s">
        <v>767</v>
      </c>
      <c r="F751" s="5">
        <v>25900</v>
      </c>
      <c r="G751" t="s">
        <v>780</v>
      </c>
      <c r="H751" s="2">
        <v>45440</v>
      </c>
      <c r="J751" t="str">
        <f>IF(Sales_Data[[#This Row],[Close Date]] &lt;&gt; 0,"Closed", "Open")</f>
        <v>Closed</v>
      </c>
      <c r="K751">
        <f>IF(Sales_Data[[#This Row],[Open/Closed]] = "Closed",Sales_Data[[#This Row],[Close Date]]-Sales_Data[[#This Row],[Created Date]],"")</f>
        <v>75</v>
      </c>
      <c r="L751" s="2">
        <f>EOMONTH(Sales_Data[[#This Row],[Created Date]],0)</f>
        <v>45382</v>
      </c>
      <c r="M751" t="b">
        <f>AND(Sales_Data[[#This Row],[EoM Created]]&gt;=Index!$E$5,Sales_Data[[#This Row],[EoM Created]]&lt;=Index!$E$4)</f>
        <v>1</v>
      </c>
      <c r="N751" t="b" cm="1">
        <f t="array" ref="N751">_xlfn.XLOOKUP(Sales_Data[[#This Row],[Sales Team]],_xlfn.ANCHORARRAY(Dashboard!$B$9),Dashboard!$D$9:$D$10,,0)</f>
        <v>1</v>
      </c>
      <c r="O751" t="b" cm="1">
        <f t="array" ref="O751">_xlfn.XLOOKUP(Sales_Data[[#This Row],[Sales Rep]],_xlfn.ANCHORARRAY(Dashboard!$B$13),Dashboard!$D$13:$D$17,,0)</f>
        <v>1</v>
      </c>
      <c r="P751" t="b" cm="1">
        <f t="array" ref="P751">_xlfn.XLOOKUP(Sales_Data[[#This Row],[Stage]],_xlfn.ANCHORARRAY(Dashboard!$B$20),Dashboard!$D$20:$D$25)</f>
        <v>1</v>
      </c>
      <c r="Q751" t="b" cm="1">
        <f t="array" ref="Q751">_xlfn.XLOOKUP(Sales_Data[[#This Row],[Lead Source]],_xlfn.ANCHORARRAY(Dashboard!$B$28),Dashboard!$D$28:$D$32)</f>
        <v>1</v>
      </c>
      <c r="R751">
        <f>Sales_Data[[#This Row],[Date inc]]*Sales_Data[[#This Row],[Team Inc]]*Sales_Data[[#This Row],[Rep Inc]]*Sales_Data[[#This Row],[Stage Inc]]*Sales_Data[[#This Row],[Source Inc]]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Dashboard Metrics</vt:lpstr>
      <vt:lpstr>Index</vt:lpstr>
      <vt:lpstr>Rank Rollup</vt:lpstr>
      <vt:lpstr>Data Rollup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Trevor Menezes</cp:lastModifiedBy>
  <dcterms:created xsi:type="dcterms:W3CDTF">2025-02-05T04:40:07Z</dcterms:created>
  <dcterms:modified xsi:type="dcterms:W3CDTF">2025-05-01T19:41:05Z</dcterms:modified>
</cp:coreProperties>
</file>