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FE4E7BF-691D-43BB-8C5A-DF057CC0EAE3}" xr6:coauthVersionLast="47" xr6:coauthVersionMax="47" xr10:uidLastSave="{00000000-0000-0000-0000-000000000000}"/>
  <bookViews>
    <workbookView xWindow="-108" yWindow="-108" windowWidth="30936" windowHeight="16776" tabRatio="845" activeTab="7" xr2:uid="{00000000-000D-0000-FFFF-FFFF00000000}"/>
  </bookViews>
  <sheets>
    <sheet name="Исходные данные" sheetId="2" r:id="rId1"/>
    <sheet name="Численность персонала" sheetId="1" r:id="rId2"/>
    <sheet name="Потребность в оборудовании" sheetId="3" r:id="rId3"/>
    <sheet name="Расчёт капитальных затрат" sheetId="4" r:id="rId4"/>
    <sheet name="Расчёт ФОТ" sheetId="5" r:id="rId5"/>
    <sheet name="Расчёт фин рез деят предпр" sheetId="6" r:id="rId6"/>
    <sheet name="MAIN" sheetId="8" r:id="rId7"/>
    <sheet name="КЗ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1" i="10"/>
  <c r="B2" i="10"/>
  <c r="B24" i="8"/>
  <c r="B7" i="8"/>
  <c r="B2" i="3" l="1"/>
  <c r="B5" i="4" s="1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D35" i="5"/>
  <c r="D53" i="5" s="1"/>
  <c r="D36" i="5"/>
  <c r="F36" i="5"/>
  <c r="G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G43" i="5" s="1"/>
  <c r="H43" i="5" s="1"/>
  <c r="D44" i="5"/>
  <c r="F44" i="5"/>
  <c r="G44" i="5" s="1"/>
  <c r="H44" i="5" s="1"/>
  <c r="D45" i="5"/>
  <c r="F45" i="5" s="1"/>
  <c r="D46" i="5"/>
  <c r="F46" i="5" s="1"/>
  <c r="G46" i="5" s="1"/>
  <c r="D47" i="5"/>
  <c r="F47" i="5"/>
  <c r="G47" i="5" s="1"/>
  <c r="D48" i="5"/>
  <c r="F48" i="5" s="1"/>
  <c r="G48" i="5" s="1"/>
  <c r="H48" i="5" s="1"/>
  <c r="D49" i="5"/>
  <c r="F49" i="5" s="1"/>
  <c r="D50" i="5"/>
  <c r="F50" i="5" s="1"/>
  <c r="D51" i="5"/>
  <c r="F51" i="5" s="1"/>
  <c r="G51" i="5" s="1"/>
  <c r="D52" i="5"/>
  <c r="F52" i="5" s="1"/>
  <c r="E53" i="5"/>
  <c r="C57" i="5"/>
  <c r="C56" i="5" s="1"/>
  <c r="C58" i="5"/>
  <c r="C59" i="5"/>
  <c r="C61" i="5"/>
  <c r="C60" i="5" s="1"/>
  <c r="C62" i="5"/>
  <c r="C63" i="5"/>
  <c r="C64" i="5"/>
  <c r="C65" i="5"/>
  <c r="C66" i="5"/>
  <c r="C67" i="5"/>
  <c r="C68" i="5"/>
  <c r="C69" i="5"/>
  <c r="C71" i="5"/>
  <c r="C70" i="5" s="1"/>
  <c r="C72" i="5"/>
  <c r="C73" i="5"/>
  <c r="C74" i="5"/>
  <c r="C75" i="5"/>
  <c r="C76" i="5"/>
  <c r="B57" i="6"/>
  <c r="B56" i="6"/>
  <c r="G52" i="5" l="1"/>
  <c r="H52" i="5" s="1"/>
  <c r="I52" i="5" s="1"/>
  <c r="J52" i="5" s="1"/>
  <c r="K52" i="5" s="1"/>
  <c r="B76" i="5" s="1"/>
  <c r="D76" i="5" s="1"/>
  <c r="G40" i="5"/>
  <c r="H40" i="5" s="1"/>
  <c r="G45" i="5"/>
  <c r="H45" i="5" s="1"/>
  <c r="F35" i="5"/>
  <c r="G35" i="5" s="1"/>
  <c r="H51" i="5"/>
  <c r="H36" i="5"/>
  <c r="G50" i="5"/>
  <c r="H50" i="5" s="1"/>
  <c r="G37" i="5"/>
  <c r="H37" i="5"/>
  <c r="G39" i="5"/>
  <c r="H39" i="5" s="1"/>
  <c r="G38" i="5"/>
  <c r="H38" i="5"/>
  <c r="I44" i="5"/>
  <c r="J44" i="5"/>
  <c r="K44" i="5" s="1"/>
  <c r="B67" i="5" s="1"/>
  <c r="D67" i="5" s="1"/>
  <c r="G41" i="5"/>
  <c r="H41" i="5" s="1"/>
  <c r="G49" i="5"/>
  <c r="H49" i="5"/>
  <c r="I48" i="5"/>
  <c r="J48" i="5" s="1"/>
  <c r="K48" i="5" s="1"/>
  <c r="B72" i="5" s="1"/>
  <c r="D72" i="5" s="1"/>
  <c r="I36" i="5"/>
  <c r="J36" i="5" s="1"/>
  <c r="K36" i="5" s="1"/>
  <c r="B58" i="5" s="1"/>
  <c r="D58" i="5" s="1"/>
  <c r="I43" i="5"/>
  <c r="J43" i="5" s="1"/>
  <c r="K43" i="5" s="1"/>
  <c r="B66" i="5" s="1"/>
  <c r="D66" i="5" s="1"/>
  <c r="G42" i="5"/>
  <c r="H42" i="5"/>
  <c r="F53" i="5"/>
  <c r="H46" i="5"/>
  <c r="H47" i="5"/>
  <c r="B3" i="4"/>
  <c r="B2" i="4"/>
  <c r="B24" i="2"/>
  <c r="E4" i="5" s="1"/>
  <c r="H35" i="5" l="1"/>
  <c r="I45" i="5"/>
  <c r="J45" i="5"/>
  <c r="K45" i="5" s="1"/>
  <c r="B68" i="5" s="1"/>
  <c r="D68" i="5" s="1"/>
  <c r="I40" i="5"/>
  <c r="J40" i="5"/>
  <c r="K40" i="5" s="1"/>
  <c r="B63" i="5" s="1"/>
  <c r="D63" i="5" s="1"/>
  <c r="C26" i="5"/>
  <c r="C31" i="5"/>
  <c r="C28" i="5"/>
  <c r="C25" i="5"/>
  <c r="C27" i="5"/>
  <c r="C30" i="5"/>
  <c r="E10" i="5"/>
  <c r="C29" i="5"/>
  <c r="G53" i="5"/>
  <c r="I51" i="5"/>
  <c r="J51" i="5" s="1"/>
  <c r="K51" i="5" s="1"/>
  <c r="B75" i="5" s="1"/>
  <c r="D75" i="5" s="1"/>
  <c r="I50" i="5"/>
  <c r="J50" i="5" s="1"/>
  <c r="K50" i="5" s="1"/>
  <c r="B74" i="5" s="1"/>
  <c r="D74" i="5" s="1"/>
  <c r="I41" i="5"/>
  <c r="J41" i="5" s="1"/>
  <c r="K41" i="5" s="1"/>
  <c r="B64" i="5" s="1"/>
  <c r="D64" i="5" s="1"/>
  <c r="I42" i="5"/>
  <c r="J42" i="5" s="1"/>
  <c r="K42" i="5" s="1"/>
  <c r="B65" i="5" s="1"/>
  <c r="D65" i="5" s="1"/>
  <c r="I39" i="5"/>
  <c r="J39" i="5" s="1"/>
  <c r="K39" i="5" s="1"/>
  <c r="B62" i="5" s="1"/>
  <c r="D62" i="5" s="1"/>
  <c r="I49" i="5"/>
  <c r="J49" i="5"/>
  <c r="K49" i="5" s="1"/>
  <c r="B73" i="5" s="1"/>
  <c r="D73" i="5" s="1"/>
  <c r="I46" i="5"/>
  <c r="J46" i="5" s="1"/>
  <c r="K46" i="5" s="1"/>
  <c r="B69" i="5" s="1"/>
  <c r="D69" i="5" s="1"/>
  <c r="I37" i="5"/>
  <c r="J37" i="5" s="1"/>
  <c r="K37" i="5" s="1"/>
  <c r="B59" i="5" s="1"/>
  <c r="D59" i="5" s="1"/>
  <c r="I35" i="5"/>
  <c r="J35" i="5" s="1"/>
  <c r="H53" i="5"/>
  <c r="I38" i="5"/>
  <c r="J38" i="5" s="1"/>
  <c r="K38" i="5" s="1"/>
  <c r="B61" i="5" s="1"/>
  <c r="I47" i="5"/>
  <c r="J47" i="5" s="1"/>
  <c r="K47" i="5" s="1"/>
  <c r="B71" i="5" s="1"/>
  <c r="E71" i="6"/>
  <c r="C6" i="5"/>
  <c r="C32" i="5" l="1"/>
  <c r="B60" i="5"/>
  <c r="D61" i="5"/>
  <c r="D60" i="5" s="1"/>
  <c r="K35" i="5"/>
  <c r="J53" i="5"/>
  <c r="I53" i="5"/>
  <c r="B70" i="5"/>
  <c r="D71" i="5"/>
  <c r="D70" i="5" s="1"/>
  <c r="F17" i="6"/>
  <c r="B57" i="5" l="1"/>
  <c r="K53" i="5"/>
  <c r="N5" i="5"/>
  <c r="N6" i="5"/>
  <c r="N7" i="5"/>
  <c r="O7" i="5" s="1"/>
  <c r="N8" i="5"/>
  <c r="N9" i="5"/>
  <c r="N10" i="5"/>
  <c r="N11" i="5"/>
  <c r="O11" i="5" s="1"/>
  <c r="M5" i="5"/>
  <c r="M6" i="5"/>
  <c r="M7" i="5"/>
  <c r="M8" i="5"/>
  <c r="M9" i="5"/>
  <c r="M10" i="5"/>
  <c r="M11" i="5"/>
  <c r="M4" i="5"/>
  <c r="N4" i="5"/>
  <c r="B56" i="5" l="1"/>
  <c r="D57" i="5"/>
  <c r="D56" i="5" s="1"/>
  <c r="E68" i="6"/>
  <c r="C57" i="6"/>
  <c r="C56" i="6"/>
  <c r="C17" i="6"/>
  <c r="C18" i="6"/>
  <c r="C19" i="6"/>
  <c r="C20" i="6"/>
  <c r="C21" i="6"/>
  <c r="C22" i="6"/>
  <c r="C23" i="6"/>
  <c r="C24" i="6"/>
  <c r="C16" i="6"/>
  <c r="B17" i="6"/>
  <c r="B18" i="6"/>
  <c r="B19" i="6"/>
  <c r="B20" i="6"/>
  <c r="B21" i="6"/>
  <c r="B22" i="6"/>
  <c r="B23" i="6"/>
  <c r="B24" i="6"/>
  <c r="B16" i="6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E10" i="6"/>
  <c r="E9" i="6"/>
  <c r="E8" i="6"/>
  <c r="E7" i="6"/>
  <c r="E6" i="6"/>
  <c r="E5" i="6"/>
  <c r="E4" i="6"/>
  <c r="E3" i="6"/>
  <c r="F24" i="6"/>
  <c r="F23" i="6"/>
  <c r="F22" i="6"/>
  <c r="F21" i="6"/>
  <c r="F20" i="6"/>
  <c r="F19" i="6"/>
  <c r="F18" i="6"/>
  <c r="F16" i="6"/>
  <c r="H8" i="6" l="1"/>
  <c r="D57" i="6"/>
  <c r="E70" i="6" s="1"/>
  <c r="D56" i="6"/>
  <c r="E67" i="6" s="1"/>
  <c r="H5" i="6"/>
  <c r="H4" i="6"/>
  <c r="H7" i="6"/>
  <c r="H10" i="6"/>
  <c r="H6" i="6"/>
  <c r="H3" i="6"/>
  <c r="H11" i="6" s="1"/>
  <c r="H9" i="6"/>
  <c r="C45" i="6" l="1"/>
  <c r="H12" i="6"/>
  <c r="E45" i="6" s="1"/>
  <c r="F45" i="6" s="1"/>
  <c r="H13" i="6" l="1"/>
  <c r="D45" i="6"/>
  <c r="C18" i="5" l="1"/>
  <c r="D18" i="5" s="1"/>
  <c r="C15" i="5"/>
  <c r="C12" i="5"/>
  <c r="D12" i="5" s="1"/>
  <c r="C9" i="5"/>
  <c r="C21" i="5" s="1"/>
  <c r="C17" i="5"/>
  <c r="D17" i="5" s="1"/>
  <c r="C14" i="5"/>
  <c r="D14" i="5" s="1"/>
  <c r="C11" i="5"/>
  <c r="D11" i="5" s="1"/>
  <c r="F11" i="5" s="1"/>
  <c r="C8" i="5"/>
  <c r="D8" i="5" s="1"/>
  <c r="C5" i="5"/>
  <c r="D5" i="5" s="1"/>
  <c r="B16" i="5"/>
  <c r="B13" i="5"/>
  <c r="B10" i="5"/>
  <c r="B7" i="5"/>
  <c r="B4" i="5"/>
  <c r="D15" i="5"/>
  <c r="D9" i="5"/>
  <c r="D6" i="5"/>
  <c r="G11" i="5" l="1"/>
  <c r="H11" i="5" s="1"/>
  <c r="I11" i="5" s="1"/>
  <c r="J11" i="5" s="1"/>
  <c r="E7" i="5"/>
  <c r="F8" i="5"/>
  <c r="G8" i="5" s="1"/>
  <c r="E16" i="5"/>
  <c r="F17" i="5" s="1"/>
  <c r="G17" i="5" s="1"/>
  <c r="F9" i="5"/>
  <c r="G9" i="5" s="1"/>
  <c r="H9" i="5" s="1"/>
  <c r="I9" i="5" s="1"/>
  <c r="F5" i="5"/>
  <c r="G5" i="5" s="1"/>
  <c r="E13" i="5"/>
  <c r="F14" i="5" s="1"/>
  <c r="G14" i="5" s="1"/>
  <c r="H14" i="5" s="1"/>
  <c r="I14" i="5" s="1"/>
  <c r="C20" i="5"/>
  <c r="O5" i="5"/>
  <c r="O6" i="5"/>
  <c r="O8" i="5"/>
  <c r="O9" i="5"/>
  <c r="O10" i="5"/>
  <c r="O4" i="5"/>
  <c r="F6" i="5"/>
  <c r="G6" i="5" s="1"/>
  <c r="D21" i="5"/>
  <c r="D20" i="5"/>
  <c r="H8" i="5" l="1"/>
  <c r="I8" i="5" s="1"/>
  <c r="F18" i="5"/>
  <c r="G18" i="5" s="1"/>
  <c r="H18" i="5" s="1"/>
  <c r="I18" i="5" s="1"/>
  <c r="J18" i="5" s="1"/>
  <c r="F12" i="5"/>
  <c r="G12" i="5" s="1"/>
  <c r="H12" i="5" s="1"/>
  <c r="I12" i="5" s="1"/>
  <c r="J12" i="5" s="1"/>
  <c r="K10" i="5" s="1"/>
  <c r="B81" i="5" s="1"/>
  <c r="H17" i="5"/>
  <c r="I17" i="5" s="1"/>
  <c r="J17" i="5" s="1"/>
  <c r="E19" i="5"/>
  <c r="F15" i="5"/>
  <c r="J8" i="5"/>
  <c r="H6" i="5"/>
  <c r="J9" i="5"/>
  <c r="J14" i="5"/>
  <c r="G20" i="5"/>
  <c r="F20" i="5"/>
  <c r="K16" i="5" l="1"/>
  <c r="B83" i="5" s="1"/>
  <c r="C31" i="6"/>
  <c r="I6" i="5"/>
  <c r="J6" i="5" s="1"/>
  <c r="G15" i="5"/>
  <c r="H15" i="5" s="1"/>
  <c r="F21" i="5"/>
  <c r="C32" i="6"/>
  <c r="G21" i="5"/>
  <c r="H5" i="5"/>
  <c r="K7" i="5"/>
  <c r="B80" i="5" s="1"/>
  <c r="I15" i="5" l="1"/>
  <c r="H21" i="5"/>
  <c r="F46" i="6" s="1"/>
  <c r="I5" i="5"/>
  <c r="J5" i="5" s="1"/>
  <c r="J20" i="5" s="1"/>
  <c r="H20" i="5"/>
  <c r="I20" i="5"/>
  <c r="I21" i="5" l="1"/>
  <c r="F47" i="6" s="1"/>
  <c r="E47" i="6" s="1"/>
  <c r="J15" i="5"/>
  <c r="E46" i="6"/>
  <c r="F49" i="6"/>
  <c r="D47" i="6"/>
  <c r="C47" i="6" s="1"/>
  <c r="F48" i="6"/>
  <c r="C62" i="6" s="1"/>
  <c r="D46" i="6"/>
  <c r="D49" i="6" s="1"/>
  <c r="C38" i="6"/>
  <c r="K4" i="5"/>
  <c r="B79" i="5" s="1"/>
  <c r="B11" i="4"/>
  <c r="E21" i="6" s="1"/>
  <c r="G21" i="6" s="1"/>
  <c r="B12" i="4"/>
  <c r="E24" i="6" s="1"/>
  <c r="G24" i="6" s="1"/>
  <c r="B10" i="4"/>
  <c r="E20" i="6" s="1"/>
  <c r="G20" i="6" s="1"/>
  <c r="B4" i="4"/>
  <c r="D5" i="1"/>
  <c r="E48" i="6" l="1"/>
  <c r="E49" i="6"/>
  <c r="B7" i="2"/>
  <c r="E2" i="3" s="1"/>
  <c r="D6" i="1"/>
  <c r="D12" i="1" s="1"/>
  <c r="D14" i="1" s="1"/>
  <c r="D8" i="1"/>
  <c r="D7" i="1"/>
  <c r="D9" i="1"/>
  <c r="K13" i="5"/>
  <c r="B82" i="5" s="1"/>
  <c r="B78" i="5" s="1"/>
  <c r="J21" i="5"/>
  <c r="K19" i="5" s="1"/>
  <c r="D128" i="6" s="1"/>
  <c r="D10" i="1"/>
  <c r="D11" i="1"/>
  <c r="C46" i="6"/>
  <c r="C49" i="6" s="1"/>
  <c r="D48" i="6"/>
  <c r="C61" i="6" s="1"/>
  <c r="C63" i="6" s="1"/>
  <c r="E50" i="6" l="1"/>
  <c r="C48" i="6"/>
  <c r="C50" i="6" s="1"/>
  <c r="C51" i="6" s="1"/>
  <c r="E57" i="6"/>
  <c r="F69" i="6"/>
  <c r="B18" i="1"/>
  <c r="C80" i="5" s="1"/>
  <c r="D80" i="5" s="1"/>
  <c r="B20" i="1"/>
  <c r="C82" i="5" s="1"/>
  <c r="D82" i="5" s="1"/>
  <c r="B17" i="1"/>
  <c r="C79" i="5" s="1"/>
  <c r="B19" i="1"/>
  <c r="C81" i="5" s="1"/>
  <c r="D81" i="5" s="1"/>
  <c r="C21" i="1"/>
  <c r="B21" i="1"/>
  <c r="C83" i="5" s="1"/>
  <c r="D83" i="5" s="1"/>
  <c r="D15" i="1"/>
  <c r="C3" i="3"/>
  <c r="C2" i="3"/>
  <c r="B3" i="3"/>
  <c r="E3" i="3"/>
  <c r="C30" i="6"/>
  <c r="C78" i="5" l="1"/>
  <c r="D79" i="5"/>
  <c r="D78" i="5" s="1"/>
  <c r="F66" i="6"/>
  <c r="G67" i="6" s="1"/>
  <c r="E56" i="6"/>
  <c r="G71" i="6"/>
  <c r="G70" i="6"/>
  <c r="G69" i="6"/>
  <c r="B22" i="1"/>
  <c r="C5" i="3"/>
  <c r="C6" i="3"/>
  <c r="C4" i="3"/>
  <c r="B6" i="3"/>
  <c r="B9" i="4" s="1"/>
  <c r="E19" i="6" s="1"/>
  <c r="G19" i="6" s="1"/>
  <c r="B5" i="3"/>
  <c r="B8" i="4" s="1"/>
  <c r="E18" i="6" s="1"/>
  <c r="G18" i="6" s="1"/>
  <c r="B4" i="3"/>
  <c r="B6" i="4"/>
  <c r="G68" i="6" l="1"/>
  <c r="G66" i="6"/>
  <c r="I5" i="1"/>
  <c r="I4" i="1"/>
  <c r="I9" i="1"/>
  <c r="I6" i="1"/>
  <c r="I8" i="1"/>
  <c r="I3" i="1"/>
  <c r="B7" i="4"/>
  <c r="E23" i="6" s="1"/>
  <c r="G23" i="6" s="1"/>
  <c r="D9" i="3"/>
  <c r="B7" i="3"/>
  <c r="I7" i="1"/>
  <c r="E22" i="6"/>
  <c r="G22" i="6" s="1"/>
  <c r="E10" i="4" l="1"/>
  <c r="C85" i="5"/>
  <c r="E25" i="5"/>
  <c r="F25" i="5" s="1"/>
  <c r="E30" i="5"/>
  <c r="F30" i="5" s="1"/>
  <c r="C90" i="5"/>
  <c r="E31" i="5"/>
  <c r="F31" i="5" s="1"/>
  <c r="C91" i="5"/>
  <c r="E29" i="5"/>
  <c r="F29" i="5" s="1"/>
  <c r="C89" i="5"/>
  <c r="E28" i="5"/>
  <c r="F28" i="5" s="1"/>
  <c r="G28" i="5" s="1"/>
  <c r="H28" i="5" s="1"/>
  <c r="C88" i="5"/>
  <c r="E26" i="5"/>
  <c r="F26" i="5" s="1"/>
  <c r="C86" i="5"/>
  <c r="C87" i="5"/>
  <c r="E27" i="5"/>
  <c r="F27" i="5" s="1"/>
  <c r="I10" i="1"/>
  <c r="E17" i="6"/>
  <c r="G17" i="6" s="1"/>
  <c r="G30" i="5" l="1"/>
  <c r="H30" i="5"/>
  <c r="I16" i="1"/>
  <c r="I17" i="1" s="1"/>
  <c r="E32" i="5"/>
  <c r="G29" i="5"/>
  <c r="H29" i="5"/>
  <c r="G27" i="5"/>
  <c r="H27" i="5" s="1"/>
  <c r="G31" i="5"/>
  <c r="H31" i="5" s="1"/>
  <c r="G26" i="5"/>
  <c r="H26" i="5" s="1"/>
  <c r="G25" i="5"/>
  <c r="H25" i="5" s="1"/>
  <c r="F32" i="5"/>
  <c r="I28" i="5"/>
  <c r="J28" i="5" s="1"/>
  <c r="B88" i="5" s="1"/>
  <c r="D88" i="5" s="1"/>
  <c r="C84" i="5"/>
  <c r="C77" i="5" s="1"/>
  <c r="C92" i="5" s="1"/>
  <c r="D124" i="6" l="1"/>
  <c r="J17" i="1"/>
  <c r="I26" i="5"/>
  <c r="J26" i="5" s="1"/>
  <c r="B86" i="5" s="1"/>
  <c r="D86" i="5" s="1"/>
  <c r="I31" i="5"/>
  <c r="J31" i="5" s="1"/>
  <c r="B91" i="5" s="1"/>
  <c r="D91" i="5" s="1"/>
  <c r="I27" i="5"/>
  <c r="J27" i="5" s="1"/>
  <c r="B87" i="5" s="1"/>
  <c r="D87" i="5" s="1"/>
  <c r="I29" i="5"/>
  <c r="J29" i="5"/>
  <c r="B89" i="5" s="1"/>
  <c r="D89" i="5" s="1"/>
  <c r="I25" i="5"/>
  <c r="J25" i="5" s="1"/>
  <c r="H32" i="5"/>
  <c r="G32" i="5"/>
  <c r="I30" i="5"/>
  <c r="J30" i="5" s="1"/>
  <c r="B90" i="5" s="1"/>
  <c r="D90" i="5" s="1"/>
  <c r="I18" i="1"/>
  <c r="I19" i="1" s="1"/>
  <c r="D10" i="3" s="1"/>
  <c r="J18" i="1"/>
  <c r="D126" i="6"/>
  <c r="I32" i="5" l="1"/>
  <c r="B85" i="5"/>
  <c r="J32" i="5"/>
  <c r="D127" i="6"/>
  <c r="D125" i="6"/>
  <c r="I20" i="1"/>
  <c r="I21" i="1" s="1"/>
  <c r="B84" i="5" l="1"/>
  <c r="B77" i="5" s="1"/>
  <c r="B92" i="5" s="1"/>
  <c r="D85" i="5"/>
  <c r="D84" i="5" s="1"/>
  <c r="D77" i="5" s="1"/>
  <c r="D92" i="5" s="1"/>
  <c r="D11" i="3"/>
  <c r="D12" i="3" s="1"/>
  <c r="D123" i="6"/>
  <c r="C33" i="6"/>
  <c r="C29" i="6" s="1"/>
  <c r="D122" i="6" l="1"/>
  <c r="B13" i="4"/>
  <c r="B14" i="4" s="1"/>
  <c r="C34" i="6"/>
  <c r="C36" i="6"/>
  <c r="D121" i="6" l="1"/>
  <c r="E16" i="6"/>
  <c r="G16" i="6" s="1"/>
  <c r="G25" i="6" s="1"/>
  <c r="C35" i="6" s="1"/>
  <c r="C37" i="6" s="1"/>
  <c r="C39" i="6" s="1"/>
  <c r="G138" i="6" l="1"/>
  <c r="E51" i="6"/>
  <c r="E52" i="6" s="1"/>
  <c r="D131" i="6" s="1"/>
  <c r="C52" i="6"/>
  <c r="D130" i="6" s="1"/>
  <c r="F50" i="6" l="1"/>
  <c r="F51" i="6" s="1"/>
  <c r="F52" i="6" s="1"/>
  <c r="D50" i="6"/>
  <c r="D51" i="6" s="1"/>
  <c r="D52" i="6" l="1"/>
  <c r="E61" i="6"/>
  <c r="F56" i="6" s="1"/>
  <c r="E62" i="6"/>
  <c r="H66" i="6"/>
  <c r="I66" i="6" s="1"/>
  <c r="M66" i="6" s="1"/>
  <c r="H69" i="6"/>
  <c r="F57" i="6" l="1"/>
  <c r="B62" i="6" s="1"/>
  <c r="D62" i="6" s="1"/>
  <c r="F62" i="6" s="1"/>
  <c r="J62" i="6" s="1"/>
  <c r="I70" i="6"/>
  <c r="M70" i="6" s="1"/>
  <c r="I71" i="6"/>
  <c r="M71" i="6" s="1"/>
  <c r="I69" i="6"/>
  <c r="M69" i="6" s="1"/>
  <c r="I67" i="6"/>
  <c r="M67" i="6" s="1"/>
  <c r="I68" i="6"/>
  <c r="M68" i="6" s="1"/>
  <c r="E63" i="6"/>
  <c r="D134" i="6" l="1"/>
  <c r="J69" i="6"/>
  <c r="K69" i="6" s="1"/>
  <c r="I62" i="6"/>
  <c r="G62" i="6"/>
  <c r="H62" i="6" s="1"/>
  <c r="K71" i="6"/>
  <c r="N71" i="6" s="1"/>
  <c r="K70" i="6"/>
  <c r="N70" i="6" s="1"/>
  <c r="N69" i="6"/>
  <c r="D133" i="6"/>
  <c r="J66" i="6"/>
  <c r="K66" i="6" s="1"/>
  <c r="N66" i="6" s="1"/>
  <c r="B61" i="6"/>
  <c r="D61" i="6" l="1"/>
  <c r="B63" i="6"/>
  <c r="D135" i="6" s="1"/>
  <c r="K68" i="6"/>
  <c r="N68" i="6" s="1"/>
  <c r="K67" i="6"/>
  <c r="N67" i="6" s="1"/>
  <c r="G135" i="6" l="1"/>
  <c r="G136" i="6" s="1"/>
  <c r="G139" i="6"/>
  <c r="F61" i="6"/>
  <c r="D63" i="6"/>
  <c r="F63" i="6" s="1"/>
  <c r="I61" i="6" l="1"/>
  <c r="G61" i="6"/>
  <c r="J61" i="6"/>
  <c r="H61" i="6"/>
  <c r="I63" i="6"/>
  <c r="D136" i="6"/>
  <c r="G63" i="6"/>
  <c r="H63" i="6" l="1"/>
  <c r="D140" i="6" s="1"/>
  <c r="D137" i="6"/>
  <c r="J63" i="6"/>
  <c r="D139" i="6" l="1"/>
  <c r="D138" i="6"/>
  <c r="G137" i="6" s="1"/>
</calcChain>
</file>

<file path=xl/sharedStrings.xml><?xml version="1.0" encoding="utf-8"?>
<sst xmlns="http://schemas.openxmlformats.org/spreadsheetml/2006/main" count="580" uniqueCount="387">
  <si>
    <t>Рабочие дни</t>
  </si>
  <si>
    <t>Календарные дни</t>
  </si>
  <si>
    <t>Выходные и празд. дни</t>
  </si>
  <si>
    <t>Явочное время</t>
  </si>
  <si>
    <t>Средня продолжительность рабочего дня</t>
  </si>
  <si>
    <t>Полезный фонд времени</t>
  </si>
  <si>
    <t>№</t>
  </si>
  <si>
    <t>Состав фонда времени</t>
  </si>
  <si>
    <t>Кол-во</t>
  </si>
  <si>
    <t>Процент</t>
  </si>
  <si>
    <t>4.1</t>
  </si>
  <si>
    <t>4.2</t>
  </si>
  <si>
    <t>4.3</t>
  </si>
  <si>
    <t>4.4</t>
  </si>
  <si>
    <t>4.5</t>
  </si>
  <si>
    <t xml:space="preserve">   учебные отпуска</t>
  </si>
  <si>
    <t xml:space="preserve">   болезни</t>
  </si>
  <si>
    <t>Расчёт полезного фонда времени</t>
  </si>
  <si>
    <t>Ед. изм.</t>
  </si>
  <si>
    <t>Дни</t>
  </si>
  <si>
    <t>Час</t>
  </si>
  <si>
    <t>Номер варианта</t>
  </si>
  <si>
    <t>ДЗП%</t>
  </si>
  <si>
    <t>Номенклатура выпускаемых изделий, шт.</t>
  </si>
  <si>
    <t>Изделие А</t>
  </si>
  <si>
    <t>Изделие Б</t>
  </si>
  <si>
    <t>Qг</t>
  </si>
  <si>
    <t>Пр</t>
  </si>
  <si>
    <t>Наименование операций</t>
  </si>
  <si>
    <t xml:space="preserve">Средний тарифный разряд </t>
  </si>
  <si>
    <t>Трудоёмкость изготовления изделия</t>
  </si>
  <si>
    <t>Коэффициенты</t>
  </si>
  <si>
    <t>А, н/ч</t>
  </si>
  <si>
    <t>Б, н/ч</t>
  </si>
  <si>
    <t>Выполнения норм, Kвн</t>
  </si>
  <si>
    <t>Выборочности, Kвыб</t>
  </si>
  <si>
    <t>1. Станочная</t>
  </si>
  <si>
    <t>2. Слесарная</t>
  </si>
  <si>
    <t>3. Монтажно-сборочная</t>
  </si>
  <si>
    <t>4. Наладочная, регулировочная, испытательная</t>
  </si>
  <si>
    <t>5. Технический контроль качества</t>
  </si>
  <si>
    <t>Численность</t>
  </si>
  <si>
    <t>Чосн1</t>
  </si>
  <si>
    <t>Чосн2</t>
  </si>
  <si>
    <t>Чосн3</t>
  </si>
  <si>
    <t>Чосн4</t>
  </si>
  <si>
    <t>Чк</t>
  </si>
  <si>
    <t>Чо</t>
  </si>
  <si>
    <t>Численность основных рабочих</t>
  </si>
  <si>
    <t>Перечень специальностей и должностей вспомогательнх рабочих</t>
  </si>
  <si>
    <t>Приходится на одного основного рабочего</t>
  </si>
  <si>
    <t>Разряд/уровень</t>
  </si>
  <si>
    <t>Наладчик оборудования</t>
  </si>
  <si>
    <t>Техник по обсл. подъемно-трансп. обор.</t>
  </si>
  <si>
    <t>Слесари по рем. инстр. и приспособл.</t>
  </si>
  <si>
    <t>Водитель транспортных стредств</t>
  </si>
  <si>
    <t>Разнораб., занятый на скл. и трансп. раб.</t>
  </si>
  <si>
    <t>Кладовщик инстр. завода</t>
  </si>
  <si>
    <t>Кладовщик склада готовой продукции</t>
  </si>
  <si>
    <t>Итого вспомогательных рабочих</t>
  </si>
  <si>
    <t>Численность вспомогательных рабочих</t>
  </si>
  <si>
    <t>Расчет численности специалистов, руководителей и других служащих</t>
  </si>
  <si>
    <t>Численность специалистов</t>
  </si>
  <si>
    <t>Численность руководителей</t>
  </si>
  <si>
    <t>Численность других служащих</t>
  </si>
  <si>
    <t>Общая численность рабочих</t>
  </si>
  <si>
    <t>Количественный состав основных средств</t>
  </si>
  <si>
    <t>Сp1</t>
  </si>
  <si>
    <t>Сp2</t>
  </si>
  <si>
    <t>Сp3</t>
  </si>
  <si>
    <t>Сp4</t>
  </si>
  <si>
    <t>Сp5</t>
  </si>
  <si>
    <t>tсм, часы</t>
  </si>
  <si>
    <t>Fн, дни</t>
  </si>
  <si>
    <t>Расчёт годового действ. фонда времени работы оборудования</t>
  </si>
  <si>
    <t>kсм, смены</t>
  </si>
  <si>
    <t>a1,2</t>
  </si>
  <si>
    <t>a3-5</t>
  </si>
  <si>
    <t>Fд1,2</t>
  </si>
  <si>
    <t>Fд3-5</t>
  </si>
  <si>
    <t>МРОТ</t>
  </si>
  <si>
    <t>Зр</t>
  </si>
  <si>
    <t>Зпр</t>
  </si>
  <si>
    <t>Цо</t>
  </si>
  <si>
    <t>Цп</t>
  </si>
  <si>
    <t>Кпхи</t>
  </si>
  <si>
    <t>Ктрс</t>
  </si>
  <si>
    <t>Ккт</t>
  </si>
  <si>
    <t>Спл</t>
  </si>
  <si>
    <t>Расчёт потребности площадей</t>
  </si>
  <si>
    <t>Производственная площадь, м^2</t>
  </si>
  <si>
    <t>Площадь вспомогательных помещений, м^2</t>
  </si>
  <si>
    <t>Дополнительная площадь, м^2</t>
  </si>
  <si>
    <t>Общая потребность площади, м^2</t>
  </si>
  <si>
    <t>Зу</t>
  </si>
  <si>
    <t>Зпхи(Фперв)</t>
  </si>
  <si>
    <t>Зо(Фперв)</t>
  </si>
  <si>
    <t>Зтрс(Фперв)</t>
  </si>
  <si>
    <t>Зкт(Фперв)</t>
  </si>
  <si>
    <t>Ззд(Фперв)</t>
  </si>
  <si>
    <t>Зп2(Фперв)</t>
  </si>
  <si>
    <t>Зп3(Фперв)</t>
  </si>
  <si>
    <t>Зп4(Фперв)</t>
  </si>
  <si>
    <t>Зп5(Фперв)</t>
  </si>
  <si>
    <t>КЗ</t>
  </si>
  <si>
    <t>Здание</t>
  </si>
  <si>
    <t>Производственный и хозяйственный инвентарь</t>
  </si>
  <si>
    <t>Транспортные средства</t>
  </si>
  <si>
    <t>Слесарное оборудование</t>
  </si>
  <si>
    <t>Компьютеры и оргтехника</t>
  </si>
  <si>
    <t>Номер аморт. группы</t>
  </si>
  <si>
    <t>Станоч. обор.</t>
  </si>
  <si>
    <t>Наименование осн. средств</t>
  </si>
  <si>
    <t>Налад., регул. и исп. обор</t>
  </si>
  <si>
    <t>Монтажно-сбороч. обор.</t>
  </si>
  <si>
    <t>Срок полезного использования</t>
  </si>
  <si>
    <t>Свыше 10 лет до 15 лет вкл.</t>
  </si>
  <si>
    <t>Свыше 15 лет до 20 лет вкл.</t>
  </si>
  <si>
    <t>Классификация основных средств по амортизационным группам</t>
  </si>
  <si>
    <t>Свыше 7 лет до 10 лет вкл.</t>
  </si>
  <si>
    <t>Свыше 5 лет до 7 лет вкл.</t>
  </si>
  <si>
    <t>Свыше 3 лет до 5 лет вкл.</t>
  </si>
  <si>
    <t>Свыше 2 лет до 3 лет вкл.</t>
  </si>
  <si>
    <t>Примечание. Метод начисления амортизации – линейный.</t>
  </si>
  <si>
    <t>Норма расхода материалов и комплектующих деталей на единицу изделия</t>
  </si>
  <si>
    <t>М1, кг</t>
  </si>
  <si>
    <t>Д1, шт.</t>
  </si>
  <si>
    <t>Д2, шт.</t>
  </si>
  <si>
    <t>Д3, шт.</t>
  </si>
  <si>
    <t>М2, кг</t>
  </si>
  <si>
    <t>М3, кг</t>
  </si>
  <si>
    <t>Цены на используемые материалы и комплектующие детали с учетом НДС</t>
  </si>
  <si>
    <t>М1, р./кг</t>
  </si>
  <si>
    <t>М2, р./кг</t>
  </si>
  <si>
    <t>М3, р./кг</t>
  </si>
  <si>
    <t>Д1, р./шт.</t>
  </si>
  <si>
    <t>Д2, р./шт.</t>
  </si>
  <si>
    <t>Д3, р./шт.</t>
  </si>
  <si>
    <t>начало деятельности предприятия – с 1 января текущего года</t>
  </si>
  <si>
    <t>режим работы двухсменный; условия труда нормальные;</t>
  </si>
  <si>
    <t xml:space="preserve">ставка налога на добавленную стоимость (НДС=20%); </t>
  </si>
  <si>
    <t>ставка страховых взносов (СВ) равна 30 %;</t>
  </si>
  <si>
    <t xml:space="preserve">ставка налога на прибыль принимается согласно действующему законодательству на момент расчета – 20%. </t>
  </si>
  <si>
    <t>Наименование</t>
  </si>
  <si>
    <t>Разряд</t>
  </si>
  <si>
    <t>Часовая тарифная ставка, р.</t>
  </si>
  <si>
    <t>Полезный фонд, ч</t>
  </si>
  <si>
    <t>Число вспомогательных рабочих, чел.</t>
  </si>
  <si>
    <t>Простая ЗП, р.</t>
  </si>
  <si>
    <t>Доплаты до основной ЗП, р.</t>
  </si>
  <si>
    <t>Основная ЗП, р.</t>
  </si>
  <si>
    <t>Дополнительная ЗП, р.</t>
  </si>
  <si>
    <t>Годовой фонд  оплаты труда</t>
  </si>
  <si>
    <t>Итого:</t>
  </si>
  <si>
    <t>Трудоемкость работ по изделиям</t>
  </si>
  <si>
    <t>Прямая ЗП, р</t>
  </si>
  <si>
    <t>Доплаты до осн ЗП, р</t>
  </si>
  <si>
    <t>Годовой фонд оплаты труда</t>
  </si>
  <si>
    <t>Одного</t>
  </si>
  <si>
    <t xml:space="preserve">Всех </t>
  </si>
  <si>
    <t>1.Станочные</t>
  </si>
  <si>
    <t xml:space="preserve">     Изделие А</t>
  </si>
  <si>
    <t xml:space="preserve">     Изделие Б</t>
  </si>
  <si>
    <t>2.Слесарные</t>
  </si>
  <si>
    <t>3.Монтажно-сборочные</t>
  </si>
  <si>
    <t>4.Наладочные</t>
  </si>
  <si>
    <t>5.Технический контроль</t>
  </si>
  <si>
    <t>6.Итого:</t>
  </si>
  <si>
    <t xml:space="preserve">   Изделие А</t>
  </si>
  <si>
    <t xml:space="preserve">   Изделие Б</t>
  </si>
  <si>
    <t>Наименование профессии</t>
  </si>
  <si>
    <t>Оплата по окладу с учетом поясного коэффициента, р.</t>
  </si>
  <si>
    <t>Основная ЗП + дополнительная ЗП, р.</t>
  </si>
  <si>
    <t>Директор</t>
  </si>
  <si>
    <t>Гл. бухгалтер</t>
  </si>
  <si>
    <t>Технолог</t>
  </si>
  <si>
    <t>Конструктор</t>
  </si>
  <si>
    <t>Программист</t>
  </si>
  <si>
    <t>Бухгалтер</t>
  </si>
  <si>
    <t>Энергетик</t>
  </si>
  <si>
    <t>Мастер</t>
  </si>
  <si>
    <t>Механик</t>
  </si>
  <si>
    <t>Маркетолог</t>
  </si>
  <si>
    <t>Экономист</t>
  </si>
  <si>
    <t>Агент по снабжению</t>
  </si>
  <si>
    <t>Референт</t>
  </si>
  <si>
    <t>Экспедитор</t>
  </si>
  <si>
    <t>Инспектор отдела кадров</t>
  </si>
  <si>
    <t>k</t>
  </si>
  <si>
    <t>Коэф</t>
  </si>
  <si>
    <t>Кр</t>
  </si>
  <si>
    <t>Итого</t>
  </si>
  <si>
    <t>Уборщик произв. помещ.</t>
  </si>
  <si>
    <t>Уборщик бытов. помещ.</t>
  </si>
  <si>
    <t>Квалиф. уровень</t>
  </si>
  <si>
    <t>Коэфф. квал. ур.</t>
  </si>
  <si>
    <t>Месяч. оклад, р.</t>
  </si>
  <si>
    <t>Числ. раб. по категор., чел.</t>
  </si>
  <si>
    <t>Общая числ спец., др. служ. и руков.</t>
  </si>
  <si>
    <t>Суммарная численность персонала предприятия</t>
  </si>
  <si>
    <t>Категория персонала</t>
  </si>
  <si>
    <t>Годовой фонд оплаты труда, р.</t>
  </si>
  <si>
    <t>Средне-месячная ЗП, р.</t>
  </si>
  <si>
    <t>1. Руководители</t>
  </si>
  <si>
    <t>Целоднев. невыходы на раб., в том числе</t>
  </si>
  <si>
    <t xml:space="preserve">   отпуска осн. и доп.</t>
  </si>
  <si>
    <t xml:space="preserve">   отпуска по беременн. и родам</t>
  </si>
  <si>
    <t xml:space="preserve">   выполн. гос. обяз.</t>
  </si>
  <si>
    <t>Числ. персонала, чел.</t>
  </si>
  <si>
    <t>Зам. директора</t>
  </si>
  <si>
    <t xml:space="preserve">     Директор</t>
  </si>
  <si>
    <t xml:space="preserve">     Зам. директора</t>
  </si>
  <si>
    <t xml:space="preserve">     Гл. бухгалтер</t>
  </si>
  <si>
    <t>2. Специалисты</t>
  </si>
  <si>
    <t>3. Другие служащие</t>
  </si>
  <si>
    <t>4. Рабочие</t>
  </si>
  <si>
    <t xml:space="preserve">     Технолог</t>
  </si>
  <si>
    <t xml:space="preserve">     Конструктор</t>
  </si>
  <si>
    <t xml:space="preserve">     Программист</t>
  </si>
  <si>
    <t xml:space="preserve">     Бухгалтер</t>
  </si>
  <si>
    <t xml:space="preserve">     Энергетик</t>
  </si>
  <si>
    <t xml:space="preserve">     Мастер</t>
  </si>
  <si>
    <t xml:space="preserve">     Механик</t>
  </si>
  <si>
    <t xml:space="preserve">     Маркетолог</t>
  </si>
  <si>
    <t xml:space="preserve">     Экономист</t>
  </si>
  <si>
    <t xml:space="preserve">     Агент по снабжению</t>
  </si>
  <si>
    <t xml:space="preserve">     Референт</t>
  </si>
  <si>
    <t xml:space="preserve">     Экспедитор</t>
  </si>
  <si>
    <t xml:space="preserve">     Станочник</t>
  </si>
  <si>
    <t xml:space="preserve">     Монтажник</t>
  </si>
  <si>
    <t xml:space="preserve">     Наладчик при изг. изд.</t>
  </si>
  <si>
    <t xml:space="preserve">     Контролер</t>
  </si>
  <si>
    <t xml:space="preserve">  4.1. Основные</t>
  </si>
  <si>
    <t xml:space="preserve">  4.2. Вспомогательные</t>
  </si>
  <si>
    <t xml:space="preserve">     Техник по обсл. ПТО</t>
  </si>
  <si>
    <t xml:space="preserve">     Слесари по рем. инстр. и присп.</t>
  </si>
  <si>
    <t xml:space="preserve">     Разнораб., занятый на скл. и трансп. раб.</t>
  </si>
  <si>
    <t xml:space="preserve">     Наладчик оборуд.</t>
  </si>
  <si>
    <t xml:space="preserve">     Инспектор отд. кадров</t>
  </si>
  <si>
    <t xml:space="preserve">     Уборщ. произв. помещ.</t>
  </si>
  <si>
    <t xml:space="preserve">     Уборщ. бытов. помещ.</t>
  </si>
  <si>
    <t xml:space="preserve">     Слесарь по изг. изд.</t>
  </si>
  <si>
    <t xml:space="preserve">     Водитель ТС</t>
  </si>
  <si>
    <t xml:space="preserve">     Кладовщ. инстр. склада</t>
  </si>
  <si>
    <t xml:space="preserve">     Кладовщ. скл. гот. прод.</t>
  </si>
  <si>
    <t>Наименование материала</t>
  </si>
  <si>
    <t>Норма расхода</t>
  </si>
  <si>
    <t>Цена за ед. с НДС, р.</t>
  </si>
  <si>
    <t>Цена за ед. без НДС, р.</t>
  </si>
  <si>
    <t>Общая сумма затрат без НДС, р.</t>
  </si>
  <si>
    <t>М1</t>
  </si>
  <si>
    <t>кг</t>
  </si>
  <si>
    <t>Д1</t>
  </si>
  <si>
    <t>шт</t>
  </si>
  <si>
    <t>Д2</t>
  </si>
  <si>
    <t>Д3</t>
  </si>
  <si>
    <t>М2</t>
  </si>
  <si>
    <t>М3</t>
  </si>
  <si>
    <t>Итого материалов на сумму по изделию А</t>
  </si>
  <si>
    <t>Итого материалов на сумму по изделию Б</t>
  </si>
  <si>
    <t>Наименование основных средств</t>
  </si>
  <si>
    <t xml:space="preserve">Итого </t>
  </si>
  <si>
    <t>Статьи расходов</t>
  </si>
  <si>
    <t>Сумма, руб.</t>
  </si>
  <si>
    <t>Затраты на оплату труда, в том числе:</t>
  </si>
  <si>
    <t>ФОТ руководителей</t>
  </si>
  <si>
    <t>ФОТ специалистов</t>
  </si>
  <si>
    <t>ФОТ других служащих</t>
  </si>
  <si>
    <t>ФОТ вспомогательных рабочих</t>
  </si>
  <si>
    <t>Страховые взносы</t>
  </si>
  <si>
    <t>Амортизационные отчисления основных средств</t>
  </si>
  <si>
    <t>Прочие расходы</t>
  </si>
  <si>
    <t>Итого общая сумма накладных расходов</t>
  </si>
  <si>
    <t>Основная заработная плата основных рабочих</t>
  </si>
  <si>
    <t>Процент накладных расходов</t>
  </si>
  <si>
    <t>Наименование статей калькуляции</t>
  </si>
  <si>
    <t>Затраты, р.</t>
  </si>
  <si>
    <t>Изделие «А»</t>
  </si>
  <si>
    <t>Изделие «Б»</t>
  </si>
  <si>
    <t>На одно</t>
  </si>
  <si>
    <t>На все</t>
  </si>
  <si>
    <t xml:space="preserve">Сырье и материалы </t>
  </si>
  <si>
    <t>Дополнительная заработная плата основных рабочих</t>
  </si>
  <si>
    <t>Коммерческие расходы</t>
  </si>
  <si>
    <t>Q</t>
  </si>
  <si>
    <t>K</t>
  </si>
  <si>
    <t>Ц</t>
  </si>
  <si>
    <t>В</t>
  </si>
  <si>
    <r>
      <t>З</t>
    </r>
    <r>
      <rPr>
        <sz val="8"/>
        <color theme="1"/>
        <rFont val="Calibri"/>
        <family val="2"/>
        <charset val="204"/>
        <scheme val="minor"/>
      </rPr>
      <t>пост</t>
    </r>
  </si>
  <si>
    <t>ТНП</t>
  </si>
  <si>
    <t>Обор. для контроля технологич. процессов</t>
  </si>
  <si>
    <t>Общая первонач. стоимость</t>
  </si>
  <si>
    <t>Срок полезного использ., лет</t>
  </si>
  <si>
    <t>Номер амортиз. группы</t>
  </si>
  <si>
    <t>Норма амортиз., %</t>
  </si>
  <si>
    <t>Сумма амортиз. отчислений, руб</t>
  </si>
  <si>
    <t>1.1</t>
  </si>
  <si>
    <t>1.2</t>
  </si>
  <si>
    <t>1.3</t>
  </si>
  <si>
    <t>1.4</t>
  </si>
  <si>
    <t xml:space="preserve">Калькуляция по изделиям «А» и «Б» </t>
  </si>
  <si>
    <t>Расчет амортизационных отчислений по основным средствам</t>
  </si>
  <si>
    <t>Смета затрат накладных расходов (годовая)</t>
  </si>
  <si>
    <t>Расшифровка затрат по статье «Сырье и материалы» для изделий «А» и «Б»</t>
  </si>
  <si>
    <t>Расчёт цены изделия</t>
  </si>
  <si>
    <t>Зпер уд</t>
  </si>
  <si>
    <t>Зпер</t>
  </si>
  <si>
    <t>Пмарж</t>
  </si>
  <si>
    <t>Зпост</t>
  </si>
  <si>
    <t>Пот продаж</t>
  </si>
  <si>
    <t>Пчист</t>
  </si>
  <si>
    <t>Rпрод, %</t>
  </si>
  <si>
    <t>Rпродаж, %</t>
  </si>
  <si>
    <t>Расчет финансовых результатов деятельности предприятия</t>
  </si>
  <si>
    <t>Q, шт</t>
  </si>
  <si>
    <r>
      <t>З</t>
    </r>
    <r>
      <rPr>
        <sz val="8"/>
        <color theme="1"/>
        <rFont val="Calibri"/>
        <family val="2"/>
        <charset val="204"/>
        <scheme val="minor"/>
      </rPr>
      <t>уд пер</t>
    </r>
  </si>
  <si>
    <r>
      <t>Ц</t>
    </r>
    <r>
      <rPr>
        <sz val="8"/>
        <color theme="1"/>
        <rFont val="Calibri"/>
        <family val="2"/>
        <charset val="204"/>
        <scheme val="minor"/>
      </rPr>
      <t>уд</t>
    </r>
  </si>
  <si>
    <t>Кj=</t>
  </si>
  <si>
    <t>Qj=</t>
  </si>
  <si>
    <t>Расчет показателей эффективности деятельности предприятия</t>
  </si>
  <si>
    <t>Наименование показателей</t>
  </si>
  <si>
    <t>Результат</t>
  </si>
  <si>
    <t>3.1</t>
  </si>
  <si>
    <t>3.2</t>
  </si>
  <si>
    <t>3.3</t>
  </si>
  <si>
    <t>3.4</t>
  </si>
  <si>
    <t>Капитальные (единовременные затраты)</t>
  </si>
  <si>
    <t>Общая площадь</t>
  </si>
  <si>
    <t>Численность работников предприятия, в т.ч:</t>
  </si>
  <si>
    <t xml:space="preserve">     рабочих</t>
  </si>
  <si>
    <t xml:space="preserve">     руководителей</t>
  </si>
  <si>
    <t xml:space="preserve">     специалистов</t>
  </si>
  <si>
    <t xml:space="preserve">     других служащих</t>
  </si>
  <si>
    <t>ФОТ</t>
  </si>
  <si>
    <t>Себестоимость единицы изделия:</t>
  </si>
  <si>
    <t>5.1</t>
  </si>
  <si>
    <t>5.2</t>
  </si>
  <si>
    <t>6.1</t>
  </si>
  <si>
    <t>6.2</t>
  </si>
  <si>
    <t>Выручка от реализации (продажи) продукции</t>
  </si>
  <si>
    <t>Маржинальный доход (прибыль)</t>
  </si>
  <si>
    <t>Прибыль от продаж</t>
  </si>
  <si>
    <t>Чистая прибыль</t>
  </si>
  <si>
    <t>Рентабельность предприятия</t>
  </si>
  <si>
    <t>Срок окупаемости капитальных затрат</t>
  </si>
  <si>
    <t>р.</t>
  </si>
  <si>
    <t>м^2</t>
  </si>
  <si>
    <t>чел.</t>
  </si>
  <si>
    <t>Прогнозируемая цена единицы изделия:</t>
  </si>
  <si>
    <t>%</t>
  </si>
  <si>
    <t>лет</t>
  </si>
  <si>
    <t>Графики безубыточности</t>
  </si>
  <si>
    <t>Капитальные затраты</t>
  </si>
  <si>
    <t>Тарифная ставка</t>
  </si>
  <si>
    <t>Изделие</t>
  </si>
  <si>
    <t>А</t>
  </si>
  <si>
    <t>Б</t>
  </si>
  <si>
    <t>Параметры</t>
  </si>
  <si>
    <t>Фотд</t>
  </si>
  <si>
    <t>Фёмк</t>
  </si>
  <si>
    <t>Френт</t>
  </si>
  <si>
    <t>Фвоор</t>
  </si>
  <si>
    <t>Пр. труда</t>
  </si>
  <si>
    <t>Для анализа ?</t>
  </si>
  <si>
    <t>Итого Зп</t>
  </si>
  <si>
    <t>Накладные расходы, %</t>
  </si>
  <si>
    <t>Если Чк&lt;3, то округляем до 3-х</t>
  </si>
  <si>
    <t>Если Численность специалистов&lt;10, то округляем до 10</t>
  </si>
  <si>
    <t>Если Численность других служащих&lt;11, то округляем до 11</t>
  </si>
  <si>
    <t>Если Ср до 4-х включительно – в меньшую сторону, а после 4-х в бóльшую сторону</t>
  </si>
  <si>
    <t>Если Численность&lt;2, то округляем до 2</t>
  </si>
  <si>
    <t>Страховые взносы (30 %*( ЗПОо.р.+ ЗПДо.р.)</t>
  </si>
  <si>
    <t>Накладные расходы (НРi=%НР*ЗПОо.р.i)</t>
  </si>
  <si>
    <t>Производственная себестоимость (1+2+3+4+5)</t>
  </si>
  <si>
    <t>Полная себестоимость (6+7)</t>
  </si>
  <si>
    <t>Q и K на графиках надо менять ручками!!!</t>
  </si>
  <si>
    <t>Пояснения по калькулятору:</t>
  </si>
  <si>
    <t>Ячейки выделенные таким цветом надо поменять для своего варианта</t>
  </si>
  <si>
    <t>Ячейки выделенные таким цветом дают пояснения про округление и не только</t>
  </si>
  <si>
    <t>Таблицы выделенные красным цветом в упрощенном варианте не нужны</t>
  </si>
  <si>
    <t xml:space="preserve">Если хотите убрать заливку, с графика(чтобы при печати было норм(хотя вроде норм должно быть), можно убрать галочку с "Зона убытков и прибыли" </t>
  </si>
  <si>
    <r>
      <t>З</t>
    </r>
    <r>
      <rPr>
        <sz val="8"/>
        <color theme="1"/>
        <rFont val="Calibri"/>
        <family val="2"/>
        <charset val="204"/>
        <scheme val="minor"/>
      </rPr>
      <t>пол</t>
    </r>
  </si>
  <si>
    <r>
      <t>З</t>
    </r>
    <r>
      <rPr>
        <sz val="8"/>
        <color theme="1"/>
        <rFont val="Calibri"/>
        <family val="2"/>
        <charset val="204"/>
        <scheme val="minor"/>
      </rPr>
      <t>пер</t>
    </r>
  </si>
  <si>
    <t>???????</t>
  </si>
  <si>
    <t>ПУД</t>
  </si>
  <si>
    <t>ГРП</t>
  </si>
  <si>
    <t>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</si>
</sst>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7" tint="0.59999389629810485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7" xfId="0" applyFont="1" applyBorder="1"/>
    <xf numFmtId="3" fontId="5" fillId="0" borderId="1" xfId="0" applyNumberFormat="1" applyFont="1" applyBorder="1"/>
    <xf numFmtId="0" fontId="5" fillId="0" borderId="1" xfId="0" applyFont="1" applyBorder="1"/>
    <xf numFmtId="4" fontId="5" fillId="0" borderId="1" xfId="0" applyNumberFormat="1" applyFont="1" applyBorder="1"/>
    <xf numFmtId="164" fontId="5" fillId="2" borderId="1" xfId="0" applyNumberFormat="1" applyFont="1" applyFill="1" applyBorder="1"/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/>
    <xf numFmtId="0" fontId="5" fillId="0" borderId="4" xfId="0" applyFont="1" applyBorder="1"/>
    <xf numFmtId="3" fontId="5" fillId="0" borderId="4" xfId="0" applyNumberFormat="1" applyFont="1" applyBorder="1"/>
    <xf numFmtId="164" fontId="5" fillId="0" borderId="4" xfId="0" applyNumberFormat="1" applyFont="1" applyBorder="1"/>
    <xf numFmtId="0" fontId="5" fillId="0" borderId="9" xfId="0" applyFont="1" applyBorder="1"/>
    <xf numFmtId="3" fontId="5" fillId="0" borderId="9" xfId="0" applyNumberFormat="1" applyFont="1" applyBorder="1"/>
    <xf numFmtId="164" fontId="5" fillId="0" borderId="9" xfId="0" applyNumberFormat="1" applyFont="1" applyBorder="1"/>
    <xf numFmtId="0" fontId="5" fillId="0" borderId="10" xfId="0" applyFont="1" applyBorder="1"/>
    <xf numFmtId="3" fontId="5" fillId="0" borderId="10" xfId="0" applyNumberFormat="1" applyFont="1" applyBorder="1"/>
    <xf numFmtId="164" fontId="5" fillId="0" borderId="10" xfId="0" applyNumberFormat="1" applyFont="1" applyBorder="1"/>
    <xf numFmtId="4" fontId="5" fillId="0" borderId="9" xfId="0" applyNumberFormat="1" applyFont="1" applyBorder="1"/>
    <xf numFmtId="4" fontId="5" fillId="0" borderId="10" xfId="0" applyNumberFormat="1" applyFont="1" applyBorder="1"/>
    <xf numFmtId="4" fontId="5" fillId="0" borderId="4" xfId="0" applyNumberFormat="1" applyFont="1" applyBorder="1"/>
    <xf numFmtId="4" fontId="0" fillId="0" borderId="1" xfId="0" applyNumberFormat="1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4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5" fillId="0" borderId="0" xfId="0" applyFont="1" applyAlignment="1">
      <alignment wrapText="1"/>
    </xf>
    <xf numFmtId="0" fontId="0" fillId="0" borderId="15" xfId="0" applyBorder="1"/>
    <xf numFmtId="3" fontId="0" fillId="0" borderId="11" xfId="0" applyNumberFormat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3" fontId="0" fillId="0" borderId="1" xfId="0" applyNumberFormat="1" applyBorder="1"/>
    <xf numFmtId="49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right"/>
    </xf>
    <xf numFmtId="0" fontId="8" fillId="0" borderId="0" xfId="0" applyFont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4" xfId="0" applyNumberFormat="1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3" fontId="0" fillId="0" borderId="9" xfId="0" applyNumberFormat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3" fontId="9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9" xfId="0" applyBorder="1"/>
    <xf numFmtId="0" fontId="0" fillId="0" borderId="12" xfId="0" applyBorder="1"/>
    <xf numFmtId="3" fontId="0" fillId="0" borderId="0" xfId="0" applyNumberFormat="1"/>
    <xf numFmtId="3" fontId="0" fillId="0" borderId="0" xfId="0" applyNumberFormat="1" applyAlignment="1">
      <alignment horizontal="left"/>
    </xf>
    <xf numFmtId="2" fontId="0" fillId="0" borderId="0" xfId="0" applyNumberFormat="1"/>
    <xf numFmtId="16" fontId="0" fillId="0" borderId="0" xfId="0" applyNumberFormat="1" applyAlignment="1">
      <alignment horizontal="right"/>
    </xf>
    <xf numFmtId="164" fontId="0" fillId="0" borderId="13" xfId="0" applyNumberFormat="1" applyBorder="1"/>
    <xf numFmtId="164" fontId="0" fillId="0" borderId="11" xfId="0" applyNumberFormat="1" applyBorder="1"/>
    <xf numFmtId="164" fontId="0" fillId="0" borderId="20" xfId="0" applyNumberFormat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11" fillId="5" borderId="0" xfId="0" applyFont="1" applyFill="1"/>
    <xf numFmtId="0" fontId="7" fillId="5" borderId="0" xfId="0" applyFont="1" applyFill="1" applyAlignment="1">
      <alignment wrapText="1"/>
    </xf>
    <xf numFmtId="0" fontId="5" fillId="3" borderId="1" xfId="0" applyFont="1" applyFill="1" applyBorder="1" applyAlignment="1">
      <alignment textRotation="90" wrapText="1"/>
    </xf>
    <xf numFmtId="0" fontId="5" fillId="3" borderId="1" xfId="0" applyFont="1" applyFill="1" applyBorder="1"/>
    <xf numFmtId="3" fontId="5" fillId="3" borderId="1" xfId="0" applyNumberFormat="1" applyFont="1" applyFill="1" applyBorder="1"/>
    <xf numFmtId="4" fontId="5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3" fontId="5" fillId="3" borderId="9" xfId="0" applyNumberFormat="1" applyFont="1" applyFill="1" applyBorder="1"/>
    <xf numFmtId="3" fontId="5" fillId="3" borderId="4" xfId="0" applyNumberFormat="1" applyFont="1" applyFill="1" applyBorder="1"/>
    <xf numFmtId="0" fontId="5" fillId="3" borderId="4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3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 vertical="center"/>
    </xf>
    <xf numFmtId="0" fontId="0" fillId="4" borderId="0" xfId="0" applyFill="1"/>
    <xf numFmtId="0" fontId="13" fillId="0" borderId="0" xfId="0" applyFont="1"/>
    <xf numFmtId="0" fontId="12" fillId="0" borderId="0" xfId="0" applyFont="1" applyAlignment="1">
      <alignment vertical="center"/>
    </xf>
    <xf numFmtId="0" fontId="5" fillId="3" borderId="1" xfId="0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/>
    <xf numFmtId="1" fontId="5" fillId="3" borderId="1" xfId="0" applyNumberFormat="1" applyFont="1" applyFill="1" applyBorder="1"/>
    <xf numFmtId="1" fontId="5" fillId="3" borderId="9" xfId="0" applyNumberFormat="1" applyFont="1" applyFill="1" applyBorder="1"/>
    <xf numFmtId="0" fontId="5" fillId="3" borderId="4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3" borderId="8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0" fontId="5" fillId="0" borderId="8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2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  <a:r>
              <a:rPr lang="ru-RU" baseline="0"/>
              <a:t> изделия 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46223690950548"/>
          <c:y val="0.12500842601954837"/>
          <c:w val="0.67586729767587339"/>
          <c:h val="0.77704194963496098"/>
        </c:manualLayout>
      </c:layout>
      <c:areaChart>
        <c:grouping val="stacked"/>
        <c:varyColors val="0"/>
        <c:ser>
          <c:idx val="4"/>
          <c:order val="4"/>
          <c:tx>
            <c:v>Заливка1</c:v>
          </c:tx>
          <c:spPr>
            <a:noFill/>
            <a:ln w="25400">
              <a:noFill/>
            </a:ln>
            <a:effectLst/>
          </c:spPr>
          <c:cat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cat>
          <c:val>
            <c:numRef>
              <c:f>'Расчёт фин рез деят предпр'!$M$66:$M$68</c:f>
              <c:numCache>
                <c:formatCode>#,##0</c:formatCode>
                <c:ptCount val="3"/>
                <c:pt idx="0">
                  <c:v>356071878.08717781</c:v>
                </c:pt>
                <c:pt idx="1">
                  <c:v>388882901.98164648</c:v>
                </c:pt>
                <c:pt idx="2">
                  <c:v>409298650.18264925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3CC-A66E-6A1BA871371D}"/>
            </c:ext>
          </c:extLst>
        </c:ser>
        <c:ser>
          <c:idx val="5"/>
          <c:order val="5"/>
          <c:tx>
            <c:v>Зона убытков и прибыли</c:v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cat>
          <c:val>
            <c:numRef>
              <c:f>'Расчёт фин рез деят предпр'!$N$66:$N$68</c:f>
              <c:numCache>
                <c:formatCode>#,##0</c:formatCode>
                <c:ptCount val="3"/>
                <c:pt idx="0">
                  <c:v>-356071878.08717781</c:v>
                </c:pt>
                <c:pt idx="1">
                  <c:v>0</c:v>
                </c:pt>
                <c:pt idx="2">
                  <c:v>221555835.25424397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3-43CC-A66E-6A1BA871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97389824"/>
        <c:axId val="196762944"/>
      </c:areaChart>
      <c:scatterChart>
        <c:scatterStyle val="smoothMarker"/>
        <c:varyColors val="0"/>
        <c:ser>
          <c:idx val="0"/>
          <c:order val="0"/>
          <c:tx>
            <c:strRef>
              <c:f>'Расчёт фин рез деят предпр'!$G$65</c:f>
              <c:strCache>
                <c:ptCount val="1"/>
                <c:pt idx="0">
                  <c:v>Зпер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xVal>
          <c:yVal>
            <c:numRef>
              <c:f>'Расчёт фин рез деят предпр'!$G$66:$G$68</c:f>
              <c:numCache>
                <c:formatCode>#,##0</c:formatCode>
                <c:ptCount val="3"/>
                <c:pt idx="0">
                  <c:v>0</c:v>
                </c:pt>
                <c:pt idx="1">
                  <c:v>32811023.894468684</c:v>
                </c:pt>
                <c:pt idx="2">
                  <c:v>53226772.095471427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A3-43CC-A66E-6A1BA871371D}"/>
            </c:ext>
          </c:extLst>
        </c:ser>
        <c:ser>
          <c:idx val="1"/>
          <c:order val="1"/>
          <c:tx>
            <c:strRef>
              <c:f>'Расчёт фин рез деят предпр'!$H$65</c:f>
              <c:strCache>
                <c:ptCount val="1"/>
                <c:pt idx="0">
                  <c:v>Зпост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xVal>
          <c:yVal>
            <c:numRef>
              <c:f>('Расчёт фин рез деят предпр'!$H$66,'Расчёт фин рез деят предпр'!$H$66,'Расчёт фин рез деят предпр'!$H$66)</c:f>
              <c:numCache>
                <c:formatCode>#,##0</c:formatCode>
                <c:ptCount val="3"/>
                <c:pt idx="0">
                  <c:v>356071878.08717781</c:v>
                </c:pt>
                <c:pt idx="1">
                  <c:v>356071878.08717781</c:v>
                </c:pt>
                <c:pt idx="2">
                  <c:v>356071878.08717781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3-43CC-A66E-6A1BA871371D}"/>
            </c:ext>
          </c:extLst>
        </c:ser>
        <c:ser>
          <c:idx val="2"/>
          <c:order val="2"/>
          <c:tx>
            <c:strRef>
              <c:f>'Расчёт фин рез деят предпр'!$I$65</c:f>
              <c:strCache>
                <c:ptCount val="1"/>
                <c:pt idx="0">
                  <c:v>Зпол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xVal>
          <c:yVal>
            <c:numRef>
              <c:f>'Расчёт фин рез деят предпр'!$I$66:$I$68</c:f>
              <c:numCache>
                <c:formatCode>#,##0</c:formatCode>
                <c:ptCount val="3"/>
                <c:pt idx="0">
                  <c:v>356071878.08717781</c:v>
                </c:pt>
                <c:pt idx="1">
                  <c:v>388882901.98164648</c:v>
                </c:pt>
                <c:pt idx="2">
                  <c:v>409298650.18264925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A3-43CC-A66E-6A1BA871371D}"/>
            </c:ext>
          </c:extLst>
        </c:ser>
        <c:ser>
          <c:idx val="3"/>
          <c:order val="3"/>
          <c:tx>
            <c:strRef>
              <c:f>'Расчёт фин рез деят предпр'!$K$65</c:f>
              <c:strCache>
                <c:ptCount val="1"/>
                <c:pt idx="0">
                  <c:v>В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B3A3-43CC-A66E-6A1BA871371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7-B3A3-43CC-A66E-6A1BA871371D}"/>
              </c:ext>
            </c:extLst>
          </c:dPt>
          <c:xVal>
            <c:numRef>
              <c:f>'Расчёт фин рез деят предпр'!$E$66:$E$68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3421.2328767123286</c:v>
                </c:pt>
                <c:pt idx="2" formatCode="General">
                  <c:v>5550</c:v>
                </c:pt>
              </c:numCache>
            </c:numRef>
          </c:xVal>
          <c:yVal>
            <c:numRef>
              <c:f>('Расчёт фин рез деят предпр'!$K$66:$K$68,'Расчёт фин рез деят предпр'!$K$71)</c:f>
              <c:numCache>
                <c:formatCode>#,##0</c:formatCode>
                <c:ptCount val="4"/>
                <c:pt idx="0">
                  <c:v>0</c:v>
                </c:pt>
                <c:pt idx="1">
                  <c:v>388882901.98164648</c:v>
                </c:pt>
                <c:pt idx="2">
                  <c:v>630854485.43689322</c:v>
                </c:pt>
                <c:pt idx="3">
                  <c:v>803570527.61050689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A3-43CC-A66E-6A1BA871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9824"/>
        <c:axId val="196762944"/>
      </c:scatterChart>
      <c:dateAx>
        <c:axId val="197389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 продаж,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196762944"/>
        <c:crosses val="autoZero"/>
        <c:auto val="0"/>
        <c:lblOffset val="100"/>
        <c:baseTimeUnit val="years"/>
      </c:dateAx>
      <c:valAx>
        <c:axId val="196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затраты, руб.</a:t>
                </a:r>
              </a:p>
            </c:rich>
          </c:tx>
          <c:layout>
            <c:manualLayout>
              <c:xMode val="edge"/>
              <c:yMode val="edge"/>
              <c:x val="1.1443841540532823E-2"/>
              <c:y val="0.307681610577242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89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  <a:r>
              <a:rPr lang="ru-RU" baseline="0"/>
              <a:t> изделия Б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46223690950548"/>
          <c:y val="0.12500842601954837"/>
          <c:w val="0.67586729767587339"/>
          <c:h val="0.77704194963496098"/>
        </c:manualLayout>
      </c:layout>
      <c:areaChart>
        <c:grouping val="stacked"/>
        <c:varyColors val="0"/>
        <c:ser>
          <c:idx val="4"/>
          <c:order val="4"/>
          <c:tx>
            <c:v>Заливка1</c:v>
          </c:tx>
          <c:spPr>
            <a:noFill/>
            <a:ln w="25400">
              <a:noFill/>
            </a:ln>
            <a:effectLst/>
          </c:spPr>
          <c:cat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cat>
          <c:val>
            <c:numRef>
              <c:f>'Расчёт фин рез деят предпр'!$M$69:$M$71</c:f>
              <c:numCache>
                <c:formatCode>#,##0</c:formatCode>
                <c:ptCount val="3"/>
                <c:pt idx="0">
                  <c:v>311125513.88749677</c:v>
                </c:pt>
                <c:pt idx="1">
                  <c:v>330234463.40157819</c:v>
                </c:pt>
                <c:pt idx="2">
                  <c:v>357623957.70509487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DC3-B2E1-83F73ECE3CAF}"/>
            </c:ext>
          </c:extLst>
        </c:ser>
        <c:ser>
          <c:idx val="5"/>
          <c:order val="5"/>
          <c:tx>
            <c:v>Зона убытков и прибыли</c:v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cat>
          <c:val>
            <c:numRef>
              <c:f>'Расчёт фин рез деят предпр'!$N$69:$N$71</c:f>
              <c:numCache>
                <c:formatCode>#,##0</c:formatCode>
                <c:ptCount val="3"/>
                <c:pt idx="0">
                  <c:v>-311125513.88749677</c:v>
                </c:pt>
                <c:pt idx="1">
                  <c:v>0</c:v>
                </c:pt>
                <c:pt idx="2">
                  <c:v>445946569.90541202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5-4DC3-B2E1-83F73ECE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28715264"/>
        <c:axId val="196798144"/>
      </c:areaChart>
      <c:scatterChart>
        <c:scatterStyle val="smoothMarker"/>
        <c:varyColors val="0"/>
        <c:ser>
          <c:idx val="0"/>
          <c:order val="0"/>
          <c:tx>
            <c:strRef>
              <c:f>'Расчёт фин рез деят предпр'!$G$65</c:f>
              <c:strCache>
                <c:ptCount val="1"/>
                <c:pt idx="0">
                  <c:v>Зпер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xVal>
          <c:yVal>
            <c:numRef>
              <c:f>'Расчёт фин рез деят предпр'!$G$69:$G$71</c:f>
              <c:numCache>
                <c:formatCode>#,##0</c:formatCode>
                <c:ptCount val="3"/>
                <c:pt idx="0">
                  <c:v>0</c:v>
                </c:pt>
                <c:pt idx="1">
                  <c:v>19108949.514081407</c:v>
                </c:pt>
                <c:pt idx="2">
                  <c:v>46498443.81759809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35-4DC3-B2E1-83F73ECE3CAF}"/>
            </c:ext>
          </c:extLst>
        </c:ser>
        <c:ser>
          <c:idx val="1"/>
          <c:order val="1"/>
          <c:tx>
            <c:strRef>
              <c:f>'Расчёт фин рез деят предпр'!$H$65</c:f>
              <c:strCache>
                <c:ptCount val="1"/>
                <c:pt idx="0">
                  <c:v>Зпост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xVal>
          <c:yVal>
            <c:numRef>
              <c:f>('Расчёт фин рез деят предпр'!$H$69,'Расчёт фин рез деят предпр'!$H$69,'Расчёт фин рез деят предпр'!$H$69)</c:f>
              <c:numCache>
                <c:formatCode>#,##0</c:formatCode>
                <c:ptCount val="3"/>
                <c:pt idx="0">
                  <c:v>311125513.88749677</c:v>
                </c:pt>
                <c:pt idx="1">
                  <c:v>311125513.88749677</c:v>
                </c:pt>
                <c:pt idx="2">
                  <c:v>311125513.88749677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35-4DC3-B2E1-83F73ECE3CAF}"/>
            </c:ext>
          </c:extLst>
        </c:ser>
        <c:ser>
          <c:idx val="2"/>
          <c:order val="2"/>
          <c:tx>
            <c:strRef>
              <c:f>'Расчёт фин рез деят предпр'!$I$65</c:f>
              <c:strCache>
                <c:ptCount val="1"/>
                <c:pt idx="0">
                  <c:v>Зпол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xVal>
          <c:yVal>
            <c:numRef>
              <c:f>'Расчёт фин рез деят предпр'!$I$69:$I$71</c:f>
              <c:numCache>
                <c:formatCode>#,##0</c:formatCode>
                <c:ptCount val="3"/>
                <c:pt idx="0">
                  <c:v>311125513.88749677</c:v>
                </c:pt>
                <c:pt idx="1">
                  <c:v>330234463.40157819</c:v>
                </c:pt>
                <c:pt idx="2">
                  <c:v>357623957.70509487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5-4DC3-B2E1-83F73ECE3CAF}"/>
            </c:ext>
          </c:extLst>
        </c:ser>
        <c:ser>
          <c:idx val="3"/>
          <c:order val="3"/>
          <c:tx>
            <c:strRef>
              <c:f>'Расчёт фин рез деят предпр'!$K$65</c:f>
              <c:strCache>
                <c:ptCount val="1"/>
                <c:pt idx="0">
                  <c:v>В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'Расчёт фин рез деят предпр'!$E$69:$E$71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1487.6712328767123</c:v>
                </c:pt>
                <c:pt idx="2" formatCode="General">
                  <c:v>3620</c:v>
                </c:pt>
              </c:numCache>
            </c:numRef>
          </c:xVal>
          <c:yVal>
            <c:numRef>
              <c:f>'Расчёт фин рез деят предпр'!$K$69:$K$71</c:f>
              <c:numCache>
                <c:formatCode>#,##0</c:formatCode>
                <c:ptCount val="3"/>
                <c:pt idx="0">
                  <c:v>0</c:v>
                </c:pt>
                <c:pt idx="1">
                  <c:v>330234463.40157819</c:v>
                </c:pt>
                <c:pt idx="2">
                  <c:v>803570527.61050689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35-4DC3-B2E1-83F73ECE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5264"/>
        <c:axId val="196798144"/>
      </c:scatterChart>
      <c:dateAx>
        <c:axId val="12871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 продаж,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196798144"/>
        <c:crosses val="autoZero"/>
        <c:auto val="0"/>
        <c:lblOffset val="100"/>
        <c:baseTimeUnit val="years"/>
      </c:dateAx>
      <c:valAx>
        <c:axId val="196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затраты, руб.</a:t>
                </a:r>
              </a:p>
            </c:rich>
          </c:tx>
          <c:layout>
            <c:manualLayout>
              <c:xMode val="edge"/>
              <c:yMode val="edge"/>
              <c:x val="1.1443841540532823E-2"/>
              <c:y val="0.307681610577242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5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0</xdr:col>
      <xdr:colOff>137160</xdr:colOff>
      <xdr:row>23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30480</xdr:colOff>
      <xdr:row>6</xdr:row>
      <xdr:rowOff>182880</xdr:rowOff>
    </xdr:from>
    <xdr:to>
      <xdr:col>4</xdr:col>
      <xdr:colOff>175260</xdr:colOff>
      <xdr:row>6</xdr:row>
      <xdr:rowOff>335280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182880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30480</xdr:colOff>
      <xdr:row>8</xdr:row>
      <xdr:rowOff>182880</xdr:rowOff>
    </xdr:from>
    <xdr:to>
      <xdr:col>8</xdr:col>
      <xdr:colOff>175260</xdr:colOff>
      <xdr:row>8</xdr:row>
      <xdr:rowOff>335280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182880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144780</xdr:colOff>
      <xdr:row>8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7040" y="21945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2</xdr:row>
      <xdr:rowOff>182880</xdr:rowOff>
    </xdr:from>
    <xdr:to>
      <xdr:col>13</xdr:col>
      <xdr:colOff>175260</xdr:colOff>
      <xdr:row>2</xdr:row>
      <xdr:rowOff>335280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2377440"/>
          <a:ext cx="144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30480</xdr:colOff>
      <xdr:row>2</xdr:row>
      <xdr:rowOff>15240</xdr:rowOff>
    </xdr:from>
    <xdr:to>
      <xdr:col>13</xdr:col>
      <xdr:colOff>175260</xdr:colOff>
      <xdr:row>2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820" y="73152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114300</xdr:rowOff>
    </xdr:from>
    <xdr:to>
      <xdr:col>8</xdr:col>
      <xdr:colOff>91242</xdr:colOff>
      <xdr:row>94</xdr:row>
      <xdr:rowOff>149405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938176</xdr:colOff>
      <xdr:row>82</xdr:row>
      <xdr:rowOff>16496</xdr:rowOff>
    </xdr:from>
    <xdr:ext cx="70981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582524" y="16532018"/>
          <a:ext cx="709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 =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2351</a:t>
          </a:r>
          <a:r>
            <a:rPr lang="ru-RU"/>
            <a:t> </a:t>
          </a:r>
          <a:endParaRPr lang="en-US" sz="1100"/>
        </a:p>
      </xdr:txBody>
    </xdr:sp>
    <xdr:clientData/>
  </xdr:oneCellAnchor>
  <xdr:oneCellAnchor>
    <xdr:from>
      <xdr:col>4</xdr:col>
      <xdr:colOff>712053</xdr:colOff>
      <xdr:row>76</xdr:row>
      <xdr:rowOff>183136</xdr:rowOff>
    </xdr:from>
    <xdr:ext cx="731419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675531" y="15555658"/>
          <a:ext cx="731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</a:t>
          </a:r>
          <a:r>
            <a:rPr lang="en-US" sz="1100" baseline="0"/>
            <a:t> </a:t>
          </a:r>
          <a:r>
            <a:rPr lang="en-US" sz="1100"/>
            <a:t>=</a:t>
          </a:r>
          <a:r>
            <a:rPr lang="ru-RU" sz="1100"/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3900</a:t>
          </a:r>
          <a:r>
            <a:rPr lang="ru-RU"/>
            <a:t> </a:t>
          </a:r>
          <a:endParaRPr lang="en-US" sz="1100"/>
        </a:p>
      </xdr:txBody>
    </xdr:sp>
    <xdr:clientData/>
  </xdr:oneCellAnchor>
  <xdr:twoCellAnchor>
    <xdr:from>
      <xdr:col>0</xdr:col>
      <xdr:colOff>0</xdr:colOff>
      <xdr:row>95</xdr:row>
      <xdr:rowOff>144780</xdr:rowOff>
    </xdr:from>
    <xdr:to>
      <xdr:col>8</xdr:col>
      <xdr:colOff>91242</xdr:colOff>
      <xdr:row>116</xdr:row>
      <xdr:rowOff>176300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2945574</xdr:colOff>
      <xdr:row>106</xdr:row>
      <xdr:rowOff>88853</xdr:rowOff>
    </xdr:from>
    <xdr:ext cx="70981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624748" y="21176375"/>
          <a:ext cx="709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 =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1342</a:t>
          </a:r>
          <a:r>
            <a:rPr lang="ru-RU"/>
            <a:t> </a:t>
          </a:r>
          <a:endParaRPr lang="en-US" sz="1100"/>
        </a:p>
      </xdr:txBody>
    </xdr:sp>
    <xdr:clientData/>
  </xdr:oneCellAnchor>
  <xdr:oneCellAnchor>
    <xdr:from>
      <xdr:col>4</xdr:col>
      <xdr:colOff>356389</xdr:colOff>
      <xdr:row>99</xdr:row>
      <xdr:rowOff>146010</xdr:rowOff>
    </xdr:from>
    <xdr:ext cx="73141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6319867" y="19900032"/>
          <a:ext cx="731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</a:t>
          </a:r>
          <a:r>
            <a:rPr lang="en-US" sz="1100" baseline="0"/>
            <a:t> </a:t>
          </a:r>
          <a:r>
            <a:rPr lang="en-US" sz="1100"/>
            <a:t>=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2800</a:t>
          </a:r>
          <a:r>
            <a:rPr lang="ru-RU"/>
            <a:t> </a:t>
          </a:r>
          <a:endParaRPr lang="en-US" sz="1100"/>
        </a:p>
      </xdr:txBody>
    </xdr:sp>
    <xdr:clientData/>
  </xdr:oneCellAnchor>
  <xdr:twoCellAnchor editAs="oneCell">
    <xdr:from>
      <xdr:col>10</xdr:col>
      <xdr:colOff>268941</xdr:colOff>
      <xdr:row>82</xdr:row>
      <xdr:rowOff>67235</xdr:rowOff>
    </xdr:from>
    <xdr:to>
      <xdr:col>16</xdr:col>
      <xdr:colOff>491805</xdr:colOff>
      <xdr:row>95</xdr:row>
      <xdr:rowOff>168088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6B5C9D-C65D-74FE-9DCF-71A891C72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15382" y="16562294"/>
          <a:ext cx="4938592" cy="2577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0</xdr:col>
      <xdr:colOff>137160</xdr:colOff>
      <xdr:row>23</xdr:row>
      <xdr:rowOff>175260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573392-85DA-461C-B14C-0D378ABF5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30480</xdr:colOff>
      <xdr:row>6</xdr:row>
      <xdr:rowOff>182880</xdr:rowOff>
    </xdr:from>
    <xdr:to>
      <xdr:col>4</xdr:col>
      <xdr:colOff>175260</xdr:colOff>
      <xdr:row>6</xdr:row>
      <xdr:rowOff>335280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AD3327A-9AC5-412A-AB12-019F7DD13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182880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137160</xdr:colOff>
      <xdr:row>23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0413081-0BFA-4400-B450-24523948A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30480</xdr:colOff>
      <xdr:row>6</xdr:row>
      <xdr:rowOff>182880</xdr:rowOff>
    </xdr:from>
    <xdr:to>
      <xdr:col>4</xdr:col>
      <xdr:colOff>175260</xdr:colOff>
      <xdr:row>6</xdr:row>
      <xdr:rowOff>335280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1F90363-413A-4696-996C-5FEF5E489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182880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30480</xdr:colOff>
      <xdr:row>8</xdr:row>
      <xdr:rowOff>182880</xdr:rowOff>
    </xdr:from>
    <xdr:to>
      <xdr:col>8</xdr:col>
      <xdr:colOff>175260</xdr:colOff>
      <xdr:row>8</xdr:row>
      <xdr:rowOff>335280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C502554-215D-4C21-8E43-A74C9E39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377440"/>
          <a:ext cx="144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144780</xdr:colOff>
      <xdr:row>8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C1BA4B2-E2FD-4B30-83A6-324C661F7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9420" y="21945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opLeftCell="I1" zoomScaleNormal="100" workbookViewId="0">
      <selection activeCell="S15" sqref="S15"/>
    </sheetView>
  </sheetViews>
  <sheetFormatPr defaultRowHeight="14.4" x14ac:dyDescent="0.3"/>
  <cols>
    <col min="1" max="1" width="19.88671875" customWidth="1"/>
    <col min="6" max="6" width="11.5546875" customWidth="1"/>
    <col min="8" max="8" width="23.109375" customWidth="1"/>
    <col min="9" max="9" width="24.44140625" customWidth="1"/>
    <col min="10" max="10" width="16.44140625" customWidth="1"/>
    <col min="11" max="11" width="16.5546875" customWidth="1"/>
    <col min="12" max="13" width="14.44140625" customWidth="1"/>
    <col min="15" max="15" width="4.5546875" customWidth="1"/>
    <col min="16" max="16" width="26.88671875" customWidth="1"/>
    <col min="17" max="17" width="13.5546875" customWidth="1"/>
    <col min="18" max="18" width="28.109375" customWidth="1"/>
  </cols>
  <sheetData>
    <row r="1" spans="1:28" ht="15" customHeight="1" x14ac:dyDescent="0.3">
      <c r="A1" s="107" t="s">
        <v>21</v>
      </c>
      <c r="B1" s="107" t="s">
        <v>22</v>
      </c>
      <c r="C1" s="107" t="s">
        <v>23</v>
      </c>
      <c r="D1" s="107"/>
      <c r="E1" s="107"/>
      <c r="F1" s="107"/>
      <c r="G1" s="111" t="s">
        <v>365</v>
      </c>
      <c r="H1" s="107" t="s">
        <v>28</v>
      </c>
      <c r="I1" s="107" t="s">
        <v>29</v>
      </c>
      <c r="J1" s="107" t="s">
        <v>30</v>
      </c>
      <c r="K1" s="107"/>
      <c r="L1" s="107" t="s">
        <v>31</v>
      </c>
      <c r="M1" s="107"/>
      <c r="O1" s="109" t="s">
        <v>118</v>
      </c>
      <c r="P1" s="109"/>
      <c r="Q1" s="109"/>
      <c r="R1" s="109"/>
      <c r="T1" s="110" t="s">
        <v>21</v>
      </c>
      <c r="U1" s="109" t="s">
        <v>124</v>
      </c>
      <c r="V1" s="109"/>
      <c r="W1" s="109"/>
      <c r="X1" s="109"/>
      <c r="Y1" s="109"/>
      <c r="Z1" s="109"/>
      <c r="AA1" s="109"/>
      <c r="AB1" s="109"/>
    </row>
    <row r="2" spans="1:28" ht="28.8" x14ac:dyDescent="0.3">
      <c r="A2" s="107"/>
      <c r="B2" s="107"/>
      <c r="C2" s="107" t="s">
        <v>24</v>
      </c>
      <c r="D2" s="107"/>
      <c r="E2" s="107" t="s">
        <v>25</v>
      </c>
      <c r="F2" s="107"/>
      <c r="G2" s="111"/>
      <c r="H2" s="107"/>
      <c r="I2" s="107"/>
      <c r="J2" s="5" t="s">
        <v>32</v>
      </c>
      <c r="K2" s="5" t="s">
        <v>33</v>
      </c>
      <c r="L2" s="8" t="s">
        <v>34</v>
      </c>
      <c r="M2" s="8" t="s">
        <v>35</v>
      </c>
      <c r="O2" s="5" t="s">
        <v>6</v>
      </c>
      <c r="P2" s="8" t="s">
        <v>112</v>
      </c>
      <c r="Q2" s="8" t="s">
        <v>110</v>
      </c>
      <c r="R2" s="8" t="s">
        <v>115</v>
      </c>
      <c r="T2" s="110"/>
      <c r="U2" s="110" t="s">
        <v>24</v>
      </c>
      <c r="V2" s="110"/>
      <c r="W2" s="110"/>
      <c r="X2" s="110"/>
      <c r="Y2" s="109" t="s">
        <v>25</v>
      </c>
      <c r="Z2" s="109"/>
      <c r="AA2" s="109"/>
      <c r="AB2" s="109"/>
    </row>
    <row r="3" spans="1:28" x14ac:dyDescent="0.3">
      <c r="A3" s="107"/>
      <c r="B3" s="107"/>
      <c r="C3" s="5" t="s">
        <v>26</v>
      </c>
      <c r="D3" s="5" t="s">
        <v>27</v>
      </c>
      <c r="E3" s="5" t="s">
        <v>26</v>
      </c>
      <c r="F3" s="5" t="s">
        <v>27</v>
      </c>
      <c r="G3" s="111"/>
      <c r="H3" s="2" t="s">
        <v>36</v>
      </c>
      <c r="I3" s="5">
        <v>4</v>
      </c>
      <c r="J3" s="5">
        <v>1.8</v>
      </c>
      <c r="K3" s="5">
        <v>2.5</v>
      </c>
      <c r="L3" s="5">
        <v>1.03</v>
      </c>
      <c r="M3" s="5"/>
      <c r="O3" s="5">
        <v>1</v>
      </c>
      <c r="P3" s="6" t="s">
        <v>105</v>
      </c>
      <c r="Q3" s="5">
        <v>7</v>
      </c>
      <c r="R3" s="6" t="s">
        <v>117</v>
      </c>
      <c r="T3" s="110"/>
      <c r="U3" s="1" t="s">
        <v>125</v>
      </c>
      <c r="V3" s="1" t="s">
        <v>126</v>
      </c>
      <c r="W3" s="1" t="s">
        <v>127</v>
      </c>
      <c r="X3" s="1" t="s">
        <v>128</v>
      </c>
      <c r="Y3" s="1" t="s">
        <v>129</v>
      </c>
      <c r="Z3" s="1" t="s">
        <v>130</v>
      </c>
      <c r="AA3" s="1" t="s">
        <v>127</v>
      </c>
      <c r="AB3" s="1" t="s">
        <v>128</v>
      </c>
    </row>
    <row r="4" spans="1:28" x14ac:dyDescent="0.3">
      <c r="A4" s="76">
        <v>5</v>
      </c>
      <c r="B4" s="76">
        <v>15</v>
      </c>
      <c r="C4" s="76">
        <v>5550</v>
      </c>
      <c r="D4" s="76">
        <v>225</v>
      </c>
      <c r="E4" s="76">
        <v>3620</v>
      </c>
      <c r="F4" s="76">
        <v>150</v>
      </c>
      <c r="G4" s="76">
        <v>1000</v>
      </c>
      <c r="H4" s="2" t="s">
        <v>37</v>
      </c>
      <c r="I4" s="5">
        <v>4</v>
      </c>
      <c r="J4" s="5">
        <v>2.4</v>
      </c>
      <c r="K4" s="5">
        <v>2.9</v>
      </c>
      <c r="L4" s="5">
        <v>1</v>
      </c>
      <c r="M4" s="5"/>
      <c r="O4" s="5">
        <v>2</v>
      </c>
      <c r="P4" s="6" t="s">
        <v>111</v>
      </c>
      <c r="Q4" s="5">
        <v>6</v>
      </c>
      <c r="R4" s="6" t="s">
        <v>116</v>
      </c>
      <c r="T4" s="76">
        <v>5</v>
      </c>
      <c r="U4" s="76">
        <v>0.9</v>
      </c>
      <c r="V4" s="76">
        <v>6</v>
      </c>
      <c r="W4" s="76">
        <v>5</v>
      </c>
      <c r="X4" s="76">
        <v>20</v>
      </c>
      <c r="Y4" s="76">
        <v>8.4</v>
      </c>
      <c r="Z4" s="76">
        <v>5.3</v>
      </c>
      <c r="AA4" s="76">
        <v>8</v>
      </c>
      <c r="AB4" s="76">
        <v>23</v>
      </c>
    </row>
    <row r="5" spans="1:28" x14ac:dyDescent="0.3">
      <c r="H5" s="2" t="s">
        <v>38</v>
      </c>
      <c r="I5" s="5">
        <v>3</v>
      </c>
      <c r="J5" s="5">
        <v>4.3</v>
      </c>
      <c r="K5" s="5">
        <v>5</v>
      </c>
      <c r="L5" s="5">
        <v>1</v>
      </c>
      <c r="M5" s="5"/>
      <c r="O5" s="5">
        <v>3</v>
      </c>
      <c r="P5" s="6" t="s">
        <v>113</v>
      </c>
      <c r="Q5" s="5">
        <v>5</v>
      </c>
      <c r="R5" s="6" t="s">
        <v>119</v>
      </c>
    </row>
    <row r="6" spans="1:28" ht="42.6" customHeight="1" x14ac:dyDescent="0.3">
      <c r="A6" s="11"/>
      <c r="B6" s="11"/>
      <c r="H6" s="2" t="s">
        <v>39</v>
      </c>
      <c r="I6" s="5">
        <v>5</v>
      </c>
      <c r="J6" s="5">
        <v>6.5</v>
      </c>
      <c r="K6" s="5">
        <v>9.6</v>
      </c>
      <c r="L6" s="5">
        <v>1</v>
      </c>
      <c r="M6" s="5"/>
      <c r="O6" s="5">
        <v>4</v>
      </c>
      <c r="P6" s="7" t="s">
        <v>290</v>
      </c>
      <c r="Q6" s="5">
        <v>5</v>
      </c>
      <c r="R6" s="6" t="s">
        <v>119</v>
      </c>
      <c r="U6" s="108" t="s">
        <v>131</v>
      </c>
      <c r="V6" s="108"/>
      <c r="W6" s="108"/>
      <c r="X6" s="108"/>
      <c r="Y6" s="108"/>
      <c r="Z6" s="108"/>
    </row>
    <row r="7" spans="1:28" ht="28.8" x14ac:dyDescent="0.3">
      <c r="A7" s="12" t="s">
        <v>73</v>
      </c>
      <c r="B7" s="12">
        <f>'Численность персонала'!D5</f>
        <v>247</v>
      </c>
      <c r="D7" s="1" t="s">
        <v>188</v>
      </c>
      <c r="E7" s="5"/>
      <c r="F7" s="1" t="s">
        <v>189</v>
      </c>
      <c r="H7" s="2" t="s">
        <v>40</v>
      </c>
      <c r="I7" s="5">
        <v>3</v>
      </c>
      <c r="J7" s="5">
        <v>0.5</v>
      </c>
      <c r="K7" s="5">
        <v>0.6</v>
      </c>
      <c r="L7" s="5"/>
      <c r="M7" s="5">
        <v>0.5</v>
      </c>
      <c r="O7" s="5">
        <v>5</v>
      </c>
      <c r="P7" s="7" t="s">
        <v>106</v>
      </c>
      <c r="Q7" s="5">
        <v>4</v>
      </c>
      <c r="R7" s="6" t="s">
        <v>120</v>
      </c>
      <c r="U7" s="1" t="s">
        <v>132</v>
      </c>
      <c r="V7" s="1" t="s">
        <v>133</v>
      </c>
      <c r="W7" s="1" t="s">
        <v>134</v>
      </c>
      <c r="X7" s="1" t="s">
        <v>135</v>
      </c>
      <c r="Y7" s="1" t="s">
        <v>136</v>
      </c>
      <c r="Z7" s="1" t="s">
        <v>137</v>
      </c>
    </row>
    <row r="8" spans="1:28" ht="14.4" customHeight="1" x14ac:dyDescent="0.3">
      <c r="A8" s="1" t="s">
        <v>72</v>
      </c>
      <c r="B8" s="1">
        <v>8</v>
      </c>
      <c r="D8" s="1">
        <v>1</v>
      </c>
      <c r="E8" s="1">
        <v>1</v>
      </c>
      <c r="F8" s="1">
        <v>1</v>
      </c>
      <c r="O8" s="5">
        <v>6</v>
      </c>
      <c r="P8" s="6" t="s">
        <v>107</v>
      </c>
      <c r="Q8" s="5">
        <v>3</v>
      </c>
      <c r="R8" s="6" t="s">
        <v>121</v>
      </c>
      <c r="U8" s="1">
        <v>86</v>
      </c>
      <c r="V8" s="1">
        <v>47</v>
      </c>
      <c r="W8" s="1">
        <v>50</v>
      </c>
      <c r="X8" s="1">
        <v>57</v>
      </c>
      <c r="Y8" s="1">
        <v>65</v>
      </c>
      <c r="Z8" s="1">
        <v>49</v>
      </c>
    </row>
    <row r="9" spans="1:28" x14ac:dyDescent="0.3">
      <c r="A9" s="1" t="s">
        <v>75</v>
      </c>
      <c r="B9" s="1">
        <v>2</v>
      </c>
      <c r="D9" s="1">
        <v>2</v>
      </c>
      <c r="E9" s="1">
        <v>1.24</v>
      </c>
      <c r="F9" s="1">
        <v>1.36</v>
      </c>
      <c r="H9" s="1" t="s">
        <v>188</v>
      </c>
      <c r="I9" s="5"/>
      <c r="J9" t="s">
        <v>353</v>
      </c>
      <c r="O9" s="5">
        <v>7</v>
      </c>
      <c r="P9" s="6" t="s">
        <v>108</v>
      </c>
      <c r="Q9" s="5">
        <v>2</v>
      </c>
      <c r="R9" s="6" t="s">
        <v>122</v>
      </c>
    </row>
    <row r="10" spans="1:28" x14ac:dyDescent="0.3">
      <c r="A10" s="1" t="s">
        <v>76</v>
      </c>
      <c r="B10" s="1">
        <v>6</v>
      </c>
      <c r="D10" s="1">
        <v>3</v>
      </c>
      <c r="E10" s="1">
        <v>1.45</v>
      </c>
      <c r="F10" s="1">
        <v>1.59</v>
      </c>
      <c r="H10" s="1">
        <v>1</v>
      </c>
      <c r="I10" s="1">
        <v>1</v>
      </c>
      <c r="O10" s="5">
        <v>8</v>
      </c>
      <c r="P10" s="6" t="s">
        <v>114</v>
      </c>
      <c r="Q10" s="5">
        <v>2</v>
      </c>
      <c r="R10" s="6" t="s">
        <v>122</v>
      </c>
      <c r="T10" t="s">
        <v>138</v>
      </c>
    </row>
    <row r="11" spans="1:28" ht="14.4" customHeight="1" x14ac:dyDescent="0.3">
      <c r="A11" s="1" t="s">
        <v>77</v>
      </c>
      <c r="B11" s="1">
        <v>0</v>
      </c>
      <c r="D11" s="1">
        <v>4</v>
      </c>
      <c r="E11" s="1">
        <v>1.62</v>
      </c>
      <c r="F11" s="1">
        <v>1.73</v>
      </c>
      <c r="H11" s="1">
        <v>2</v>
      </c>
      <c r="I11" s="1">
        <v>1.24</v>
      </c>
      <c r="O11" s="64">
        <v>9</v>
      </c>
      <c r="P11" s="6" t="s">
        <v>109</v>
      </c>
      <c r="Q11" s="5">
        <v>2</v>
      </c>
      <c r="R11" s="6" t="s">
        <v>122</v>
      </c>
      <c r="T11" t="s">
        <v>139</v>
      </c>
    </row>
    <row r="12" spans="1:28" x14ac:dyDescent="0.3">
      <c r="D12" s="1">
        <v>5</v>
      </c>
      <c r="E12" s="1">
        <v>1.76</v>
      </c>
      <c r="F12" s="1">
        <v>1.82</v>
      </c>
      <c r="H12" s="1">
        <v>3</v>
      </c>
      <c r="I12" s="1">
        <v>1.45</v>
      </c>
      <c r="O12" s="65" t="s">
        <v>123</v>
      </c>
      <c r="T12" t="s">
        <v>140</v>
      </c>
    </row>
    <row r="13" spans="1:28" x14ac:dyDescent="0.3">
      <c r="A13" s="7" t="s">
        <v>80</v>
      </c>
      <c r="B13" s="7">
        <v>22440</v>
      </c>
      <c r="D13" s="1">
        <v>6</v>
      </c>
      <c r="E13" s="1">
        <v>1.9</v>
      </c>
      <c r="F13" s="1">
        <v>2</v>
      </c>
      <c r="H13" s="1">
        <v>4</v>
      </c>
      <c r="I13" s="1">
        <v>1.62</v>
      </c>
      <c r="T13" t="s">
        <v>141</v>
      </c>
    </row>
    <row r="14" spans="1:28" x14ac:dyDescent="0.3">
      <c r="A14" s="1" t="s">
        <v>94</v>
      </c>
      <c r="B14" s="1">
        <v>4</v>
      </c>
      <c r="D14" s="1">
        <v>7</v>
      </c>
      <c r="E14" s="1">
        <v>2.15</v>
      </c>
      <c r="F14" s="1">
        <v>2.27</v>
      </c>
      <c r="H14" s="1">
        <v>5</v>
      </c>
      <c r="I14" s="1">
        <v>1.76</v>
      </c>
      <c r="T14" t="s">
        <v>142</v>
      </c>
    </row>
    <row r="15" spans="1:28" x14ac:dyDescent="0.3">
      <c r="A15" s="1" t="s">
        <v>81</v>
      </c>
      <c r="B15" s="1">
        <v>5</v>
      </c>
      <c r="D15" s="1">
        <v>8</v>
      </c>
      <c r="E15" s="1">
        <v>2.39</v>
      </c>
      <c r="F15" s="1">
        <v>2.54</v>
      </c>
      <c r="H15" s="1">
        <v>6</v>
      </c>
      <c r="I15" s="1">
        <v>1.9</v>
      </c>
    </row>
    <row r="16" spans="1:28" x14ac:dyDescent="0.3">
      <c r="A16" s="1" t="s">
        <v>82</v>
      </c>
      <c r="B16" s="1">
        <v>5</v>
      </c>
      <c r="D16" s="1">
        <v>9</v>
      </c>
      <c r="E16" s="1"/>
      <c r="F16" s="1">
        <v>2.91</v>
      </c>
      <c r="H16" s="1">
        <v>7</v>
      </c>
      <c r="I16" s="1">
        <v>2.15</v>
      </c>
    </row>
    <row r="17" spans="1:13" ht="14.4" customHeight="1" x14ac:dyDescent="0.3">
      <c r="A17" s="1" t="s">
        <v>83</v>
      </c>
      <c r="B17" s="1">
        <v>1800</v>
      </c>
      <c r="D17" s="1">
        <v>10</v>
      </c>
      <c r="E17" s="1"/>
      <c r="F17" s="1">
        <v>3.27</v>
      </c>
      <c r="H17" s="1">
        <v>8</v>
      </c>
      <c r="I17" s="1">
        <v>2.39</v>
      </c>
    </row>
    <row r="18" spans="1:13" ht="14.4" customHeight="1" x14ac:dyDescent="0.3">
      <c r="A18" s="1" t="s">
        <v>84</v>
      </c>
      <c r="B18" s="1">
        <v>500</v>
      </c>
      <c r="D18" s="1">
        <v>11</v>
      </c>
      <c r="E18" s="1"/>
      <c r="F18" s="1">
        <v>3.68</v>
      </c>
    </row>
    <row r="19" spans="1:13" ht="14.4" customHeight="1" x14ac:dyDescent="0.3">
      <c r="A19" s="1" t="s">
        <v>85</v>
      </c>
      <c r="B19" s="1">
        <v>750</v>
      </c>
      <c r="D19" s="1">
        <v>12</v>
      </c>
      <c r="E19" s="1"/>
      <c r="F19" s="1">
        <v>4.18</v>
      </c>
    </row>
    <row r="20" spans="1:13" ht="14.4" customHeight="1" x14ac:dyDescent="0.3">
      <c r="A20" s="1" t="s">
        <v>86</v>
      </c>
      <c r="B20" s="1">
        <v>1300</v>
      </c>
      <c r="D20" s="1">
        <v>13</v>
      </c>
      <c r="E20" s="1"/>
      <c r="F20" s="1">
        <v>4.7300000000000004</v>
      </c>
    </row>
    <row r="21" spans="1:13" x14ac:dyDescent="0.3">
      <c r="A21" s="1" t="s">
        <v>87</v>
      </c>
      <c r="B21" s="1">
        <v>350</v>
      </c>
      <c r="D21" s="1">
        <v>14</v>
      </c>
      <c r="E21" s="1"/>
      <c r="F21" s="1">
        <v>5.32</v>
      </c>
    </row>
    <row r="22" spans="1:13" ht="14.4" customHeight="1" x14ac:dyDescent="0.3">
      <c r="A22" s="1" t="s">
        <v>88</v>
      </c>
      <c r="B22" s="1">
        <v>15</v>
      </c>
      <c r="D22" s="1">
        <v>15</v>
      </c>
      <c r="E22" s="1"/>
      <c r="F22" s="1">
        <v>5.56</v>
      </c>
    </row>
    <row r="23" spans="1:13" x14ac:dyDescent="0.3">
      <c r="D23" s="1">
        <v>16</v>
      </c>
      <c r="E23" s="1"/>
      <c r="F23" s="1">
        <v>5.95</v>
      </c>
    </row>
    <row r="24" spans="1:13" x14ac:dyDescent="0.3">
      <c r="A24" s="1"/>
      <c r="B24" s="1">
        <f>$B$13/175</f>
        <v>128.22857142857143</v>
      </c>
    </row>
    <row r="25" spans="1:13" x14ac:dyDescent="0.3">
      <c r="A25" s="1" t="s">
        <v>190</v>
      </c>
      <c r="B25" s="1">
        <v>1.25</v>
      </c>
    </row>
    <row r="26" spans="1:13" ht="31.2" x14ac:dyDescent="0.6">
      <c r="I26" s="98" t="s">
        <v>376</v>
      </c>
      <c r="J26" s="98"/>
    </row>
    <row r="27" spans="1:13" x14ac:dyDescent="0.3">
      <c r="I27" s="97" t="s">
        <v>377</v>
      </c>
      <c r="J27" s="97"/>
      <c r="K27" s="97"/>
      <c r="L27" s="97"/>
      <c r="M27" s="97"/>
    </row>
    <row r="28" spans="1:13" x14ac:dyDescent="0.3">
      <c r="I28" s="77" t="s">
        <v>378</v>
      </c>
      <c r="J28" s="77"/>
      <c r="K28" s="77"/>
      <c r="L28" s="77"/>
      <c r="M28" s="77"/>
    </row>
    <row r="29" spans="1:13" x14ac:dyDescent="0.3">
      <c r="I29" s="75" t="s">
        <v>379</v>
      </c>
      <c r="J29" s="75"/>
      <c r="K29" s="75"/>
      <c r="L29" s="75"/>
      <c r="M29" s="75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</sheetData>
  <mergeCells count="16">
    <mergeCell ref="A1:A3"/>
    <mergeCell ref="U6:Z6"/>
    <mergeCell ref="J1:K1"/>
    <mergeCell ref="L1:M1"/>
    <mergeCell ref="I1:I2"/>
    <mergeCell ref="H1:H2"/>
    <mergeCell ref="O1:R1"/>
    <mergeCell ref="Y2:AB2"/>
    <mergeCell ref="U2:X2"/>
    <mergeCell ref="U1:AB1"/>
    <mergeCell ref="T1:T3"/>
    <mergeCell ref="G1:G3"/>
    <mergeCell ref="C1:F1"/>
    <mergeCell ref="C2:D2"/>
    <mergeCell ref="E2:F2"/>
    <mergeCell ref="B1:B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="85" zoomScaleNormal="85" workbookViewId="0">
      <selection activeCell="A16" sqref="A16:B22"/>
    </sheetView>
  </sheetViews>
  <sheetFormatPr defaultRowHeight="14.4" x14ac:dyDescent="0.3"/>
  <cols>
    <col min="1" max="1" width="8.88671875" customWidth="1"/>
    <col min="2" max="2" width="20.44140625" customWidth="1"/>
    <col min="7" max="7" width="6" customWidth="1"/>
    <col min="8" max="8" width="36.88671875" customWidth="1"/>
    <col min="9" max="9" width="12.44140625" customWidth="1"/>
    <col min="10" max="10" width="24.44140625" customWidth="1"/>
    <col min="11" max="11" width="15.109375" customWidth="1"/>
  </cols>
  <sheetData>
    <row r="1" spans="1:11" x14ac:dyDescent="0.3">
      <c r="A1" s="109" t="s">
        <v>17</v>
      </c>
      <c r="B1" s="109"/>
      <c r="C1" s="109"/>
      <c r="D1" s="109"/>
      <c r="E1" s="109"/>
      <c r="G1" s="109" t="s">
        <v>60</v>
      </c>
      <c r="H1" s="109"/>
      <c r="I1" s="109"/>
      <c r="J1" s="109"/>
      <c r="K1" s="109"/>
    </row>
    <row r="2" spans="1:11" ht="28.8" x14ac:dyDescent="0.3">
      <c r="A2" s="5" t="s">
        <v>6</v>
      </c>
      <c r="B2" s="8" t="s">
        <v>7</v>
      </c>
      <c r="C2" s="5" t="s">
        <v>18</v>
      </c>
      <c r="D2" s="5" t="s">
        <v>8</v>
      </c>
      <c r="E2" s="5" t="s">
        <v>9</v>
      </c>
      <c r="G2" s="10" t="s">
        <v>6</v>
      </c>
      <c r="H2" s="8" t="s">
        <v>49</v>
      </c>
      <c r="I2" s="5" t="s">
        <v>41</v>
      </c>
      <c r="J2" s="8" t="s">
        <v>50</v>
      </c>
      <c r="K2" s="5" t="s">
        <v>51</v>
      </c>
    </row>
    <row r="3" spans="1:11" x14ac:dyDescent="0.3">
      <c r="A3" s="4">
        <v>1</v>
      </c>
      <c r="B3" s="2" t="s">
        <v>1</v>
      </c>
      <c r="C3" s="1" t="s">
        <v>19</v>
      </c>
      <c r="D3" s="1">
        <v>365</v>
      </c>
      <c r="E3" s="1"/>
      <c r="G3" s="1">
        <v>1</v>
      </c>
      <c r="H3" s="1" t="s">
        <v>52</v>
      </c>
      <c r="I3" s="9">
        <f>IF(ROUNDUP($B$22*$J3, 0)&lt;2, 2, ROUNDUP($B$22*$J3, 0))</f>
        <v>3</v>
      </c>
      <c r="J3" s="1">
        <v>0.03</v>
      </c>
      <c r="K3" s="1">
        <v>5</v>
      </c>
    </row>
    <row r="4" spans="1:11" ht="28.8" x14ac:dyDescent="0.3">
      <c r="A4" s="4">
        <v>2</v>
      </c>
      <c r="B4" s="2" t="s">
        <v>2</v>
      </c>
      <c r="C4" s="1" t="s">
        <v>19</v>
      </c>
      <c r="D4" s="1">
        <v>118</v>
      </c>
      <c r="E4" s="1"/>
      <c r="G4" s="1">
        <v>2</v>
      </c>
      <c r="H4" s="1" t="s">
        <v>53</v>
      </c>
      <c r="I4" s="9">
        <f>IF(ROUNDUP($B$22*$J4, 0)&lt;2, 2, ROUNDUP($B$22*$J4, 0))</f>
        <v>2</v>
      </c>
      <c r="J4" s="1">
        <v>0.01</v>
      </c>
      <c r="K4" s="1">
        <v>4</v>
      </c>
    </row>
    <row r="5" spans="1:11" x14ac:dyDescent="0.3">
      <c r="A5" s="4">
        <v>3</v>
      </c>
      <c r="B5" s="2" t="s">
        <v>0</v>
      </c>
      <c r="C5" s="1" t="s">
        <v>19</v>
      </c>
      <c r="D5" s="1">
        <f>D3-D4</f>
        <v>247</v>
      </c>
      <c r="E5" s="1">
        <v>100</v>
      </c>
      <c r="G5" s="1">
        <v>3</v>
      </c>
      <c r="H5" s="1" t="s">
        <v>54</v>
      </c>
      <c r="I5" s="9">
        <f>IF(ROUNDUP($B$22*$J5, 0)&lt;2, 2, ROUNDUP($B$22*$J5, 0))</f>
        <v>2</v>
      </c>
      <c r="J5" s="1">
        <v>1.4999999999999999E-2</v>
      </c>
      <c r="K5" s="1">
        <v>5</v>
      </c>
    </row>
    <row r="6" spans="1:11" ht="28.8" x14ac:dyDescent="0.3">
      <c r="A6" s="41">
        <v>4</v>
      </c>
      <c r="B6" s="37" t="s">
        <v>204</v>
      </c>
      <c r="C6" s="67" t="s">
        <v>19</v>
      </c>
      <c r="D6" s="38">
        <f>ROUNDUP($D$5*$E6/$E$5, 0)</f>
        <v>26</v>
      </c>
      <c r="E6" s="72">
        <v>10.199999999999999</v>
      </c>
      <c r="G6" s="1">
        <v>4</v>
      </c>
      <c r="H6" s="1" t="s">
        <v>55</v>
      </c>
      <c r="I6" s="9">
        <f>IF(ROUNDUP($B$22*$J6, 0)&lt;2, 2, ROUNDUP($B$22*$J6, 0))</f>
        <v>2</v>
      </c>
      <c r="J6" s="1">
        <v>0.02</v>
      </c>
      <c r="K6" s="1">
        <v>4</v>
      </c>
    </row>
    <row r="7" spans="1:11" x14ac:dyDescent="0.3">
      <c r="A7" s="40" t="s">
        <v>10</v>
      </c>
      <c r="B7" s="42" t="s">
        <v>205</v>
      </c>
      <c r="C7" s="45" t="s">
        <v>19</v>
      </c>
      <c r="D7" s="43">
        <f>ROUNDUP($D$5*$E7/$E$5, 0)</f>
        <v>15</v>
      </c>
      <c r="E7" s="73">
        <v>6</v>
      </c>
      <c r="G7" s="1">
        <v>5</v>
      </c>
      <c r="H7" s="1" t="s">
        <v>56</v>
      </c>
      <c r="I7" s="9">
        <f t="shared" ref="I7" si="0">IF(ROUNDUP($B$22*$J7, 0)&lt;2, 2, ROUNDUP($B$22*$J7, 0))</f>
        <v>2</v>
      </c>
      <c r="J7" s="1">
        <v>0.02</v>
      </c>
      <c r="K7" s="1">
        <v>3</v>
      </c>
    </row>
    <row r="8" spans="1:11" x14ac:dyDescent="0.3">
      <c r="A8" s="40" t="s">
        <v>11</v>
      </c>
      <c r="B8" s="42" t="s">
        <v>15</v>
      </c>
      <c r="C8" s="45" t="s">
        <v>19</v>
      </c>
      <c r="D8" s="43">
        <f>ROUNDUP($D$5*$E8/$E$5, 0)</f>
        <v>2</v>
      </c>
      <c r="E8" s="73">
        <v>0.6</v>
      </c>
      <c r="G8" s="1">
        <v>6</v>
      </c>
      <c r="H8" s="1" t="s">
        <v>57</v>
      </c>
      <c r="I8" s="9">
        <f>IF(ROUNDUP($B$22*$J8, 0)&lt;2, 2, ROUNDUP($B$22*$J8, 0))</f>
        <v>2</v>
      </c>
      <c r="J8" s="1">
        <v>1.4E-2</v>
      </c>
      <c r="K8" s="1">
        <v>3</v>
      </c>
    </row>
    <row r="9" spans="1:11" ht="28.8" x14ac:dyDescent="0.3">
      <c r="A9" s="40" t="s">
        <v>12</v>
      </c>
      <c r="B9" s="42" t="s">
        <v>206</v>
      </c>
      <c r="C9" s="45" t="s">
        <v>19</v>
      </c>
      <c r="D9" s="43">
        <f>ROUNDUP($D$5*$E9/$E$5, 0)</f>
        <v>2</v>
      </c>
      <c r="E9" s="73">
        <v>0.6</v>
      </c>
      <c r="G9" s="1">
        <v>7</v>
      </c>
      <c r="H9" s="1" t="s">
        <v>58</v>
      </c>
      <c r="I9" s="9">
        <f>IF(ROUNDUP($B$22*$J9, 0)&lt;2, 2, ROUNDUP($B$22*$J9, 0))</f>
        <v>2</v>
      </c>
      <c r="J9" s="1">
        <v>1.2E-2</v>
      </c>
      <c r="K9" s="1">
        <v>3</v>
      </c>
    </row>
    <row r="10" spans="1:11" x14ac:dyDescent="0.3">
      <c r="A10" s="40" t="s">
        <v>13</v>
      </c>
      <c r="B10" s="42" t="s">
        <v>207</v>
      </c>
      <c r="C10" s="45" t="s">
        <v>19</v>
      </c>
      <c r="D10" s="43">
        <f t="shared" ref="D10:D11" si="1">ROUNDUP($D$5*$E10/$E$5, 0)</f>
        <v>1</v>
      </c>
      <c r="E10" s="73">
        <v>0.4</v>
      </c>
      <c r="G10" s="1">
        <v>8</v>
      </c>
      <c r="H10" s="1" t="s">
        <v>59</v>
      </c>
      <c r="I10" s="9">
        <f>SUM(I3:I9)</f>
        <v>15</v>
      </c>
      <c r="J10" s="1"/>
      <c r="K10" s="1"/>
    </row>
    <row r="11" spans="1:11" x14ac:dyDescent="0.3">
      <c r="A11" s="40" t="s">
        <v>14</v>
      </c>
      <c r="B11" s="39" t="s">
        <v>16</v>
      </c>
      <c r="C11" s="66" t="s">
        <v>19</v>
      </c>
      <c r="D11" s="12">
        <f t="shared" si="1"/>
        <v>7</v>
      </c>
      <c r="E11" s="74">
        <v>2.6</v>
      </c>
      <c r="I11" s="78" t="s">
        <v>370</v>
      </c>
      <c r="J11" s="77"/>
    </row>
    <row r="12" spans="1:11" x14ac:dyDescent="0.3">
      <c r="A12" s="4">
        <v>5</v>
      </c>
      <c r="B12" s="2" t="s">
        <v>3</v>
      </c>
      <c r="C12" s="1" t="s">
        <v>19</v>
      </c>
      <c r="D12" s="1">
        <f>D5-D6</f>
        <v>221</v>
      </c>
      <c r="E12" s="1"/>
    </row>
    <row r="13" spans="1:11" ht="43.2" x14ac:dyDescent="0.3">
      <c r="A13" s="4">
        <v>6</v>
      </c>
      <c r="B13" s="2" t="s">
        <v>4</v>
      </c>
      <c r="C13" s="1" t="s">
        <v>20</v>
      </c>
      <c r="D13" s="1">
        <v>8</v>
      </c>
      <c r="E13" s="1"/>
    </row>
    <row r="14" spans="1:11" ht="28.8" x14ac:dyDescent="0.3">
      <c r="A14" s="4">
        <v>7</v>
      </c>
      <c r="B14" s="2" t="s">
        <v>5</v>
      </c>
      <c r="C14" s="1" t="s">
        <v>20</v>
      </c>
      <c r="D14" s="3">
        <f>D12*D13</f>
        <v>1768</v>
      </c>
      <c r="E14" s="1"/>
    </row>
    <row r="15" spans="1:11" ht="31.65" customHeight="1" x14ac:dyDescent="0.3">
      <c r="D15">
        <f>D14/24</f>
        <v>73.666666666666671</v>
      </c>
      <c r="H15" s="114" t="s">
        <v>61</v>
      </c>
      <c r="I15" s="114"/>
    </row>
    <row r="16" spans="1:11" x14ac:dyDescent="0.3">
      <c r="A16" s="112" t="s">
        <v>48</v>
      </c>
      <c r="B16" s="113"/>
      <c r="H16" s="1" t="s">
        <v>65</v>
      </c>
      <c r="I16" s="9">
        <f>SUM(B22+I10)</f>
        <v>108</v>
      </c>
    </row>
    <row r="17" spans="1:15" x14ac:dyDescent="0.3">
      <c r="A17" s="4" t="s">
        <v>42</v>
      </c>
      <c r="B17" s="9">
        <f>ROUNDUP(('Исходные данные'!$C$4*'Исходные данные'!$J3+'Исходные данные'!$E$4*'Исходные данные'!$K3)/('Численность персонала'!$D$14*'Исходные данные'!$L3), 0)</f>
        <v>11</v>
      </c>
      <c r="H17" s="1" t="s">
        <v>62</v>
      </c>
      <c r="I17" s="1">
        <f>IF(ROUNDUP(($I$16*8)/100, 0)&lt;10, 10, ROUNDUP(($I$16*8)/100, 0))</f>
        <v>10</v>
      </c>
      <c r="J17" s="77">
        <f>($I$16*8)/100</f>
        <v>8.64</v>
      </c>
      <c r="K17" s="78" t="s">
        <v>367</v>
      </c>
      <c r="L17" s="77"/>
      <c r="M17" s="77"/>
      <c r="N17" s="77"/>
      <c r="O17" s="77"/>
    </row>
    <row r="18" spans="1:15" x14ac:dyDescent="0.3">
      <c r="A18" s="4" t="s">
        <v>43</v>
      </c>
      <c r="B18" s="9">
        <f>ROUNDUP(('Исходные данные'!$C$4*'Исходные данные'!$J4+'Исходные данные'!$E$4*'Исходные данные'!$K4)/('Численность персонала'!$D$14*'Исходные данные'!$L4), 0)</f>
        <v>14</v>
      </c>
      <c r="H18" s="1" t="s">
        <v>64</v>
      </c>
      <c r="I18" s="1">
        <f>IF(ROUNDUP((($I$16+$I$17)*11)/100, 0)&lt;11, 11, ROUNDUP((($I$16+$I$17)*11)/100, 0))</f>
        <v>13</v>
      </c>
      <c r="J18" s="77">
        <f>(($I$16+$I$17)*11)/100</f>
        <v>12.98</v>
      </c>
      <c r="K18" s="78" t="s">
        <v>368</v>
      </c>
      <c r="L18" s="77"/>
      <c r="M18" s="77"/>
      <c r="N18" s="77"/>
      <c r="O18" s="77"/>
    </row>
    <row r="19" spans="1:15" x14ac:dyDescent="0.3">
      <c r="A19" s="4" t="s">
        <v>44</v>
      </c>
      <c r="B19" s="9">
        <f>ROUNDUP(('Исходные данные'!$C$4*'Исходные данные'!$J5+'Исходные данные'!$E$4*'Исходные данные'!$K5)/('Численность персонала'!$D$14*'Исходные данные'!$L5), 0)</f>
        <v>24</v>
      </c>
      <c r="H19" s="1" t="s">
        <v>63</v>
      </c>
      <c r="I19" s="1">
        <f>ROUNDUP((($I$16+$I$17+$I$18)*2)/100, 0)</f>
        <v>3</v>
      </c>
    </row>
    <row r="20" spans="1:15" x14ac:dyDescent="0.3">
      <c r="A20" s="4" t="s">
        <v>45</v>
      </c>
      <c r="B20" s="9">
        <f>ROUNDUP(('Исходные данные'!$C$4*'Исходные данные'!$J6+'Исходные данные'!$E$4*'Исходные данные'!$K6)/('Численность персонала'!$D$14*'Исходные данные'!$L6), 0)</f>
        <v>41</v>
      </c>
      <c r="H20" s="1" t="s">
        <v>198</v>
      </c>
      <c r="I20" s="1">
        <f>I17+I18+I19</f>
        <v>26</v>
      </c>
    </row>
    <row r="21" spans="1:15" ht="28.8" x14ac:dyDescent="0.3">
      <c r="A21" s="4" t="s">
        <v>46</v>
      </c>
      <c r="B21" s="9">
        <f>IF(ROUNDUP((('Исходные данные'!$C$4*'Исходные данные'!$J7+'Исходные данные'!$E$4*'Исходные данные'!$K7)*'Исходные данные'!M7)/('Численность персонала'!$D$14), 0)&lt;3, 3, ROUNDUP((('Исходные данные'!$C$4*'Исходные данные'!$J7+'Исходные данные'!$E$4*'Исходные данные'!$K7)*'Исходные данные'!M7)/('Численность персонала'!$D$14), 0))</f>
        <v>3</v>
      </c>
      <c r="C21" s="77">
        <f>(('Исходные данные'!$C$4*'Исходные данные'!$J7+'Исходные данные'!$E$4*'Исходные данные'!$K7)*'Исходные данные'!M7)/('Численность персонала'!$D$14)</f>
        <v>1.3990384615384615</v>
      </c>
      <c r="D21" s="78" t="s">
        <v>366</v>
      </c>
      <c r="E21" s="77"/>
      <c r="F21" s="77"/>
      <c r="H21" s="2" t="s">
        <v>199</v>
      </c>
      <c r="I21" s="9">
        <f>I16+I20</f>
        <v>134</v>
      </c>
    </row>
    <row r="22" spans="1:15" x14ac:dyDescent="0.3">
      <c r="A22" s="4" t="s">
        <v>47</v>
      </c>
      <c r="B22" s="9">
        <f>SUM(B17:B21)</f>
        <v>93</v>
      </c>
    </row>
    <row r="29" spans="1:15" x14ac:dyDescent="0.3">
      <c r="A29" s="71"/>
    </row>
    <row r="30" spans="1:15" x14ac:dyDescent="0.3">
      <c r="A30" s="47"/>
    </row>
    <row r="31" spans="1:15" x14ac:dyDescent="0.3">
      <c r="A31" s="47"/>
    </row>
    <row r="32" spans="1:15" x14ac:dyDescent="0.3">
      <c r="A32" s="47"/>
    </row>
    <row r="33" spans="1:1" x14ac:dyDescent="0.3">
      <c r="A33" s="47"/>
    </row>
    <row r="34" spans="1:1" x14ac:dyDescent="0.3">
      <c r="A34" s="47"/>
    </row>
    <row r="35" spans="1:1" x14ac:dyDescent="0.3">
      <c r="A35" s="47"/>
    </row>
    <row r="36" spans="1:1" x14ac:dyDescent="0.3">
      <c r="A36" s="47"/>
    </row>
    <row r="37" spans="1:1" x14ac:dyDescent="0.3">
      <c r="A37" s="47"/>
    </row>
    <row r="38" spans="1:1" x14ac:dyDescent="0.3">
      <c r="A38" s="47"/>
    </row>
    <row r="39" spans="1:1" x14ac:dyDescent="0.3">
      <c r="A39" s="47"/>
    </row>
    <row r="40" spans="1:1" x14ac:dyDescent="0.3">
      <c r="A40" s="47"/>
    </row>
    <row r="41" spans="1:1" x14ac:dyDescent="0.3">
      <c r="A41" s="47"/>
    </row>
    <row r="42" spans="1:1" x14ac:dyDescent="0.3">
      <c r="A42" s="47"/>
    </row>
    <row r="43" spans="1:1" x14ac:dyDescent="0.3">
      <c r="A43" s="47"/>
    </row>
    <row r="44" spans="1:1" x14ac:dyDescent="0.3">
      <c r="A44" s="47"/>
    </row>
    <row r="45" spans="1:1" x14ac:dyDescent="0.3">
      <c r="A45" s="47"/>
    </row>
    <row r="46" spans="1:1" x14ac:dyDescent="0.3">
      <c r="A46" s="47"/>
    </row>
    <row r="47" spans="1:1" x14ac:dyDescent="0.3">
      <c r="A47" s="47"/>
    </row>
    <row r="48" spans="1:1" x14ac:dyDescent="0.3">
      <c r="A48" s="47"/>
    </row>
  </sheetData>
  <mergeCells count="4">
    <mergeCell ref="A1:E1"/>
    <mergeCell ref="A16:B16"/>
    <mergeCell ref="G1:K1"/>
    <mergeCell ref="H15:I1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130" zoomScaleNormal="130" workbookViewId="0">
      <selection activeCell="D12" sqref="D12"/>
    </sheetView>
  </sheetViews>
  <sheetFormatPr defaultRowHeight="14.4" x14ac:dyDescent="0.3"/>
  <cols>
    <col min="3" max="3" width="16" customWidth="1"/>
    <col min="5" max="5" width="14" customWidth="1"/>
    <col min="6" max="6" width="8.88671875" customWidth="1"/>
  </cols>
  <sheetData>
    <row r="1" spans="1:5" ht="45.6" customHeight="1" x14ac:dyDescent="0.3">
      <c r="A1" s="115" t="s">
        <v>66</v>
      </c>
      <c r="B1" s="115"/>
      <c r="C1" s="79" t="s">
        <v>369</v>
      </c>
      <c r="D1" s="115" t="s">
        <v>74</v>
      </c>
      <c r="E1" s="115"/>
    </row>
    <row r="2" spans="1:5" x14ac:dyDescent="0.3">
      <c r="A2" s="1" t="s">
        <v>67</v>
      </c>
      <c r="B2" s="1">
        <f>IF(('Исходные данные'!$C$4*'Исходные данные'!$J3+'Исходные данные'!$E$4*'Исходные данные'!$K3)/($E$2*'Исходные данные'!$L3)&gt;4,ROUNDUP(('Исходные данные'!$C$4*'Исходные данные'!$J3+'Исходные данные'!$E$4*'Исходные данные'!$K3)/($E$2*'Исходные данные'!$L3),0),ROUNDDOWN(('Исходные данные'!$C$4*'Исходные данные'!$J3+'Исходные данные'!$E$4*'Исходные данные'!$K3)/($E$2*'Исходные данные'!$L3),0))</f>
        <v>5</v>
      </c>
      <c r="C2" s="77">
        <f>('Исходные данные'!$C$4*'Исходные данные'!$J3+'Исходные данные'!$E$4*'Исходные данные'!$K3)/($E$2*'Исходные данные'!$L3)</f>
        <v>4.976052225967968</v>
      </c>
      <c r="D2" s="1" t="s">
        <v>78</v>
      </c>
      <c r="E2" s="3">
        <f>'Исходные данные'!$B$7*'Исходные данные'!$B$8*'Исходные данные'!$B$9*(1-'Исходные данные'!$B10/100)</f>
        <v>3714.8799999999997</v>
      </c>
    </row>
    <row r="3" spans="1:5" x14ac:dyDescent="0.3">
      <c r="A3" s="1" t="s">
        <v>68</v>
      </c>
      <c r="B3" s="1">
        <f>IF(('Исходные данные'!$C$4*'Исходные данные'!$J4+'Исходные данные'!$E$4*'Исходные данные'!$K4)/($E$2*'Исходные данные'!$L4)&gt;4,ROUNDUP(('Исходные данные'!$C$4*'Исходные данные'!$J4+'Исходные данные'!$E$4*'Исходные данные'!$K4)/($E$2*'Исходные данные'!$L4), 0),ROUNDDOWN(('Исходные данные'!$C$4*'Исходные данные'!$J4+'Исходные данные'!$E$4*'Исходные данные'!$K4)/($E$2*'Исходные данные'!$L4),0))</f>
        <v>7</v>
      </c>
      <c r="C3" s="77">
        <f>('Исходные данные'!$C$4*'Исходные данные'!$J4+'Исходные данные'!$E$4*'Исходные данные'!$K4)/($E$2*'Исходные данные'!$L4)</f>
        <v>6.411512619519339</v>
      </c>
      <c r="D3" s="1" t="s">
        <v>79</v>
      </c>
      <c r="E3" s="3">
        <f>'Исходные данные'!$B$7*'Исходные данные'!$B$8*'Исходные данные'!$B$9*(1-'Исходные данные'!$B11/100)</f>
        <v>3952</v>
      </c>
    </row>
    <row r="4" spans="1:5" x14ac:dyDescent="0.3">
      <c r="A4" s="1" t="s">
        <v>69</v>
      </c>
      <c r="B4" s="1">
        <f>IF(('Исходные данные'!$C$4*'Исходные данные'!$J5+'Исходные данные'!$E$4*'Исходные данные'!$K5)/($E$3*'Исходные данные'!$L5)&gt;4,ROUNDUP(('Исходные данные'!$C$4*'Исходные данные'!$J5+'Исходные данные'!$E$4*'Исходные данные'!$K5)/($E$3*'Исходные данные'!$L5), 0),ROUNDDOWN(('Исходные данные'!$C$4*'Исходные данные'!$J5+'Исходные данные'!$E$4*'Исходные данные'!$K5)/($E$3*'Исходные данные'!$L5),0))</f>
        <v>11</v>
      </c>
      <c r="C4" s="77">
        <f>('Исходные данные'!$C$4*'Исходные данные'!$J5+'Исходные данные'!$E$4*'Исходные данные'!$K5)/($E$3*'Исходные данные'!$L5)</f>
        <v>10.618674089068826</v>
      </c>
    </row>
    <row r="5" spans="1:5" x14ac:dyDescent="0.3">
      <c r="A5" s="1" t="s">
        <v>70</v>
      </c>
      <c r="B5" s="1">
        <f>IF(('Исходные данные'!$C$4*'Исходные данные'!$J6+'Исходные данные'!$E$4*'Исходные данные'!$K6)/($E$3*'Исходные данные'!$L6)&gt;4,ROUNDUP(('Исходные данные'!$C$4*'Исходные данные'!$J6+'Исходные данные'!$E$4*'Исходные данные'!$K6)/($E$3*'Исходные данные'!$L6),0),ROUNDDOWN(('Исходные данные'!$C$4*'Исходные данные'!$J6+'Исходные данные'!$E$4*'Исходные данные'!$K6)/($E$3*'Исходные данные'!$L6),0))</f>
        <v>18</v>
      </c>
      <c r="C5" s="77">
        <f>('Исходные данные'!$C$4*'Исходные данные'!$J6+'Исходные данные'!$E$4*'Исходные данные'!$K6)/($E$3*'Исходные данные'!$L6)</f>
        <v>17.921811740890689</v>
      </c>
    </row>
    <row r="6" spans="1:5" x14ac:dyDescent="0.3">
      <c r="A6" s="1" t="s">
        <v>71</v>
      </c>
      <c r="B6" s="1">
        <f>IF(('Исходные данные'!$C$4*'Исходные данные'!$J7+'Исходные данные'!$E$4*'Исходные данные'!$K7)/($E$3*0.5)&gt;4,ROUNDUP(('Исходные данные'!$C$4*'Исходные данные'!$J7+'Исходные данные'!$E$4*'Исходные данные'!$K7)/($E$3*0.5), 0),ROUNDDOWN(('Исходные данные'!$C$4*'Исходные данные'!$J7+'Исходные данные'!$E$4*'Исходные данные'!$K7)/($E$3*0.5),0))</f>
        <v>2</v>
      </c>
      <c r="C6" s="77">
        <f>('Исходные данные'!$C$4*'Исходные данные'!$J7+'Исходные данные'!$E$4*'Исходные данные'!$K7)/($E$3*0.5)</f>
        <v>2.5035425101214575</v>
      </c>
    </row>
    <row r="7" spans="1:5" x14ac:dyDescent="0.3">
      <c r="A7" s="1" t="s">
        <v>191</v>
      </c>
      <c r="B7" s="1">
        <f>SUM(B2:B6)</f>
        <v>43</v>
      </c>
    </row>
    <row r="8" spans="1:5" x14ac:dyDescent="0.3">
      <c r="A8" s="109" t="s">
        <v>89</v>
      </c>
      <c r="B8" s="109"/>
      <c r="C8" s="109"/>
      <c r="D8" s="109"/>
    </row>
    <row r="9" spans="1:5" x14ac:dyDescent="0.3">
      <c r="A9" s="109" t="s">
        <v>90</v>
      </c>
      <c r="B9" s="109"/>
      <c r="C9" s="109"/>
      <c r="D9" s="1">
        <f>20*B2+10*B3+10*B4+10*B5+10*B6</f>
        <v>480</v>
      </c>
    </row>
    <row r="10" spans="1:5" ht="28.65" customHeight="1" x14ac:dyDescent="0.3">
      <c r="A10" s="115" t="s">
        <v>91</v>
      </c>
      <c r="B10" s="115"/>
      <c r="C10" s="115"/>
      <c r="D10" s="1">
        <f>7*'Численность персонала'!$I$10+5*'Численность персонала'!$I$18+8*'Численность персонала'!$I$17+20*'Численность персонала'!$I$19</f>
        <v>310</v>
      </c>
    </row>
    <row r="11" spans="1:5" x14ac:dyDescent="0.3">
      <c r="A11" s="109" t="s">
        <v>92</v>
      </c>
      <c r="B11" s="109"/>
      <c r="C11" s="109"/>
      <c r="D11" s="1">
        <f>'Численность персонала'!$I$21/2*4</f>
        <v>268</v>
      </c>
    </row>
    <row r="12" spans="1:5" x14ac:dyDescent="0.3">
      <c r="A12" s="109" t="s">
        <v>93</v>
      </c>
      <c r="B12" s="109"/>
      <c r="C12" s="109"/>
      <c r="D12" s="1">
        <f>SUM(D9:D11)</f>
        <v>1058</v>
      </c>
    </row>
  </sheetData>
  <mergeCells count="7">
    <mergeCell ref="A12:C12"/>
    <mergeCell ref="A8:D8"/>
    <mergeCell ref="A1:B1"/>
    <mergeCell ref="D1:E1"/>
    <mergeCell ref="A9:C9"/>
    <mergeCell ref="A10:C10"/>
    <mergeCell ref="A11:C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160" zoomScaleNormal="160" workbookViewId="0">
      <selection activeCell="B4" sqref="B4"/>
    </sheetView>
  </sheetViews>
  <sheetFormatPr defaultRowHeight="14.4" x14ac:dyDescent="0.3"/>
  <cols>
    <col min="1" max="1" width="13.88671875" customWidth="1"/>
    <col min="2" max="2" width="13.5546875" customWidth="1"/>
    <col min="5" max="5" width="15.44140625" customWidth="1"/>
  </cols>
  <sheetData>
    <row r="1" spans="1:5" x14ac:dyDescent="0.3">
      <c r="A1" s="107" t="s">
        <v>352</v>
      </c>
      <c r="B1" s="107"/>
    </row>
    <row r="2" spans="1:5" x14ac:dyDescent="0.3">
      <c r="A2" s="1" t="s">
        <v>94</v>
      </c>
      <c r="B2" s="49">
        <f>'Исходные данные'!$B$13*'Исходные данные'!$B14</f>
        <v>89760</v>
      </c>
    </row>
    <row r="3" spans="1:5" x14ac:dyDescent="0.3">
      <c r="A3" s="1" t="s">
        <v>81</v>
      </c>
      <c r="B3" s="49">
        <f>'Исходные данные'!$B$13*'Исходные данные'!$B15</f>
        <v>112200</v>
      </c>
    </row>
    <row r="4" spans="1:5" x14ac:dyDescent="0.3">
      <c r="A4" s="1" t="s">
        <v>82</v>
      </c>
      <c r="B4" s="49">
        <f>'Исходные данные'!$B$13*'Исходные данные'!$B16</f>
        <v>112200</v>
      </c>
    </row>
    <row r="5" spans="1:5" x14ac:dyDescent="0.3">
      <c r="A5" s="1" t="s">
        <v>96</v>
      </c>
      <c r="B5" s="49">
        <f>'Исходные данные'!B17*'Потребность в оборудовании'!B2*'Исходные данные'!B13</f>
        <v>201960000</v>
      </c>
    </row>
    <row r="6" spans="1:5" x14ac:dyDescent="0.3">
      <c r="A6" s="1" t="s">
        <v>100</v>
      </c>
      <c r="B6" s="49">
        <f>'Исходные данные'!$B$18*'Потребность в оборудовании'!$B3*'Исходные данные'!$B$13</f>
        <v>78540000</v>
      </c>
    </row>
    <row r="7" spans="1:5" x14ac:dyDescent="0.3">
      <c r="A7" s="1" t="s">
        <v>101</v>
      </c>
      <c r="B7" s="49">
        <f>'Исходные данные'!$B$18*'Потребность в оборудовании'!$B4*'Исходные данные'!$B$13</f>
        <v>123420000</v>
      </c>
    </row>
    <row r="8" spans="1:5" x14ac:dyDescent="0.3">
      <c r="A8" s="1" t="s">
        <v>102</v>
      </c>
      <c r="B8" s="49">
        <f>'Исходные данные'!$B$18*'Потребность в оборудовании'!$B5*'Исходные данные'!$B$13</f>
        <v>201960000</v>
      </c>
    </row>
    <row r="9" spans="1:5" x14ac:dyDescent="0.3">
      <c r="A9" s="1" t="s">
        <v>103</v>
      </c>
      <c r="B9" s="49">
        <f>'Исходные данные'!$B$18*'Потребность в оборудовании'!$B6*'Исходные данные'!$B$13</f>
        <v>22440000</v>
      </c>
      <c r="E9" t="s">
        <v>364</v>
      </c>
    </row>
    <row r="10" spans="1:5" x14ac:dyDescent="0.3">
      <c r="A10" s="1" t="s">
        <v>95</v>
      </c>
      <c r="B10" s="49">
        <f>'Исходные данные'!$B$13*'Исходные данные'!B19</f>
        <v>16830000</v>
      </c>
      <c r="E10" s="68">
        <f>SUM(B6:B9)</f>
        <v>426360000</v>
      </c>
    </row>
    <row r="11" spans="1:5" x14ac:dyDescent="0.3">
      <c r="A11" s="1" t="s">
        <v>97</v>
      </c>
      <c r="B11" s="49">
        <f>'Исходные данные'!$B$13*'Исходные данные'!B20</f>
        <v>29172000</v>
      </c>
    </row>
    <row r="12" spans="1:5" x14ac:dyDescent="0.3">
      <c r="A12" s="1" t="s">
        <v>98</v>
      </c>
      <c r="B12" s="49">
        <f>'Исходные данные'!$B$13*'Исходные данные'!B21</f>
        <v>7854000</v>
      </c>
    </row>
    <row r="13" spans="1:5" x14ac:dyDescent="0.3">
      <c r="A13" s="1" t="s">
        <v>99</v>
      </c>
      <c r="B13" s="49">
        <f>'Исходные данные'!$B$13*'Исходные данные'!B22*'Потребность в оборудовании'!D12</f>
        <v>356122800</v>
      </c>
    </row>
    <row r="14" spans="1:5" x14ac:dyDescent="0.3">
      <c r="A14" s="1" t="s">
        <v>104</v>
      </c>
      <c r="B14" s="49">
        <f>SUM(B2:B13)</f>
        <v>1038612960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2"/>
  <sheetViews>
    <sheetView topLeftCell="A64" zoomScale="120" zoomScaleNormal="120" workbookViewId="0">
      <selection activeCell="F11" sqref="F11:J12"/>
    </sheetView>
  </sheetViews>
  <sheetFormatPr defaultColWidth="8.88671875" defaultRowHeight="13.8" x14ac:dyDescent="0.25"/>
  <cols>
    <col min="1" max="1" width="24.5546875" style="13" customWidth="1"/>
    <col min="2" max="2" width="12.33203125" style="13" customWidth="1"/>
    <col min="3" max="3" width="10.44140625" style="13" customWidth="1"/>
    <col min="4" max="4" width="12.109375" style="13" customWidth="1"/>
    <col min="5" max="5" width="9" style="13" bestFit="1" customWidth="1"/>
    <col min="6" max="6" width="11.88671875" style="13" customWidth="1"/>
    <col min="7" max="7" width="10.88671875" style="13" customWidth="1"/>
    <col min="8" max="8" width="12.88671875" style="13" customWidth="1"/>
    <col min="9" max="9" width="11.44140625" style="13" customWidth="1"/>
    <col min="10" max="10" width="12.5546875" style="13" customWidth="1"/>
    <col min="11" max="11" width="14.109375" style="13" customWidth="1"/>
    <col min="12" max="12" width="8.88671875" style="13" customWidth="1"/>
    <col min="13" max="14" width="8.88671875" style="13"/>
    <col min="15" max="15" width="15.44140625" style="13" customWidth="1"/>
    <col min="16" max="18" width="8.88671875" style="13"/>
    <col min="19" max="19" width="11.6640625" style="13" bestFit="1" customWidth="1"/>
    <col min="20" max="16384" width="8.88671875" style="13"/>
  </cols>
  <sheetData>
    <row r="1" spans="1:15" ht="31.65" customHeight="1" x14ac:dyDescent="0.25">
      <c r="A1" s="116" t="s">
        <v>28</v>
      </c>
      <c r="B1" s="125" t="s">
        <v>144</v>
      </c>
      <c r="C1" s="123" t="s">
        <v>154</v>
      </c>
      <c r="D1" s="124"/>
      <c r="E1" s="127" t="s">
        <v>145</v>
      </c>
      <c r="F1" s="127" t="s">
        <v>155</v>
      </c>
      <c r="G1" s="127" t="s">
        <v>156</v>
      </c>
      <c r="H1" s="127" t="s">
        <v>150</v>
      </c>
      <c r="I1" s="127" t="s">
        <v>151</v>
      </c>
      <c r="J1" s="127" t="s">
        <v>157</v>
      </c>
      <c r="K1" s="121" t="s">
        <v>191</v>
      </c>
    </row>
    <row r="2" spans="1:15" ht="24.6" customHeight="1" x14ac:dyDescent="0.25">
      <c r="A2" s="117"/>
      <c r="B2" s="126"/>
      <c r="C2" s="22" t="s">
        <v>158</v>
      </c>
      <c r="D2" s="22" t="s">
        <v>159</v>
      </c>
      <c r="E2" s="128"/>
      <c r="F2" s="128"/>
      <c r="G2" s="128"/>
      <c r="H2" s="128"/>
      <c r="I2" s="128"/>
      <c r="J2" s="128"/>
      <c r="K2" s="122"/>
    </row>
    <row r="3" spans="1:15" ht="14.4" x14ac:dyDescent="0.3">
      <c r="A3" s="19">
        <v>1</v>
      </c>
      <c r="B3" s="19">
        <v>2</v>
      </c>
      <c r="C3" s="19">
        <v>3</v>
      </c>
      <c r="D3" s="19">
        <v>4</v>
      </c>
      <c r="E3" s="19">
        <v>5</v>
      </c>
      <c r="F3" s="19">
        <v>6</v>
      </c>
      <c r="G3" s="19">
        <v>7</v>
      </c>
      <c r="H3" s="19">
        <v>8</v>
      </c>
      <c r="I3" s="19">
        <v>9</v>
      </c>
      <c r="J3" s="19">
        <v>10</v>
      </c>
      <c r="K3" s="19">
        <v>11</v>
      </c>
      <c r="M3" s="1" t="s">
        <v>188</v>
      </c>
      <c r="N3" s="5"/>
      <c r="O3" s="1" t="s">
        <v>353</v>
      </c>
    </row>
    <row r="4" spans="1:15" ht="14.4" x14ac:dyDescent="0.3">
      <c r="A4" s="19" t="s">
        <v>160</v>
      </c>
      <c r="B4" s="18">
        <f>'Исходные данные'!I3</f>
        <v>4</v>
      </c>
      <c r="C4" s="23"/>
      <c r="D4" s="18"/>
      <c r="E4" s="20">
        <f>'Исходные данные'!$B$24*'Исходные данные'!$E$11</f>
        <v>207.73028571428571</v>
      </c>
      <c r="F4" s="18"/>
      <c r="G4" s="18"/>
      <c r="H4" s="18"/>
      <c r="I4" s="18"/>
      <c r="J4" s="18"/>
      <c r="K4" s="18">
        <f>J5+J6</f>
        <v>7675530.1919999998</v>
      </c>
      <c r="L4" s="16"/>
      <c r="M4" s="1">
        <f>'Исходные данные'!$D8</f>
        <v>1</v>
      </c>
      <c r="N4" s="1">
        <f>'Исходные данные'!$E8</f>
        <v>1</v>
      </c>
      <c r="O4" s="3">
        <f>'Исходные данные'!$B$24*'Расчёт ФОТ'!$N4</f>
        <v>128.22857142857143</v>
      </c>
    </row>
    <row r="5" spans="1:15" ht="14.4" x14ac:dyDescent="0.3">
      <c r="A5" s="19" t="s">
        <v>161</v>
      </c>
      <c r="B5" s="18"/>
      <c r="C5" s="23">
        <f>'Исходные данные'!J3</f>
        <v>1.8</v>
      </c>
      <c r="D5" s="18">
        <f>'Исходные данные'!$C$4*C5</f>
        <v>9990</v>
      </c>
      <c r="E5" s="20"/>
      <c r="F5" s="18">
        <f>D5*E$4*'Исходные данные'!$B$25</f>
        <v>2594031.9428571425</v>
      </c>
      <c r="G5" s="18">
        <f>0.35*F5</f>
        <v>907911.17999999982</v>
      </c>
      <c r="H5" s="18">
        <f>F5+G5</f>
        <v>3501943.1228571422</v>
      </c>
      <c r="I5" s="18">
        <f>'Исходные данные'!$B$4*$H5/100</f>
        <v>525291.46842857136</v>
      </c>
      <c r="J5" s="18">
        <f>H5+I5</f>
        <v>4027234.5912857135</v>
      </c>
      <c r="K5" s="19"/>
      <c r="M5" s="1">
        <f>'Исходные данные'!$D9</f>
        <v>2</v>
      </c>
      <c r="N5" s="1">
        <f>'Исходные данные'!$E9</f>
        <v>1.24</v>
      </c>
      <c r="O5" s="3">
        <f>'Исходные данные'!$B$24*'Расчёт ФОТ'!$N5</f>
        <v>159.00342857142857</v>
      </c>
    </row>
    <row r="6" spans="1:15" ht="15" thickBot="1" x14ac:dyDescent="0.35">
      <c r="A6" s="27" t="s">
        <v>162</v>
      </c>
      <c r="B6" s="28"/>
      <c r="C6" s="29">
        <f>'Исходные данные'!K3</f>
        <v>2.5</v>
      </c>
      <c r="D6" s="28">
        <f>'Исходные данные'!$E$4*C6</f>
        <v>9050</v>
      </c>
      <c r="E6" s="33"/>
      <c r="F6" s="28">
        <f>D6*E$4*'Исходные данные'!$B$25</f>
        <v>2349948.8571428573</v>
      </c>
      <c r="G6" s="28">
        <f>0.35*F6</f>
        <v>822482.1</v>
      </c>
      <c r="H6" s="28">
        <f t="shared" ref="H6:H18" si="0">F6+G6</f>
        <v>3172430.9571428574</v>
      </c>
      <c r="I6" s="18">
        <f>'Исходные данные'!$B$4*$H6/100</f>
        <v>475864.64357142861</v>
      </c>
      <c r="J6" s="28">
        <f t="shared" ref="J6:J18" si="1">H6+I6</f>
        <v>3648295.6007142859</v>
      </c>
      <c r="K6" s="27"/>
      <c r="M6" s="1">
        <f>'Исходные данные'!$D10</f>
        <v>3</v>
      </c>
      <c r="N6" s="1">
        <f>'Исходные данные'!$E10</f>
        <v>1.45</v>
      </c>
      <c r="O6" s="3">
        <f>'Исходные данные'!$B$24*'Расчёт ФОТ'!$N6</f>
        <v>185.93142857142857</v>
      </c>
    </row>
    <row r="7" spans="1:15" ht="14.4" x14ac:dyDescent="0.3">
      <c r="A7" s="30" t="s">
        <v>163</v>
      </c>
      <c r="B7" s="31">
        <f>'Исходные данные'!I4</f>
        <v>4</v>
      </c>
      <c r="C7" s="32"/>
      <c r="D7" s="31"/>
      <c r="E7" s="34">
        <f>'Исходные данные'!$B$24*'Исходные данные'!$E$11</f>
        <v>207.73028571428571</v>
      </c>
      <c r="F7" s="25"/>
      <c r="G7" s="31"/>
      <c r="H7" s="31"/>
      <c r="I7" s="31"/>
      <c r="J7" s="31"/>
      <c r="K7" s="31">
        <f>J8+J9</f>
        <v>9601669.018542856</v>
      </c>
      <c r="M7" s="1">
        <f>'Исходные данные'!$D11</f>
        <v>4</v>
      </c>
      <c r="N7" s="1">
        <f>'Исходные данные'!$E11</f>
        <v>1.62</v>
      </c>
      <c r="O7" s="3">
        <f>'Исходные данные'!$B$24*'Расчёт ФОТ'!$N7</f>
        <v>207.73028571428571</v>
      </c>
    </row>
    <row r="8" spans="1:15" ht="14.4" x14ac:dyDescent="0.3">
      <c r="A8" s="19" t="s">
        <v>161</v>
      </c>
      <c r="B8" s="18"/>
      <c r="C8" s="23">
        <f>'Исходные данные'!J4</f>
        <v>2.4</v>
      </c>
      <c r="D8" s="18">
        <f>'Исходные данные'!$C$4*C8</f>
        <v>13320</v>
      </c>
      <c r="E8" s="20"/>
      <c r="F8" s="18">
        <f>D8*E$7*'Исходные данные'!$B$25</f>
        <v>3458709.2571428567</v>
      </c>
      <c r="G8" s="18">
        <f>0.35*F8</f>
        <v>1210548.2399999998</v>
      </c>
      <c r="H8" s="18">
        <f t="shared" si="0"/>
        <v>4669257.4971428569</v>
      </c>
      <c r="I8" s="18">
        <f>'Исходные данные'!$B$4*$H8/100</f>
        <v>700388.62457142863</v>
      </c>
      <c r="J8" s="18">
        <f t="shared" si="1"/>
        <v>5369646.1217142856</v>
      </c>
      <c r="K8" s="19"/>
      <c r="M8" s="1">
        <f>'Исходные данные'!$D12</f>
        <v>5</v>
      </c>
      <c r="N8" s="1">
        <f>'Исходные данные'!$E12</f>
        <v>1.76</v>
      </c>
      <c r="O8" s="3">
        <f>'Исходные данные'!$B$24*'Расчёт ФОТ'!$N8</f>
        <v>225.68228571428571</v>
      </c>
    </row>
    <row r="9" spans="1:15" ht="15" thickBot="1" x14ac:dyDescent="0.35">
      <c r="A9" s="27" t="s">
        <v>162</v>
      </c>
      <c r="B9" s="28"/>
      <c r="C9" s="29">
        <f>'Исходные данные'!K4</f>
        <v>2.9</v>
      </c>
      <c r="D9" s="28">
        <f>'Исходные данные'!$E$4*C9</f>
        <v>10498</v>
      </c>
      <c r="E9" s="33"/>
      <c r="F9" s="28">
        <f>D9*E$7*'Исходные данные'!$B$25</f>
        <v>2725940.674285714</v>
      </c>
      <c r="G9" s="28">
        <f t="shared" ref="G9:G18" si="2">0.35*F9</f>
        <v>954079.2359999998</v>
      </c>
      <c r="H9" s="28">
        <f t="shared" si="0"/>
        <v>3680019.9102857141</v>
      </c>
      <c r="I9" s="28">
        <f>'Исходные данные'!$B$4*$H9/100</f>
        <v>552002.98654285714</v>
      </c>
      <c r="J9" s="28">
        <f t="shared" si="1"/>
        <v>4232022.8968285713</v>
      </c>
      <c r="K9" s="27"/>
      <c r="M9" s="1">
        <f>'Исходные данные'!$D13</f>
        <v>6</v>
      </c>
      <c r="N9" s="1">
        <f>'Исходные данные'!$E13</f>
        <v>1.9</v>
      </c>
      <c r="O9" s="3">
        <f>'Исходные данные'!$B$24*'Расчёт ФОТ'!$N9</f>
        <v>243.63428571428571</v>
      </c>
    </row>
    <row r="10" spans="1:15" ht="14.4" x14ac:dyDescent="0.3">
      <c r="A10" s="24" t="s">
        <v>164</v>
      </c>
      <c r="B10" s="25">
        <f>'Исходные данные'!I5</f>
        <v>3</v>
      </c>
      <c r="C10" s="26"/>
      <c r="D10" s="25"/>
      <c r="E10" s="35">
        <f>'Исходные данные'!$B$24*'Исходные данные'!$E$10</f>
        <v>185.93142857142857</v>
      </c>
      <c r="F10" s="25"/>
      <c r="G10" s="25"/>
      <c r="H10" s="25"/>
      <c r="I10" s="25"/>
      <c r="J10" s="25"/>
      <c r="K10" s="25">
        <f>J11+J12</f>
        <v>15141944.688750003</v>
      </c>
      <c r="M10" s="1">
        <f>'Исходные данные'!$D14</f>
        <v>7</v>
      </c>
      <c r="N10" s="1">
        <f>'Исходные данные'!$E14</f>
        <v>2.15</v>
      </c>
      <c r="O10" s="3">
        <f>'Исходные данные'!$B$24*'Расчёт ФОТ'!$N10</f>
        <v>275.69142857142856</v>
      </c>
    </row>
    <row r="11" spans="1:15" ht="14.4" x14ac:dyDescent="0.3">
      <c r="A11" s="19" t="s">
        <v>161</v>
      </c>
      <c r="B11" s="18"/>
      <c r="C11" s="23">
        <f>'Исходные данные'!J5</f>
        <v>4.3</v>
      </c>
      <c r="D11" s="18">
        <f>'Исходные данные'!$C$4*C11</f>
        <v>23865</v>
      </c>
      <c r="E11" s="20"/>
      <c r="F11" s="18">
        <f>D11*E$10*'Исходные данные'!$B$25</f>
        <v>5546566.9285714291</v>
      </c>
      <c r="G11" s="18">
        <f>0.35*F11</f>
        <v>1941298.425</v>
      </c>
      <c r="H11" s="18">
        <f>F11+G11</f>
        <v>7487865.3535714289</v>
      </c>
      <c r="I11" s="18">
        <f>'Исходные данные'!$B$4*$H11/100</f>
        <v>1123179.8030357144</v>
      </c>
      <c r="J11" s="18">
        <f>H11+I11</f>
        <v>8611045.1566071436</v>
      </c>
      <c r="K11" s="19"/>
      <c r="M11" s="1">
        <f>'Исходные данные'!$D15</f>
        <v>8</v>
      </c>
      <c r="N11" s="1">
        <f>'Исходные данные'!$E15</f>
        <v>2.39</v>
      </c>
      <c r="O11" s="3">
        <f>'Исходные данные'!$B$24*'Расчёт ФОТ'!$N11</f>
        <v>306.46628571428573</v>
      </c>
    </row>
    <row r="12" spans="1:15" ht="13.65" customHeight="1" thickBot="1" x14ac:dyDescent="0.3">
      <c r="A12" s="27" t="s">
        <v>162</v>
      </c>
      <c r="B12" s="28"/>
      <c r="C12" s="29">
        <f>'Исходные данные'!K5</f>
        <v>5</v>
      </c>
      <c r="D12" s="28">
        <f>'Исходные данные'!$E$4*C12</f>
        <v>18100</v>
      </c>
      <c r="E12" s="33"/>
      <c r="F12" s="28">
        <f>D12*E$10*'Исходные данные'!$B$25</f>
        <v>4206698.5714285718</v>
      </c>
      <c r="G12" s="28">
        <f t="shared" si="2"/>
        <v>1472344.5</v>
      </c>
      <c r="H12" s="28">
        <f t="shared" si="0"/>
        <v>5679043.0714285718</v>
      </c>
      <c r="I12" s="28">
        <f>'Исходные данные'!$B$4*$H12/100</f>
        <v>851856.46071428584</v>
      </c>
      <c r="J12" s="28">
        <f t="shared" si="1"/>
        <v>6530899.532142858</v>
      </c>
      <c r="K12" s="27"/>
    </row>
    <row r="13" spans="1:15" ht="13.65" customHeight="1" x14ac:dyDescent="0.25">
      <c r="A13" s="24" t="s">
        <v>165</v>
      </c>
      <c r="B13" s="25">
        <f>'Исходные данные'!I6</f>
        <v>5</v>
      </c>
      <c r="C13" s="26"/>
      <c r="D13" s="25"/>
      <c r="E13" s="35">
        <f>'Исходные данные'!$B$24*'Исходные данные'!$E$12</f>
        <v>225.68228571428571</v>
      </c>
      <c r="F13" s="25"/>
      <c r="G13" s="25"/>
      <c r="H13" s="25"/>
      <c r="I13" s="25"/>
      <c r="J13" s="25"/>
      <c r="K13" s="25">
        <f>J14+J15</f>
        <v>31019724.795085713</v>
      </c>
    </row>
    <row r="14" spans="1:15" x14ac:dyDescent="0.25">
      <c r="A14" s="19" t="s">
        <v>161</v>
      </c>
      <c r="B14" s="18"/>
      <c r="C14" s="23">
        <f>'Исходные данные'!J6</f>
        <v>6.5</v>
      </c>
      <c r="D14" s="18">
        <f>'Исходные данные'!$C$4*C14</f>
        <v>36075</v>
      </c>
      <c r="E14" s="20"/>
      <c r="F14" s="18">
        <f>D14*E$13*'Исходные данные'!$B$25</f>
        <v>10176860.571428571</v>
      </c>
      <c r="G14" s="18">
        <f t="shared" si="2"/>
        <v>3561901.1999999997</v>
      </c>
      <c r="H14" s="18">
        <f t="shared" si="0"/>
        <v>13738761.77142857</v>
      </c>
      <c r="I14" s="18">
        <f>'Исходные данные'!$B$4*$H14/100</f>
        <v>2060814.2657142854</v>
      </c>
      <c r="J14" s="18">
        <f t="shared" si="1"/>
        <v>15799576.037142856</v>
      </c>
      <c r="K14" s="19"/>
    </row>
    <row r="15" spans="1:15" ht="14.4" thickBot="1" x14ac:dyDescent="0.3">
      <c r="A15" s="27" t="s">
        <v>162</v>
      </c>
      <c r="B15" s="28"/>
      <c r="C15" s="29">
        <f>'Исходные данные'!K6</f>
        <v>9.6</v>
      </c>
      <c r="D15" s="28">
        <f>'Исходные данные'!$E$4*C15</f>
        <v>34752</v>
      </c>
      <c r="E15" s="33"/>
      <c r="F15" s="28">
        <f>D15*E$13*'Исходные данные'!$B$25</f>
        <v>9803638.4914285708</v>
      </c>
      <c r="G15" s="28">
        <f t="shared" si="2"/>
        <v>3431273.4719999996</v>
      </c>
      <c r="H15" s="28">
        <f t="shared" si="0"/>
        <v>13234911.96342857</v>
      </c>
      <c r="I15" s="28">
        <f>'Исходные данные'!$B$4*$H15/100</f>
        <v>1985236.7945142856</v>
      </c>
      <c r="J15" s="28">
        <f>H15+I15</f>
        <v>15220148.757942855</v>
      </c>
      <c r="K15" s="27"/>
    </row>
    <row r="16" spans="1:15" x14ac:dyDescent="0.25">
      <c r="A16" s="24" t="s">
        <v>166</v>
      </c>
      <c r="B16" s="25">
        <f>'Исходные данные'!I7</f>
        <v>3</v>
      </c>
      <c r="C16" s="26"/>
      <c r="D16" s="25"/>
      <c r="E16" s="35">
        <f>'Исходные данные'!$B$24*'Исходные данные'!$E$10</f>
        <v>185.93142857142857</v>
      </c>
      <c r="F16" s="25"/>
      <c r="G16" s="25"/>
      <c r="H16" s="25"/>
      <c r="I16" s="25"/>
      <c r="J16" s="25"/>
      <c r="K16" s="25">
        <f>J17+J18</f>
        <v>1784992.264392857</v>
      </c>
      <c r="L16" s="14"/>
      <c r="M16" s="15"/>
    </row>
    <row r="17" spans="1:13" x14ac:dyDescent="0.25">
      <c r="A17" s="19" t="s">
        <v>161</v>
      </c>
      <c r="B17" s="18"/>
      <c r="C17" s="23">
        <f>'Исходные данные'!J7</f>
        <v>0.5</v>
      </c>
      <c r="D17" s="18">
        <f>'Исходные данные'!$C$4*C17</f>
        <v>2775</v>
      </c>
      <c r="E17" s="20"/>
      <c r="F17" s="18">
        <f>D17*E$16*'Исходные данные'!$B$25</f>
        <v>644949.64285714284</v>
      </c>
      <c r="G17" s="18">
        <f>0.35*F17</f>
        <v>225732.37499999997</v>
      </c>
      <c r="H17" s="18">
        <f t="shared" si="0"/>
        <v>870682.01785714284</v>
      </c>
      <c r="I17" s="18">
        <f>'Исходные данные'!$B$4*$H17/100</f>
        <v>130602.30267857142</v>
      </c>
      <c r="J17" s="18">
        <f>H17+I17</f>
        <v>1001284.3205357143</v>
      </c>
      <c r="K17" s="19"/>
      <c r="L17" s="14"/>
      <c r="M17" s="15"/>
    </row>
    <row r="18" spans="1:13" ht="14.4" thickBot="1" x14ac:dyDescent="0.3">
      <c r="A18" s="27" t="s">
        <v>162</v>
      </c>
      <c r="B18" s="28"/>
      <c r="C18" s="29">
        <f>'Исходные данные'!K7</f>
        <v>0.6</v>
      </c>
      <c r="D18" s="28">
        <f>'Исходные данные'!$E$4*C18</f>
        <v>2172</v>
      </c>
      <c r="E18" s="33"/>
      <c r="F18" s="28">
        <f>D18*E$16*'Исходные данные'!$B$25</f>
        <v>504803.82857142854</v>
      </c>
      <c r="G18" s="28">
        <f t="shared" si="2"/>
        <v>176681.33999999997</v>
      </c>
      <c r="H18" s="28">
        <f t="shared" si="0"/>
        <v>681485.16857142851</v>
      </c>
      <c r="I18" s="28">
        <f>'Исходные данные'!$B$4*$H18/100</f>
        <v>102222.77528571426</v>
      </c>
      <c r="J18" s="28">
        <f t="shared" si="1"/>
        <v>783707.94385714282</v>
      </c>
      <c r="K18" s="27"/>
      <c r="L18" s="14"/>
      <c r="M18" s="15"/>
    </row>
    <row r="19" spans="1:13" x14ac:dyDescent="0.25">
      <c r="A19" s="24" t="s">
        <v>167</v>
      </c>
      <c r="B19" s="25"/>
      <c r="C19" s="26"/>
      <c r="D19" s="25"/>
      <c r="E19" s="20">
        <f>SUM(E4,E7,E10,E13,E16)</f>
        <v>1013.0057142857144</v>
      </c>
      <c r="F19" s="25"/>
      <c r="G19" s="25"/>
      <c r="H19" s="25"/>
      <c r="I19" s="25"/>
      <c r="J19" s="25"/>
      <c r="K19" s="25">
        <f>J20+J21</f>
        <v>65223860.958771423</v>
      </c>
    </row>
    <row r="20" spans="1:13" x14ac:dyDescent="0.25">
      <c r="A20" s="19" t="s">
        <v>168</v>
      </c>
      <c r="B20" s="18"/>
      <c r="C20" s="21">
        <f>SUM(C5,C8,C11,C14,C17)</f>
        <v>15.5</v>
      </c>
      <c r="D20" s="18">
        <f>SUM(D5,D8,D11,D14,D17)</f>
        <v>86025</v>
      </c>
      <c r="F20" s="18">
        <f>SUM(F5,F8,F11,F14,F17)</f>
        <v>22421118.342857141</v>
      </c>
      <c r="G20" s="18">
        <f t="shared" ref="G20:J21" si="3">SUM(G5,G8,G11,G14,G17)</f>
        <v>7847391.4199999999</v>
      </c>
      <c r="H20" s="18">
        <f t="shared" si="3"/>
        <v>30268509.762857139</v>
      </c>
      <c r="I20" s="18">
        <f t="shared" si="3"/>
        <v>4540276.4644285711</v>
      </c>
      <c r="J20" s="18">
        <f t="shared" si="3"/>
        <v>34808786.227285713</v>
      </c>
      <c r="K20" s="19"/>
    </row>
    <row r="21" spans="1:13" x14ac:dyDescent="0.25">
      <c r="A21" s="19" t="s">
        <v>169</v>
      </c>
      <c r="B21" s="18"/>
      <c r="C21" s="21">
        <f>SUM(C6,C9,C12,C15,C18)</f>
        <v>20.6</v>
      </c>
      <c r="D21" s="18">
        <f>SUM(D6,D9,D12,D15,D18)</f>
        <v>74572</v>
      </c>
      <c r="E21" s="18"/>
      <c r="F21" s="18">
        <f>SUM(F6,F9,F12,F15,F18)</f>
        <v>19591030.422857139</v>
      </c>
      <c r="G21" s="18">
        <f t="shared" si="3"/>
        <v>6856860.6479999991</v>
      </c>
      <c r="H21" s="18">
        <f>SUM(H6,H9,H12,H15,H18)</f>
        <v>26447891.070857137</v>
      </c>
      <c r="I21" s="18">
        <f t="shared" si="3"/>
        <v>3967183.6606285712</v>
      </c>
      <c r="J21" s="18">
        <f t="shared" si="3"/>
        <v>30415074.731485713</v>
      </c>
      <c r="K21" s="19"/>
    </row>
    <row r="23" spans="1:13" ht="118.8" x14ac:dyDescent="0.25">
      <c r="A23" s="81" t="s">
        <v>143</v>
      </c>
      <c r="B23" s="80" t="s">
        <v>144</v>
      </c>
      <c r="C23" s="80" t="s">
        <v>145</v>
      </c>
      <c r="D23" s="80" t="s">
        <v>146</v>
      </c>
      <c r="E23" s="80" t="s">
        <v>147</v>
      </c>
      <c r="F23" s="80" t="s">
        <v>148</v>
      </c>
      <c r="G23" s="80" t="s">
        <v>149</v>
      </c>
      <c r="H23" s="80" t="s">
        <v>150</v>
      </c>
      <c r="I23" s="80" t="s">
        <v>151</v>
      </c>
      <c r="J23" s="80" t="s">
        <v>152</v>
      </c>
    </row>
    <row r="24" spans="1:13" x14ac:dyDescent="0.25">
      <c r="A24" s="81">
        <v>1</v>
      </c>
      <c r="B24" s="81">
        <v>2</v>
      </c>
      <c r="C24" s="81">
        <v>3</v>
      </c>
      <c r="D24" s="81">
        <v>4</v>
      </c>
      <c r="E24" s="81">
        <v>5</v>
      </c>
      <c r="F24" s="81">
        <v>6</v>
      </c>
      <c r="G24" s="81">
        <v>7</v>
      </c>
      <c r="H24" s="81">
        <v>8</v>
      </c>
      <c r="I24" s="81">
        <v>9</v>
      </c>
      <c r="J24" s="81">
        <v>10</v>
      </c>
    </row>
    <row r="25" spans="1:13" x14ac:dyDescent="0.25">
      <c r="A25" s="81" t="str">
        <f>'Численность персонала'!$H3</f>
        <v>Наладчик оборудования</v>
      </c>
      <c r="B25" s="81">
        <f>'Численность персонала'!$K3</f>
        <v>5</v>
      </c>
      <c r="C25" s="83">
        <f>'Исходные данные'!$B$24*'Исходные данные'!E12</f>
        <v>225.68228571428571</v>
      </c>
      <c r="D25" s="118">
        <v>1768</v>
      </c>
      <c r="E25" s="82">
        <f>'Численность персонала'!$I3</f>
        <v>3</v>
      </c>
      <c r="F25" s="82">
        <f>C25*$D$25*E25*'Исходные данные'!$B$25</f>
        <v>1496273.5542857144</v>
      </c>
      <c r="G25" s="82">
        <f>0.35*F25</f>
        <v>523695.74400000001</v>
      </c>
      <c r="H25" s="82">
        <f>F25+G25</f>
        <v>2019969.2982857144</v>
      </c>
      <c r="I25" s="82">
        <f>0.1*H25</f>
        <v>201996.92982857145</v>
      </c>
      <c r="J25" s="82">
        <f>H25+I25</f>
        <v>2221966.228114286</v>
      </c>
    </row>
    <row r="26" spans="1:13" ht="27.6" x14ac:dyDescent="0.25">
      <c r="A26" s="86" t="str">
        <f>'Численность персонала'!$H4</f>
        <v>Техник по обсл. подъемно-трансп. обор.</v>
      </c>
      <c r="B26" s="81">
        <f>'Численность персонала'!$K4</f>
        <v>4</v>
      </c>
      <c r="C26" s="83">
        <f>'Исходные данные'!$B$24*'Исходные данные'!E11</f>
        <v>207.73028571428571</v>
      </c>
      <c r="D26" s="119"/>
      <c r="E26" s="82">
        <f>'Численность персонала'!$I4</f>
        <v>2</v>
      </c>
      <c r="F26" s="82">
        <f t="shared" ref="F26:F31" si="4">C26*$D$25*E26*1.25</f>
        <v>918167.86285714293</v>
      </c>
      <c r="G26" s="82">
        <f t="shared" ref="G26:G31" si="5">0.35*F26</f>
        <v>321358.75199999998</v>
      </c>
      <c r="H26" s="82">
        <f t="shared" ref="H26:H31" si="6">F26+G26</f>
        <v>1239526.6148571428</v>
      </c>
      <c r="I26" s="82">
        <f t="shared" ref="I26:I31" si="7">0.1*H26</f>
        <v>123952.66148571428</v>
      </c>
      <c r="J26" s="82">
        <f t="shared" ref="J26:J31" si="8">H26+I26</f>
        <v>1363479.2763428572</v>
      </c>
    </row>
    <row r="27" spans="1:13" ht="27.6" x14ac:dyDescent="0.25">
      <c r="A27" s="86" t="str">
        <f>'Численность персонала'!$H5</f>
        <v>Слесари по рем. инстр. и приспособл.</v>
      </c>
      <c r="B27" s="81">
        <f>'Численность персонала'!$K5</f>
        <v>5</v>
      </c>
      <c r="C27" s="83">
        <f>'Исходные данные'!$B$24*'Исходные данные'!E12</f>
        <v>225.68228571428571</v>
      </c>
      <c r="D27" s="119"/>
      <c r="E27" s="82">
        <f>'Численность персонала'!$I5</f>
        <v>2</v>
      </c>
      <c r="F27" s="82">
        <f t="shared" si="4"/>
        <v>997515.7028571429</v>
      </c>
      <c r="G27" s="82">
        <f t="shared" si="5"/>
        <v>349130.49599999998</v>
      </c>
      <c r="H27" s="82">
        <f t="shared" si="6"/>
        <v>1346646.1988571428</v>
      </c>
      <c r="I27" s="82">
        <f t="shared" si="7"/>
        <v>134664.61988571429</v>
      </c>
      <c r="J27" s="82">
        <f t="shared" si="8"/>
        <v>1481310.8187428571</v>
      </c>
    </row>
    <row r="28" spans="1:13" ht="27.6" x14ac:dyDescent="0.25">
      <c r="A28" s="86" t="str">
        <f>'Численность персонала'!$H6</f>
        <v>Водитель транспортных стредств</v>
      </c>
      <c r="B28" s="81">
        <f>'Численность персонала'!$K6</f>
        <v>4</v>
      </c>
      <c r="C28" s="83">
        <f>'Исходные данные'!$B$24*'Исходные данные'!E11</f>
        <v>207.73028571428571</v>
      </c>
      <c r="D28" s="119"/>
      <c r="E28" s="82">
        <f>'Численность персонала'!$I6</f>
        <v>2</v>
      </c>
      <c r="F28" s="82">
        <f t="shared" si="4"/>
        <v>918167.86285714293</v>
      </c>
      <c r="G28" s="82">
        <f t="shared" si="5"/>
        <v>321358.75199999998</v>
      </c>
      <c r="H28" s="82">
        <f t="shared" si="6"/>
        <v>1239526.6148571428</v>
      </c>
      <c r="I28" s="82">
        <f t="shared" si="7"/>
        <v>123952.66148571428</v>
      </c>
      <c r="J28" s="82">
        <f t="shared" si="8"/>
        <v>1363479.2763428572</v>
      </c>
    </row>
    <row r="29" spans="1:13" ht="27.6" x14ac:dyDescent="0.25">
      <c r="A29" s="86" t="str">
        <f>'Численность персонала'!$H7</f>
        <v>Разнораб., занятый на скл. и трансп. раб.</v>
      </c>
      <c r="B29" s="81">
        <f>'Численность персонала'!$K7</f>
        <v>3</v>
      </c>
      <c r="C29" s="83">
        <f>'Исходные данные'!$B$24*'Исходные данные'!E10</f>
        <v>185.93142857142857</v>
      </c>
      <c r="D29" s="119"/>
      <c r="E29" s="82">
        <f>'Численность персонала'!$I7</f>
        <v>2</v>
      </c>
      <c r="F29" s="82">
        <f t="shared" si="4"/>
        <v>821816.91428571427</v>
      </c>
      <c r="G29" s="82">
        <f>0.35*F29</f>
        <v>287635.92</v>
      </c>
      <c r="H29" s="82">
        <f t="shared" si="6"/>
        <v>1109452.8342857142</v>
      </c>
      <c r="I29" s="82">
        <f t="shared" si="7"/>
        <v>110945.28342857142</v>
      </c>
      <c r="J29" s="82">
        <f t="shared" si="8"/>
        <v>1220398.1177142856</v>
      </c>
    </row>
    <row r="30" spans="1:13" x14ac:dyDescent="0.25">
      <c r="A30" s="86" t="str">
        <f>'Численность персонала'!$H8</f>
        <v>Кладовщик инстр. завода</v>
      </c>
      <c r="B30" s="81">
        <f>'Численность персонала'!$K8</f>
        <v>3</v>
      </c>
      <c r="C30" s="83">
        <f>'Исходные данные'!$B$24*'Исходные данные'!$F$10</f>
        <v>203.88342857142857</v>
      </c>
      <c r="D30" s="119"/>
      <c r="E30" s="82">
        <f>'Численность персонала'!$I8</f>
        <v>2</v>
      </c>
      <c r="F30" s="82">
        <f>C30*$D$25*E30*1.25</f>
        <v>901164.75428571436</v>
      </c>
      <c r="G30" s="82">
        <f t="shared" si="5"/>
        <v>315407.66399999999</v>
      </c>
      <c r="H30" s="82">
        <f>F30+G30</f>
        <v>1216572.4182857145</v>
      </c>
      <c r="I30" s="82">
        <f t="shared" si="7"/>
        <v>121657.24182857145</v>
      </c>
      <c r="J30" s="82">
        <f>H30+I30</f>
        <v>1338229.660114286</v>
      </c>
    </row>
    <row r="31" spans="1:13" ht="27.6" x14ac:dyDescent="0.25">
      <c r="A31" s="86" t="str">
        <f>'Численность персонала'!$H9</f>
        <v>Кладовщик склада готовой продукции</v>
      </c>
      <c r="B31" s="81">
        <f>'Численность персонала'!$K9</f>
        <v>3</v>
      </c>
      <c r="C31" s="83">
        <f>'Исходные данные'!$B$24*'Исходные данные'!$F$10</f>
        <v>203.88342857142857</v>
      </c>
      <c r="D31" s="120"/>
      <c r="E31" s="82">
        <f>'Численность персонала'!$I9</f>
        <v>2</v>
      </c>
      <c r="F31" s="82">
        <f t="shared" si="4"/>
        <v>901164.75428571436</v>
      </c>
      <c r="G31" s="82">
        <f t="shared" si="5"/>
        <v>315407.66399999999</v>
      </c>
      <c r="H31" s="82">
        <f t="shared" si="6"/>
        <v>1216572.4182857145</v>
      </c>
      <c r="I31" s="82">
        <f t="shared" si="7"/>
        <v>121657.24182857145</v>
      </c>
      <c r="J31" s="82">
        <f t="shared" si="8"/>
        <v>1338229.660114286</v>
      </c>
    </row>
    <row r="32" spans="1:13" x14ac:dyDescent="0.25">
      <c r="A32" s="100" t="s">
        <v>153</v>
      </c>
      <c r="B32" s="81"/>
      <c r="C32" s="83">
        <f>SUM(C25:C31)</f>
        <v>1460.5234285714287</v>
      </c>
      <c r="D32" s="83"/>
      <c r="E32" s="82">
        <f>'Численность персонала'!$I10</f>
        <v>15</v>
      </c>
      <c r="F32" s="82">
        <f>SUM(F25:F31)</f>
        <v>6954271.4057142865</v>
      </c>
      <c r="G32" s="82">
        <f>SUM(G25:G31)</f>
        <v>2433994.9919999996</v>
      </c>
      <c r="H32" s="82">
        <f>SUM(H25:H31)</f>
        <v>9388266.3977142852</v>
      </c>
      <c r="I32" s="82">
        <f>SUM(I25:I31)</f>
        <v>938826.63977142854</v>
      </c>
      <c r="J32" s="82">
        <f>SUM(J25:J31)</f>
        <v>10327093.037485717</v>
      </c>
    </row>
    <row r="33" spans="1:11" x14ac:dyDescent="0.25">
      <c r="C33" s="17"/>
    </row>
    <row r="34" spans="1:11" ht="53.4" customHeight="1" x14ac:dyDescent="0.25">
      <c r="A34" s="101" t="s">
        <v>170</v>
      </c>
      <c r="B34" s="102" t="s">
        <v>194</v>
      </c>
      <c r="C34" s="102" t="s">
        <v>195</v>
      </c>
      <c r="D34" s="84" t="s">
        <v>196</v>
      </c>
      <c r="E34" s="85" t="s">
        <v>197</v>
      </c>
      <c r="F34" s="85" t="s">
        <v>171</v>
      </c>
      <c r="G34" s="85" t="s">
        <v>156</v>
      </c>
      <c r="H34" s="85" t="s">
        <v>150</v>
      </c>
      <c r="I34" s="85" t="s">
        <v>151</v>
      </c>
      <c r="J34" s="85" t="s">
        <v>172</v>
      </c>
      <c r="K34" s="85" t="s">
        <v>157</v>
      </c>
    </row>
    <row r="35" spans="1:11" x14ac:dyDescent="0.25">
      <c r="A35" s="81" t="s">
        <v>173</v>
      </c>
      <c r="B35" s="81">
        <v>15</v>
      </c>
      <c r="C35" s="81">
        <v>5.56</v>
      </c>
      <c r="D35" s="82">
        <f>'Исходные данные'!$B$13*C35</f>
        <v>124766.39999999999</v>
      </c>
      <c r="E35" s="82">
        <v>1</v>
      </c>
      <c r="F35" s="82">
        <f>D35*1.25</f>
        <v>155958</v>
      </c>
      <c r="G35" s="82">
        <f>0.35*F35</f>
        <v>54585.299999999996</v>
      </c>
      <c r="H35" s="82">
        <f>F35+G35</f>
        <v>210543.3</v>
      </c>
      <c r="I35" s="82">
        <f>0.1*H35</f>
        <v>21054.33</v>
      </c>
      <c r="J35" s="82">
        <f>H35+I35</f>
        <v>231597.63</v>
      </c>
      <c r="K35" s="82">
        <f>J35*E35*12</f>
        <v>2779171.56</v>
      </c>
    </row>
    <row r="36" spans="1:11" x14ac:dyDescent="0.25">
      <c r="A36" s="81" t="s">
        <v>209</v>
      </c>
      <c r="B36" s="81">
        <v>14</v>
      </c>
      <c r="C36" s="81">
        <v>5.32</v>
      </c>
      <c r="D36" s="82">
        <f>'Исходные данные'!$B$13*C36</f>
        <v>119380.8</v>
      </c>
      <c r="E36" s="82">
        <v>1</v>
      </c>
      <c r="F36" s="82">
        <f t="shared" ref="F36:F52" si="9">D36*1.25</f>
        <v>149226</v>
      </c>
      <c r="G36" s="82">
        <f t="shared" ref="G36:G52" si="10">0.35*F36</f>
        <v>52229.1</v>
      </c>
      <c r="H36" s="82">
        <f t="shared" ref="H36:H52" si="11">F36+G36</f>
        <v>201455.1</v>
      </c>
      <c r="I36" s="82">
        <f t="shared" ref="I36:I52" si="12">0.1*H36</f>
        <v>20145.510000000002</v>
      </c>
      <c r="J36" s="82">
        <f t="shared" ref="J36:J52" si="13">H36+I36</f>
        <v>221600.61000000002</v>
      </c>
      <c r="K36" s="82">
        <f t="shared" ref="K36:K52" si="14">J36*E36*12</f>
        <v>2659207.3200000003</v>
      </c>
    </row>
    <row r="37" spans="1:11" x14ac:dyDescent="0.25">
      <c r="A37" s="81" t="s">
        <v>174</v>
      </c>
      <c r="B37" s="81">
        <v>13</v>
      </c>
      <c r="C37" s="81">
        <v>4.7300000000000004</v>
      </c>
      <c r="D37" s="82">
        <f>'Исходные данные'!$B$13*C37</f>
        <v>106141.20000000001</v>
      </c>
      <c r="E37" s="82">
        <v>1</v>
      </c>
      <c r="F37" s="82">
        <f t="shared" si="9"/>
        <v>132676.5</v>
      </c>
      <c r="G37" s="82">
        <f t="shared" si="10"/>
        <v>46436.774999999994</v>
      </c>
      <c r="H37" s="82">
        <f t="shared" si="11"/>
        <v>179113.27499999999</v>
      </c>
      <c r="I37" s="82">
        <f t="shared" si="12"/>
        <v>17911.327499999999</v>
      </c>
      <c r="J37" s="82">
        <f t="shared" si="13"/>
        <v>197024.60249999998</v>
      </c>
      <c r="K37" s="82">
        <f t="shared" si="14"/>
        <v>2364295.2299999995</v>
      </c>
    </row>
    <row r="38" spans="1:11" x14ac:dyDescent="0.25">
      <c r="A38" s="81" t="s">
        <v>175</v>
      </c>
      <c r="B38" s="81">
        <v>10</v>
      </c>
      <c r="C38" s="81">
        <v>3.27</v>
      </c>
      <c r="D38" s="82">
        <f>'Исходные данные'!$B$13*C38</f>
        <v>73378.8</v>
      </c>
      <c r="E38" s="82">
        <v>1</v>
      </c>
      <c r="F38" s="82">
        <f t="shared" si="9"/>
        <v>91723.5</v>
      </c>
      <c r="G38" s="82">
        <f t="shared" si="10"/>
        <v>32103.224999999999</v>
      </c>
      <c r="H38" s="82">
        <f t="shared" si="11"/>
        <v>123826.72500000001</v>
      </c>
      <c r="I38" s="82">
        <f t="shared" si="12"/>
        <v>12382.672500000001</v>
      </c>
      <c r="J38" s="82">
        <f t="shared" si="13"/>
        <v>136209.39750000002</v>
      </c>
      <c r="K38" s="82">
        <f t="shared" si="14"/>
        <v>1634512.7700000003</v>
      </c>
    </row>
    <row r="39" spans="1:11" x14ac:dyDescent="0.25">
      <c r="A39" s="81" t="s">
        <v>176</v>
      </c>
      <c r="B39" s="81">
        <v>9</v>
      </c>
      <c r="C39" s="81">
        <v>2.91</v>
      </c>
      <c r="D39" s="82">
        <f>'Исходные данные'!$B$13*C39</f>
        <v>65300.4</v>
      </c>
      <c r="E39" s="82">
        <v>1</v>
      </c>
      <c r="F39" s="82">
        <f t="shared" si="9"/>
        <v>81625.5</v>
      </c>
      <c r="G39" s="82">
        <f t="shared" si="10"/>
        <v>28568.924999999999</v>
      </c>
      <c r="H39" s="82">
        <f t="shared" si="11"/>
        <v>110194.425</v>
      </c>
      <c r="I39" s="82">
        <f t="shared" si="12"/>
        <v>11019.442500000001</v>
      </c>
      <c r="J39" s="82">
        <f t="shared" si="13"/>
        <v>121213.86750000001</v>
      </c>
      <c r="K39" s="82">
        <f t="shared" si="14"/>
        <v>1454566.4100000001</v>
      </c>
    </row>
    <row r="40" spans="1:11" x14ac:dyDescent="0.25">
      <c r="A40" s="81" t="s">
        <v>177</v>
      </c>
      <c r="B40" s="81">
        <v>8</v>
      </c>
      <c r="C40" s="81">
        <v>2.54</v>
      </c>
      <c r="D40" s="82">
        <f>'Исходные данные'!$B$13*C40</f>
        <v>56997.599999999999</v>
      </c>
      <c r="E40" s="82">
        <v>1</v>
      </c>
      <c r="F40" s="82">
        <f t="shared" si="9"/>
        <v>71247</v>
      </c>
      <c r="G40" s="82">
        <f t="shared" si="10"/>
        <v>24936.449999999997</v>
      </c>
      <c r="H40" s="82">
        <f t="shared" si="11"/>
        <v>96183.45</v>
      </c>
      <c r="I40" s="82">
        <f t="shared" si="12"/>
        <v>9618.3449999999993</v>
      </c>
      <c r="J40" s="82">
        <f t="shared" si="13"/>
        <v>105801.795</v>
      </c>
      <c r="K40" s="82">
        <f t="shared" si="14"/>
        <v>1269621.54</v>
      </c>
    </row>
    <row r="41" spans="1:11" x14ac:dyDescent="0.25">
      <c r="A41" s="81" t="s">
        <v>178</v>
      </c>
      <c r="B41" s="81">
        <v>8</v>
      </c>
      <c r="C41" s="81">
        <v>2.54</v>
      </c>
      <c r="D41" s="82">
        <f>'Исходные данные'!$B$13*C41</f>
        <v>56997.599999999999</v>
      </c>
      <c r="E41" s="82">
        <v>1</v>
      </c>
      <c r="F41" s="82">
        <f t="shared" si="9"/>
        <v>71247</v>
      </c>
      <c r="G41" s="82">
        <f t="shared" si="10"/>
        <v>24936.449999999997</v>
      </c>
      <c r="H41" s="82">
        <f t="shared" si="11"/>
        <v>96183.45</v>
      </c>
      <c r="I41" s="82">
        <f t="shared" si="12"/>
        <v>9618.3449999999993</v>
      </c>
      <c r="J41" s="82">
        <f t="shared" si="13"/>
        <v>105801.795</v>
      </c>
      <c r="K41" s="82">
        <f t="shared" si="14"/>
        <v>1269621.54</v>
      </c>
    </row>
    <row r="42" spans="1:11" x14ac:dyDescent="0.25">
      <c r="A42" s="81" t="s">
        <v>179</v>
      </c>
      <c r="B42" s="81">
        <v>10</v>
      </c>
      <c r="C42" s="81">
        <v>3.27</v>
      </c>
      <c r="D42" s="82">
        <f>'Исходные данные'!$B$13*C42</f>
        <v>73378.8</v>
      </c>
      <c r="E42" s="82">
        <v>1</v>
      </c>
      <c r="F42" s="82">
        <f t="shared" si="9"/>
        <v>91723.5</v>
      </c>
      <c r="G42" s="82">
        <f t="shared" si="10"/>
        <v>32103.224999999999</v>
      </c>
      <c r="H42" s="82">
        <f t="shared" si="11"/>
        <v>123826.72500000001</v>
      </c>
      <c r="I42" s="82">
        <f t="shared" si="12"/>
        <v>12382.672500000001</v>
      </c>
      <c r="J42" s="82">
        <f t="shared" si="13"/>
        <v>136209.39750000002</v>
      </c>
      <c r="K42" s="82">
        <f t="shared" si="14"/>
        <v>1634512.7700000003</v>
      </c>
    </row>
    <row r="43" spans="1:11" x14ac:dyDescent="0.25">
      <c r="A43" s="81" t="s">
        <v>180</v>
      </c>
      <c r="B43" s="81">
        <v>9</v>
      </c>
      <c r="C43" s="81">
        <v>2.91</v>
      </c>
      <c r="D43" s="82">
        <f>'Исходные данные'!$B$13*C43</f>
        <v>65300.4</v>
      </c>
      <c r="E43" s="82">
        <v>1</v>
      </c>
      <c r="F43" s="82">
        <f t="shared" si="9"/>
        <v>81625.5</v>
      </c>
      <c r="G43" s="82">
        <f t="shared" si="10"/>
        <v>28568.924999999999</v>
      </c>
      <c r="H43" s="82">
        <f t="shared" si="11"/>
        <v>110194.425</v>
      </c>
      <c r="I43" s="82">
        <f t="shared" si="12"/>
        <v>11019.442500000001</v>
      </c>
      <c r="J43" s="82">
        <f t="shared" si="13"/>
        <v>121213.86750000001</v>
      </c>
      <c r="K43" s="82">
        <f t="shared" si="14"/>
        <v>1454566.4100000001</v>
      </c>
    </row>
    <row r="44" spans="1:11" x14ac:dyDescent="0.25">
      <c r="A44" s="81" t="s">
        <v>181</v>
      </c>
      <c r="B44" s="81">
        <v>10</v>
      </c>
      <c r="C44" s="81">
        <v>3.27</v>
      </c>
      <c r="D44" s="82">
        <f>'Исходные данные'!$B$13*C44</f>
        <v>73378.8</v>
      </c>
      <c r="E44" s="82">
        <v>1</v>
      </c>
      <c r="F44" s="82">
        <f t="shared" si="9"/>
        <v>91723.5</v>
      </c>
      <c r="G44" s="82">
        <f t="shared" si="10"/>
        <v>32103.224999999999</v>
      </c>
      <c r="H44" s="82">
        <f t="shared" si="11"/>
        <v>123826.72500000001</v>
      </c>
      <c r="I44" s="82">
        <f t="shared" si="12"/>
        <v>12382.672500000001</v>
      </c>
      <c r="J44" s="82">
        <f t="shared" si="13"/>
        <v>136209.39750000002</v>
      </c>
      <c r="K44" s="82">
        <f t="shared" si="14"/>
        <v>1634512.7700000003</v>
      </c>
    </row>
    <row r="45" spans="1:11" x14ac:dyDescent="0.25">
      <c r="A45" s="81" t="s">
        <v>182</v>
      </c>
      <c r="B45" s="81">
        <v>10</v>
      </c>
      <c r="C45" s="81">
        <v>3.27</v>
      </c>
      <c r="D45" s="82">
        <f>'Исходные данные'!$B$13*C45</f>
        <v>73378.8</v>
      </c>
      <c r="E45" s="82">
        <v>1</v>
      </c>
      <c r="F45" s="82">
        <f t="shared" si="9"/>
        <v>91723.5</v>
      </c>
      <c r="G45" s="82">
        <f t="shared" si="10"/>
        <v>32103.224999999999</v>
      </c>
      <c r="H45" s="82">
        <f t="shared" si="11"/>
        <v>123826.72500000001</v>
      </c>
      <c r="I45" s="82">
        <f t="shared" si="12"/>
        <v>12382.672500000001</v>
      </c>
      <c r="J45" s="82">
        <f t="shared" si="13"/>
        <v>136209.39750000002</v>
      </c>
      <c r="K45" s="82">
        <f t="shared" si="14"/>
        <v>1634512.7700000003</v>
      </c>
    </row>
    <row r="46" spans="1:11" x14ac:dyDescent="0.25">
      <c r="A46" s="81" t="s">
        <v>183</v>
      </c>
      <c r="B46" s="81">
        <v>11</v>
      </c>
      <c r="C46" s="81">
        <v>3.68</v>
      </c>
      <c r="D46" s="82">
        <f>'Исходные данные'!$B$13*C46</f>
        <v>82579.199999999997</v>
      </c>
      <c r="E46" s="82">
        <v>1</v>
      </c>
      <c r="F46" s="82">
        <f t="shared" si="9"/>
        <v>103224</v>
      </c>
      <c r="G46" s="82">
        <f t="shared" si="10"/>
        <v>36128.399999999994</v>
      </c>
      <c r="H46" s="82">
        <f t="shared" si="11"/>
        <v>139352.4</v>
      </c>
      <c r="I46" s="82">
        <f t="shared" si="12"/>
        <v>13935.24</v>
      </c>
      <c r="J46" s="82">
        <f t="shared" si="13"/>
        <v>153287.63999999998</v>
      </c>
      <c r="K46" s="82">
        <f t="shared" si="14"/>
        <v>1839451.6799999997</v>
      </c>
    </row>
    <row r="47" spans="1:11" x14ac:dyDescent="0.25">
      <c r="A47" s="81" t="s">
        <v>184</v>
      </c>
      <c r="B47" s="81">
        <v>8</v>
      </c>
      <c r="C47" s="81">
        <v>2.54</v>
      </c>
      <c r="D47" s="82">
        <f>'Исходные данные'!$B$13*C47</f>
        <v>56997.599999999999</v>
      </c>
      <c r="E47" s="82">
        <v>3</v>
      </c>
      <c r="F47" s="82">
        <f t="shared" si="9"/>
        <v>71247</v>
      </c>
      <c r="G47" s="82">
        <f t="shared" si="10"/>
        <v>24936.449999999997</v>
      </c>
      <c r="H47" s="82">
        <f t="shared" si="11"/>
        <v>96183.45</v>
      </c>
      <c r="I47" s="82">
        <f t="shared" si="12"/>
        <v>9618.3449999999993</v>
      </c>
      <c r="J47" s="82">
        <f t="shared" si="13"/>
        <v>105801.795</v>
      </c>
      <c r="K47" s="82">
        <f t="shared" si="14"/>
        <v>3808864.62</v>
      </c>
    </row>
    <row r="48" spans="1:11" x14ac:dyDescent="0.25">
      <c r="A48" s="81" t="s">
        <v>185</v>
      </c>
      <c r="B48" s="81">
        <v>7</v>
      </c>
      <c r="C48" s="81">
        <v>2.27</v>
      </c>
      <c r="D48" s="82">
        <f>'Исходные данные'!$B$13*C48</f>
        <v>50938.8</v>
      </c>
      <c r="E48" s="82">
        <v>2</v>
      </c>
      <c r="F48" s="82">
        <f t="shared" si="9"/>
        <v>63673.5</v>
      </c>
      <c r="G48" s="82">
        <f t="shared" si="10"/>
        <v>22285.724999999999</v>
      </c>
      <c r="H48" s="82">
        <f t="shared" si="11"/>
        <v>85959.225000000006</v>
      </c>
      <c r="I48" s="82">
        <f t="shared" si="12"/>
        <v>8595.9225000000006</v>
      </c>
      <c r="J48" s="82">
        <f t="shared" si="13"/>
        <v>94555.147500000006</v>
      </c>
      <c r="K48" s="82">
        <f t="shared" si="14"/>
        <v>2269323.54</v>
      </c>
    </row>
    <row r="49" spans="1:11" x14ac:dyDescent="0.25">
      <c r="A49" s="81" t="s">
        <v>186</v>
      </c>
      <c r="B49" s="81">
        <v>5</v>
      </c>
      <c r="C49" s="81">
        <v>1.82</v>
      </c>
      <c r="D49" s="82">
        <f>'Исходные данные'!$B$13*C49</f>
        <v>40840.800000000003</v>
      </c>
      <c r="E49" s="82">
        <v>3</v>
      </c>
      <c r="F49" s="82">
        <f t="shared" si="9"/>
        <v>51051</v>
      </c>
      <c r="G49" s="82">
        <f t="shared" si="10"/>
        <v>17867.849999999999</v>
      </c>
      <c r="H49" s="82">
        <f t="shared" si="11"/>
        <v>68918.850000000006</v>
      </c>
      <c r="I49" s="82">
        <f t="shared" si="12"/>
        <v>6891.8850000000011</v>
      </c>
      <c r="J49" s="82">
        <f t="shared" si="13"/>
        <v>75810.735000000001</v>
      </c>
      <c r="K49" s="82">
        <f t="shared" si="14"/>
        <v>2729186.46</v>
      </c>
    </row>
    <row r="50" spans="1:11" x14ac:dyDescent="0.25">
      <c r="A50" s="81" t="s">
        <v>187</v>
      </c>
      <c r="B50" s="81">
        <v>6</v>
      </c>
      <c r="C50" s="81">
        <v>2</v>
      </c>
      <c r="D50" s="82">
        <f>'Исходные данные'!$B$13*C50</f>
        <v>44880</v>
      </c>
      <c r="E50" s="82">
        <v>1</v>
      </c>
      <c r="F50" s="82">
        <f t="shared" si="9"/>
        <v>56100</v>
      </c>
      <c r="G50" s="82">
        <f t="shared" si="10"/>
        <v>19635</v>
      </c>
      <c r="H50" s="82">
        <f t="shared" si="11"/>
        <v>75735</v>
      </c>
      <c r="I50" s="82">
        <f t="shared" si="12"/>
        <v>7573.5</v>
      </c>
      <c r="J50" s="82">
        <f t="shared" si="13"/>
        <v>83308.5</v>
      </c>
      <c r="K50" s="82">
        <f t="shared" si="14"/>
        <v>999702</v>
      </c>
    </row>
    <row r="51" spans="1:11" x14ac:dyDescent="0.25">
      <c r="A51" s="81" t="s">
        <v>192</v>
      </c>
      <c r="B51" s="81">
        <v>2</v>
      </c>
      <c r="C51" s="81">
        <v>1.36</v>
      </c>
      <c r="D51" s="82">
        <f>'Исходные данные'!$B$13*C51</f>
        <v>30518.400000000001</v>
      </c>
      <c r="E51" s="82">
        <v>1</v>
      </c>
      <c r="F51" s="82">
        <f t="shared" si="9"/>
        <v>38148</v>
      </c>
      <c r="G51" s="82">
        <f t="shared" si="10"/>
        <v>13351.8</v>
      </c>
      <c r="H51" s="82">
        <f t="shared" si="11"/>
        <v>51499.8</v>
      </c>
      <c r="I51" s="82">
        <f t="shared" si="12"/>
        <v>5149.9800000000005</v>
      </c>
      <c r="J51" s="82">
        <f t="shared" si="13"/>
        <v>56649.780000000006</v>
      </c>
      <c r="K51" s="82">
        <f t="shared" si="14"/>
        <v>679797.3600000001</v>
      </c>
    </row>
    <row r="52" spans="1:11" x14ac:dyDescent="0.25">
      <c r="A52" s="81" t="s">
        <v>193</v>
      </c>
      <c r="B52" s="81">
        <v>2</v>
      </c>
      <c r="C52" s="81">
        <v>1.36</v>
      </c>
      <c r="D52" s="82">
        <f>'Исходные данные'!$B$13*C52</f>
        <v>30518.400000000001</v>
      </c>
      <c r="E52" s="82">
        <v>1</v>
      </c>
      <c r="F52" s="82">
        <f t="shared" si="9"/>
        <v>38148</v>
      </c>
      <c r="G52" s="82">
        <f t="shared" si="10"/>
        <v>13351.8</v>
      </c>
      <c r="H52" s="82">
        <f t="shared" si="11"/>
        <v>51499.8</v>
      </c>
      <c r="I52" s="82">
        <f t="shared" si="12"/>
        <v>5149.9800000000005</v>
      </c>
      <c r="J52" s="82">
        <f t="shared" si="13"/>
        <v>56649.780000000006</v>
      </c>
      <c r="K52" s="82">
        <f t="shared" si="14"/>
        <v>679797.3600000001</v>
      </c>
    </row>
    <row r="53" spans="1:11" x14ac:dyDescent="0.25">
      <c r="A53" s="100" t="s">
        <v>153</v>
      </c>
      <c r="B53" s="81"/>
      <c r="C53" s="81"/>
      <c r="D53" s="82">
        <f t="shared" ref="D53:J53" si="15">SUM(D35:D52)</f>
        <v>1225672.8</v>
      </c>
      <c r="E53" s="82">
        <f t="shared" si="15"/>
        <v>23</v>
      </c>
      <c r="F53" s="82">
        <f t="shared" si="15"/>
        <v>1532091</v>
      </c>
      <c r="G53" s="82">
        <f t="shared" si="15"/>
        <v>536231.84999999986</v>
      </c>
      <c r="H53" s="82">
        <f t="shared" si="15"/>
        <v>2068322.8500000003</v>
      </c>
      <c r="I53" s="82">
        <f t="shared" si="15"/>
        <v>206832.28500000003</v>
      </c>
      <c r="J53" s="82">
        <f t="shared" si="15"/>
        <v>2275155.1349999993</v>
      </c>
      <c r="K53" s="82">
        <f>SUM(K35:K52)</f>
        <v>32795224.109999999</v>
      </c>
    </row>
    <row r="55" spans="1:11" ht="41.4" x14ac:dyDescent="0.25">
      <c r="A55" s="86" t="s">
        <v>200</v>
      </c>
      <c r="B55" s="86" t="s">
        <v>201</v>
      </c>
      <c r="C55" s="86" t="s">
        <v>208</v>
      </c>
      <c r="D55" s="86" t="s">
        <v>202</v>
      </c>
      <c r="F55" s="44"/>
      <c r="G55" s="44"/>
      <c r="H55" s="44"/>
      <c r="I55" s="44"/>
    </row>
    <row r="56" spans="1:11" x14ac:dyDescent="0.25">
      <c r="A56" s="81" t="s">
        <v>203</v>
      </c>
      <c r="B56" s="82">
        <f>SUM(B57:B59)</f>
        <v>7802674.1100000003</v>
      </c>
      <c r="C56" s="82">
        <f>SUM(C57:C59)</f>
        <v>3</v>
      </c>
      <c r="D56" s="82">
        <f>SUM(D57:D59)</f>
        <v>650222.84249999991</v>
      </c>
    </row>
    <row r="57" spans="1:11" x14ac:dyDescent="0.25">
      <c r="A57" s="81" t="s">
        <v>210</v>
      </c>
      <c r="B57" s="82">
        <f>K35</f>
        <v>2779171.56</v>
      </c>
      <c r="C57" s="82">
        <f>E35</f>
        <v>1</v>
      </c>
      <c r="D57" s="82">
        <f>B57/(C57*12)</f>
        <v>231597.63</v>
      </c>
    </row>
    <row r="58" spans="1:11" x14ac:dyDescent="0.25">
      <c r="A58" s="81" t="s">
        <v>211</v>
      </c>
      <c r="B58" s="82">
        <f>K36</f>
        <v>2659207.3200000003</v>
      </c>
      <c r="C58" s="82">
        <f>E36</f>
        <v>1</v>
      </c>
      <c r="D58" s="82">
        <f>B58/(C58*12)</f>
        <v>221600.61000000002</v>
      </c>
    </row>
    <row r="59" spans="1:11" ht="14.4" thickBot="1" x14ac:dyDescent="0.3">
      <c r="A59" s="103" t="s">
        <v>212</v>
      </c>
      <c r="B59" s="87">
        <f>K37</f>
        <v>2364295.2299999995</v>
      </c>
      <c r="C59" s="87">
        <f>E37</f>
        <v>1</v>
      </c>
      <c r="D59" s="87">
        <f>B59/(C59*12)</f>
        <v>197024.60249999995</v>
      </c>
    </row>
    <row r="60" spans="1:11" x14ac:dyDescent="0.25">
      <c r="A60" s="89" t="s">
        <v>213</v>
      </c>
      <c r="B60" s="88">
        <f>SUM(B61:B69)</f>
        <v>13825878.66</v>
      </c>
      <c r="C60" s="88">
        <f>SUM(C61:C69)</f>
        <v>9</v>
      </c>
      <c r="D60" s="88">
        <f>SUM(D61:D69)</f>
        <v>1152156.5549999999</v>
      </c>
    </row>
    <row r="61" spans="1:11" x14ac:dyDescent="0.25">
      <c r="A61" s="81" t="s">
        <v>216</v>
      </c>
      <c r="B61" s="82">
        <f t="shared" ref="B61:B69" si="16">K38</f>
        <v>1634512.7700000003</v>
      </c>
      <c r="C61" s="82">
        <f t="shared" ref="C61:C69" si="17">E38</f>
        <v>1</v>
      </c>
      <c r="D61" s="82">
        <f t="shared" ref="D61:D69" si="18">B61/(C61*12)</f>
        <v>136209.39750000002</v>
      </c>
    </row>
    <row r="62" spans="1:11" x14ac:dyDescent="0.25">
      <c r="A62" s="81" t="s">
        <v>217</v>
      </c>
      <c r="B62" s="82">
        <f t="shared" si="16"/>
        <v>1454566.4100000001</v>
      </c>
      <c r="C62" s="82">
        <f t="shared" si="17"/>
        <v>1</v>
      </c>
      <c r="D62" s="82">
        <f t="shared" si="18"/>
        <v>121213.86750000001</v>
      </c>
    </row>
    <row r="63" spans="1:11" x14ac:dyDescent="0.25">
      <c r="A63" s="81" t="s">
        <v>218</v>
      </c>
      <c r="B63" s="82">
        <f t="shared" si="16"/>
        <v>1269621.54</v>
      </c>
      <c r="C63" s="82">
        <f t="shared" si="17"/>
        <v>1</v>
      </c>
      <c r="D63" s="82">
        <f t="shared" si="18"/>
        <v>105801.795</v>
      </c>
    </row>
    <row r="64" spans="1:11" x14ac:dyDescent="0.25">
      <c r="A64" s="81" t="s">
        <v>219</v>
      </c>
      <c r="B64" s="82">
        <f t="shared" si="16"/>
        <v>1269621.54</v>
      </c>
      <c r="C64" s="82">
        <f t="shared" si="17"/>
        <v>1</v>
      </c>
      <c r="D64" s="82">
        <f t="shared" si="18"/>
        <v>105801.795</v>
      </c>
    </row>
    <row r="65" spans="1:4" x14ac:dyDescent="0.25">
      <c r="A65" s="81" t="s">
        <v>220</v>
      </c>
      <c r="B65" s="82">
        <f t="shared" si="16"/>
        <v>1634512.7700000003</v>
      </c>
      <c r="C65" s="82">
        <f t="shared" si="17"/>
        <v>1</v>
      </c>
      <c r="D65" s="82">
        <f t="shared" si="18"/>
        <v>136209.39750000002</v>
      </c>
    </row>
    <row r="66" spans="1:4" x14ac:dyDescent="0.25">
      <c r="A66" s="81" t="s">
        <v>221</v>
      </c>
      <c r="B66" s="82">
        <f t="shared" si="16"/>
        <v>1454566.4100000001</v>
      </c>
      <c r="C66" s="82">
        <f t="shared" si="17"/>
        <v>1</v>
      </c>
      <c r="D66" s="82">
        <f t="shared" si="18"/>
        <v>121213.86750000001</v>
      </c>
    </row>
    <row r="67" spans="1:4" x14ac:dyDescent="0.25">
      <c r="A67" s="81" t="s">
        <v>222</v>
      </c>
      <c r="B67" s="82">
        <f t="shared" si="16"/>
        <v>1634512.7700000003</v>
      </c>
      <c r="C67" s="82">
        <f t="shared" si="17"/>
        <v>1</v>
      </c>
      <c r="D67" s="82">
        <f t="shared" si="18"/>
        <v>136209.39750000002</v>
      </c>
    </row>
    <row r="68" spans="1:4" x14ac:dyDescent="0.25">
      <c r="A68" s="81" t="s">
        <v>223</v>
      </c>
      <c r="B68" s="82">
        <f t="shared" si="16"/>
        <v>1634512.7700000003</v>
      </c>
      <c r="C68" s="82">
        <f t="shared" si="17"/>
        <v>1</v>
      </c>
      <c r="D68" s="82">
        <f t="shared" si="18"/>
        <v>136209.39750000002</v>
      </c>
    </row>
    <row r="69" spans="1:4" ht="14.4" thickBot="1" x14ac:dyDescent="0.3">
      <c r="A69" s="103" t="s">
        <v>224</v>
      </c>
      <c r="B69" s="87">
        <f t="shared" si="16"/>
        <v>1839451.6799999997</v>
      </c>
      <c r="C69" s="87">
        <f t="shared" si="17"/>
        <v>1</v>
      </c>
      <c r="D69" s="87">
        <f t="shared" si="18"/>
        <v>153287.63999999998</v>
      </c>
    </row>
    <row r="70" spans="1:4" x14ac:dyDescent="0.25">
      <c r="A70" s="89" t="s">
        <v>214</v>
      </c>
      <c r="B70" s="88">
        <f>SUM(B71:B76)</f>
        <v>11166671.34</v>
      </c>
      <c r="C70" s="88">
        <f>SUM(C71:C76)</f>
        <v>11</v>
      </c>
      <c r="D70" s="88">
        <f>SUM(D71:D76)</f>
        <v>472775.73750000005</v>
      </c>
    </row>
    <row r="71" spans="1:4" x14ac:dyDescent="0.25">
      <c r="A71" s="81" t="s">
        <v>225</v>
      </c>
      <c r="B71" s="82">
        <f t="shared" ref="B71:B76" si="19">K47</f>
        <v>3808864.62</v>
      </c>
      <c r="C71" s="82">
        <f t="shared" ref="C71:C76" si="20">E47</f>
        <v>3</v>
      </c>
      <c r="D71" s="82">
        <f t="shared" ref="D71:D76" si="21">B71/(C71*12)</f>
        <v>105801.795</v>
      </c>
    </row>
    <row r="72" spans="1:4" x14ac:dyDescent="0.25">
      <c r="A72" s="81" t="s">
        <v>226</v>
      </c>
      <c r="B72" s="82">
        <f t="shared" si="19"/>
        <v>2269323.54</v>
      </c>
      <c r="C72" s="82">
        <f t="shared" si="20"/>
        <v>2</v>
      </c>
      <c r="D72" s="82">
        <f t="shared" si="21"/>
        <v>94555.147500000006</v>
      </c>
    </row>
    <row r="73" spans="1:4" x14ac:dyDescent="0.25">
      <c r="A73" s="81" t="s">
        <v>227</v>
      </c>
      <c r="B73" s="82">
        <f t="shared" si="19"/>
        <v>2729186.46</v>
      </c>
      <c r="C73" s="82">
        <f t="shared" si="20"/>
        <v>3</v>
      </c>
      <c r="D73" s="82">
        <f t="shared" si="21"/>
        <v>75810.735000000001</v>
      </c>
    </row>
    <row r="74" spans="1:4" x14ac:dyDescent="0.25">
      <c r="A74" s="81" t="s">
        <v>238</v>
      </c>
      <c r="B74" s="82">
        <f t="shared" si="19"/>
        <v>999702</v>
      </c>
      <c r="C74" s="82">
        <f t="shared" si="20"/>
        <v>1</v>
      </c>
      <c r="D74" s="82">
        <f t="shared" si="21"/>
        <v>83308.5</v>
      </c>
    </row>
    <row r="75" spans="1:4" x14ac:dyDescent="0.25">
      <c r="A75" s="81" t="s">
        <v>239</v>
      </c>
      <c r="B75" s="82">
        <f t="shared" si="19"/>
        <v>679797.3600000001</v>
      </c>
      <c r="C75" s="82">
        <f t="shared" si="20"/>
        <v>1</v>
      </c>
      <c r="D75" s="82">
        <f t="shared" si="21"/>
        <v>56649.780000000006</v>
      </c>
    </row>
    <row r="76" spans="1:4" ht="14.4" thickBot="1" x14ac:dyDescent="0.3">
      <c r="A76" s="103" t="s">
        <v>240</v>
      </c>
      <c r="B76" s="87">
        <f t="shared" si="19"/>
        <v>679797.3600000001</v>
      </c>
      <c r="C76" s="87">
        <f t="shared" si="20"/>
        <v>1</v>
      </c>
      <c r="D76" s="87">
        <f t="shared" si="21"/>
        <v>56649.780000000006</v>
      </c>
    </row>
    <row r="77" spans="1:4" x14ac:dyDescent="0.25">
      <c r="A77" s="89" t="s">
        <v>215</v>
      </c>
      <c r="B77" s="89">
        <f>B78+B84</f>
        <v>75550953.996257141</v>
      </c>
      <c r="C77" s="89">
        <f>SUM(C78,C84)</f>
        <v>108</v>
      </c>
      <c r="D77" s="89">
        <f>SUM(D78,D84)</f>
        <v>679943.18536798703</v>
      </c>
    </row>
    <row r="78" spans="1:4" x14ac:dyDescent="0.25">
      <c r="A78" s="81" t="s">
        <v>232</v>
      </c>
      <c r="B78" s="82">
        <f>SUM(B79:B83)</f>
        <v>65223860.95877143</v>
      </c>
      <c r="C78" s="104">
        <f>SUM(C79:C83)</f>
        <v>93</v>
      </c>
      <c r="D78" s="82">
        <f>SUM(D79:D83)</f>
        <v>280508.28419655847</v>
      </c>
    </row>
    <row r="79" spans="1:4" x14ac:dyDescent="0.25">
      <c r="A79" s="81" t="s">
        <v>228</v>
      </c>
      <c r="B79" s="82">
        <f>K4</f>
        <v>7675530.1919999998</v>
      </c>
      <c r="C79" s="104">
        <f>'Численность персонала'!B17</f>
        <v>11</v>
      </c>
      <c r="D79" s="82">
        <f>B79/(C79*12)</f>
        <v>58147.955999999998</v>
      </c>
    </row>
    <row r="80" spans="1:4" x14ac:dyDescent="0.25">
      <c r="A80" s="81" t="s">
        <v>241</v>
      </c>
      <c r="B80" s="82">
        <f>K7</f>
        <v>9601669.018542856</v>
      </c>
      <c r="C80" s="104">
        <f>'Численность персонала'!B18</f>
        <v>14</v>
      </c>
      <c r="D80" s="82">
        <f>B80/(C80*12)</f>
        <v>57152.791777040809</v>
      </c>
    </row>
    <row r="81" spans="1:4" x14ac:dyDescent="0.25">
      <c r="A81" s="81" t="s">
        <v>229</v>
      </c>
      <c r="B81" s="82">
        <f>K10</f>
        <v>15141944.688750003</v>
      </c>
      <c r="C81" s="104">
        <f>'Численность персонала'!B19</f>
        <v>24</v>
      </c>
      <c r="D81" s="82">
        <f>B81/(C81*12)</f>
        <v>52576.19683593751</v>
      </c>
    </row>
    <row r="82" spans="1:4" x14ac:dyDescent="0.25">
      <c r="A82" s="81" t="s">
        <v>230</v>
      </c>
      <c r="B82" s="82">
        <f>K13</f>
        <v>31019724.795085713</v>
      </c>
      <c r="C82" s="104">
        <f>'Численность персонала'!B20</f>
        <v>41</v>
      </c>
      <c r="D82" s="82">
        <f>B82/(C82*12)</f>
        <v>63048.221128222991</v>
      </c>
    </row>
    <row r="83" spans="1:4" x14ac:dyDescent="0.25">
      <c r="A83" s="81" t="s">
        <v>231</v>
      </c>
      <c r="B83" s="82">
        <f>K16</f>
        <v>1784992.264392857</v>
      </c>
      <c r="C83" s="104">
        <f>'Численность персонала'!B21</f>
        <v>3</v>
      </c>
      <c r="D83" s="82">
        <f>B83/(C83*12)</f>
        <v>49583.118455357137</v>
      </c>
    </row>
    <row r="84" spans="1:4" x14ac:dyDescent="0.25">
      <c r="A84" s="81" t="s">
        <v>233</v>
      </c>
      <c r="B84" s="82">
        <f>SUM(B85:B91)</f>
        <v>10327093.037485717</v>
      </c>
      <c r="C84" s="104">
        <f>SUM(C85:C91)</f>
        <v>15</v>
      </c>
      <c r="D84" s="82">
        <f>SUM(D85:D91)</f>
        <v>399434.90117142862</v>
      </c>
    </row>
    <row r="85" spans="1:4" x14ac:dyDescent="0.25">
      <c r="A85" s="81" t="s">
        <v>237</v>
      </c>
      <c r="B85" s="82">
        <f t="shared" ref="B85:B91" si="22">J25</f>
        <v>2221966.228114286</v>
      </c>
      <c r="C85" s="104">
        <f>'Численность персонала'!I3</f>
        <v>3</v>
      </c>
      <c r="D85" s="82">
        <f t="shared" ref="D85:D91" si="23">B85/(C85*12)</f>
        <v>61721.284114285721</v>
      </c>
    </row>
    <row r="86" spans="1:4" x14ac:dyDescent="0.25">
      <c r="A86" s="81" t="s">
        <v>234</v>
      </c>
      <c r="B86" s="82">
        <f t="shared" si="22"/>
        <v>1363479.2763428572</v>
      </c>
      <c r="C86" s="104">
        <f>'Численность персонала'!I4</f>
        <v>2</v>
      </c>
      <c r="D86" s="82">
        <f t="shared" si="23"/>
        <v>56811.636514285718</v>
      </c>
    </row>
    <row r="87" spans="1:4" ht="27.6" x14ac:dyDescent="0.25">
      <c r="A87" s="86" t="s">
        <v>235</v>
      </c>
      <c r="B87" s="82">
        <f t="shared" si="22"/>
        <v>1481310.8187428571</v>
      </c>
      <c r="C87" s="104">
        <f>'Численность персонала'!I5</f>
        <v>2</v>
      </c>
      <c r="D87" s="82">
        <f t="shared" si="23"/>
        <v>61721.284114285714</v>
      </c>
    </row>
    <row r="88" spans="1:4" x14ac:dyDescent="0.25">
      <c r="A88" s="81" t="s">
        <v>242</v>
      </c>
      <c r="B88" s="82">
        <f>J28</f>
        <v>1363479.2763428572</v>
      </c>
      <c r="C88" s="104">
        <f>'Численность персонала'!I6</f>
        <v>2</v>
      </c>
      <c r="D88" s="82">
        <f t="shared" si="23"/>
        <v>56811.636514285718</v>
      </c>
    </row>
    <row r="89" spans="1:4" ht="27.6" x14ac:dyDescent="0.25">
      <c r="A89" s="86" t="s">
        <v>236</v>
      </c>
      <c r="B89" s="82">
        <f t="shared" si="22"/>
        <v>1220398.1177142856</v>
      </c>
      <c r="C89" s="104">
        <f>'Численность персонала'!I7</f>
        <v>2</v>
      </c>
      <c r="D89" s="82">
        <f t="shared" si="23"/>
        <v>50849.921571428567</v>
      </c>
    </row>
    <row r="90" spans="1:4" x14ac:dyDescent="0.25">
      <c r="A90" s="81" t="s">
        <v>243</v>
      </c>
      <c r="B90" s="82">
        <f t="shared" si="22"/>
        <v>1338229.660114286</v>
      </c>
      <c r="C90" s="104">
        <f>'Численность персонала'!I8</f>
        <v>2</v>
      </c>
      <c r="D90" s="82">
        <f t="shared" si="23"/>
        <v>55759.569171428586</v>
      </c>
    </row>
    <row r="91" spans="1:4" ht="14.4" thickBot="1" x14ac:dyDescent="0.3">
      <c r="A91" s="103" t="s">
        <v>244</v>
      </c>
      <c r="B91" s="87">
        <f t="shared" si="22"/>
        <v>1338229.660114286</v>
      </c>
      <c r="C91" s="105">
        <f>'Численность персонала'!I9</f>
        <v>2</v>
      </c>
      <c r="D91" s="87">
        <f t="shared" si="23"/>
        <v>55759.569171428586</v>
      </c>
    </row>
    <row r="92" spans="1:4" x14ac:dyDescent="0.25">
      <c r="A92" s="106" t="s">
        <v>153</v>
      </c>
      <c r="B92" s="88">
        <f>B56+B60+B70+B77</f>
        <v>108346178.10625714</v>
      </c>
      <c r="C92" s="88">
        <f>C56+C60+C70+C77</f>
        <v>131</v>
      </c>
      <c r="D92" s="88">
        <f>D56+D60+D70+D77</f>
        <v>2955098.3203679868</v>
      </c>
    </row>
  </sheetData>
  <mergeCells count="11">
    <mergeCell ref="A1:A2"/>
    <mergeCell ref="D25:D31"/>
    <mergeCell ref="K1:K2"/>
    <mergeCell ref="C1:D1"/>
    <mergeCell ref="B1:B2"/>
    <mergeCell ref="E1:E2"/>
    <mergeCell ref="F1:F2"/>
    <mergeCell ref="G1:G2"/>
    <mergeCell ref="H1:H2"/>
    <mergeCell ref="I1:I2"/>
    <mergeCell ref="J1:J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4"/>
  <sheetViews>
    <sheetView topLeftCell="A98" zoomScale="85" zoomScaleNormal="85" workbookViewId="0">
      <selection activeCell="G136" sqref="G136"/>
    </sheetView>
  </sheetViews>
  <sheetFormatPr defaultRowHeight="14.4" x14ac:dyDescent="0.3"/>
  <cols>
    <col min="1" max="1" width="10.109375" customWidth="1"/>
    <col min="2" max="2" width="44.44140625" customWidth="1"/>
    <col min="3" max="3" width="14.109375" customWidth="1"/>
    <col min="4" max="4" width="20.5546875" customWidth="1"/>
    <col min="5" max="5" width="14.33203125" customWidth="1"/>
    <col min="6" max="6" width="14.109375" customWidth="1"/>
    <col min="7" max="7" width="11.5546875" customWidth="1"/>
    <col min="8" max="8" width="12.88671875" customWidth="1"/>
    <col min="9" max="9" width="13.44140625" bestFit="1" customWidth="1"/>
    <col min="10" max="10" width="11.5546875" customWidth="1"/>
    <col min="11" max="11" width="17.33203125" customWidth="1"/>
    <col min="12" max="12" width="10.44140625" customWidth="1"/>
    <col min="13" max="13" width="11.88671875" customWidth="1"/>
    <col min="14" max="14" width="12.88671875" customWidth="1"/>
  </cols>
  <sheetData>
    <row r="1" spans="1:8" x14ac:dyDescent="0.3">
      <c r="A1" s="109" t="s">
        <v>303</v>
      </c>
      <c r="B1" s="109"/>
      <c r="C1" s="109"/>
      <c r="D1" s="109"/>
      <c r="E1" s="109"/>
      <c r="F1" s="109"/>
      <c r="G1" s="109"/>
      <c r="H1" s="109"/>
    </row>
    <row r="2" spans="1:8" ht="43.2" x14ac:dyDescent="0.3">
      <c r="A2" s="2"/>
      <c r="B2" s="2" t="s">
        <v>6</v>
      </c>
      <c r="C2" s="2" t="s">
        <v>245</v>
      </c>
      <c r="D2" s="2" t="s">
        <v>18</v>
      </c>
      <c r="E2" s="2" t="s">
        <v>246</v>
      </c>
      <c r="F2" s="2" t="s">
        <v>247</v>
      </c>
      <c r="G2" s="2" t="s">
        <v>248</v>
      </c>
      <c r="H2" s="2" t="s">
        <v>249</v>
      </c>
    </row>
    <row r="3" spans="1:8" x14ac:dyDescent="0.3">
      <c r="A3" s="134" t="s">
        <v>24</v>
      </c>
      <c r="B3" s="5">
        <v>1</v>
      </c>
      <c r="C3" s="1" t="s">
        <v>250</v>
      </c>
      <c r="D3" s="1" t="s">
        <v>251</v>
      </c>
      <c r="E3" s="1">
        <f>'Исходные данные'!U4</f>
        <v>0.9</v>
      </c>
      <c r="F3" s="1">
        <f>'Исходные данные'!U8</f>
        <v>86</v>
      </c>
      <c r="G3" s="3">
        <f>F3/1.2</f>
        <v>71.666666666666671</v>
      </c>
      <c r="H3" s="3">
        <f>E3*G3</f>
        <v>64.5</v>
      </c>
    </row>
    <row r="4" spans="1:8" x14ac:dyDescent="0.3">
      <c r="A4" s="134"/>
      <c r="B4" s="5">
        <v>2</v>
      </c>
      <c r="C4" s="1" t="s">
        <v>252</v>
      </c>
      <c r="D4" s="1" t="s">
        <v>253</v>
      </c>
      <c r="E4" s="1">
        <f>'Исходные данные'!V4</f>
        <v>6</v>
      </c>
      <c r="F4" s="1">
        <f>'Исходные данные'!X8</f>
        <v>57</v>
      </c>
      <c r="G4" s="3">
        <f t="shared" ref="G4:G10" si="0">F4/1.2</f>
        <v>47.5</v>
      </c>
      <c r="H4" s="3">
        <f t="shared" ref="H4:H10" si="1">E4*G4</f>
        <v>285</v>
      </c>
    </row>
    <row r="5" spans="1:8" x14ac:dyDescent="0.3">
      <c r="A5" s="134"/>
      <c r="B5" s="5">
        <v>3</v>
      </c>
      <c r="C5" s="1" t="s">
        <v>254</v>
      </c>
      <c r="D5" s="1" t="s">
        <v>253</v>
      </c>
      <c r="E5" s="1">
        <f>'Исходные данные'!W4</f>
        <v>5</v>
      </c>
      <c r="F5" s="1">
        <f>'Исходные данные'!Y8</f>
        <v>65</v>
      </c>
      <c r="G5" s="3">
        <f t="shared" si="0"/>
        <v>54.166666666666671</v>
      </c>
      <c r="H5" s="3">
        <f t="shared" si="1"/>
        <v>270.83333333333337</v>
      </c>
    </row>
    <row r="6" spans="1:8" x14ac:dyDescent="0.3">
      <c r="A6" s="134"/>
      <c r="B6" s="5">
        <v>4</v>
      </c>
      <c r="C6" s="1" t="s">
        <v>255</v>
      </c>
      <c r="D6" s="1" t="s">
        <v>253</v>
      </c>
      <c r="E6" s="1">
        <f>'Исходные данные'!X4</f>
        <v>20</v>
      </c>
      <c r="F6" s="1">
        <f>'Исходные данные'!Z8</f>
        <v>49</v>
      </c>
      <c r="G6" s="3">
        <f t="shared" si="0"/>
        <v>40.833333333333336</v>
      </c>
      <c r="H6" s="3">
        <f t="shared" si="1"/>
        <v>816.66666666666674</v>
      </c>
    </row>
    <row r="7" spans="1:8" x14ac:dyDescent="0.3">
      <c r="A7" s="134" t="s">
        <v>25</v>
      </c>
      <c r="B7" s="5">
        <v>1</v>
      </c>
      <c r="C7" s="1" t="s">
        <v>256</v>
      </c>
      <c r="D7" s="1" t="s">
        <v>251</v>
      </c>
      <c r="E7" s="1">
        <f>'Исходные данные'!Y4</f>
        <v>8.4</v>
      </c>
      <c r="F7" s="1">
        <f>'Исходные данные'!V8</f>
        <v>47</v>
      </c>
      <c r="G7" s="3">
        <f t="shared" si="0"/>
        <v>39.166666666666671</v>
      </c>
      <c r="H7" s="3">
        <f t="shared" si="1"/>
        <v>329.00000000000006</v>
      </c>
    </row>
    <row r="8" spans="1:8" x14ac:dyDescent="0.3">
      <c r="A8" s="134"/>
      <c r="B8" s="5">
        <v>2</v>
      </c>
      <c r="C8" s="1" t="s">
        <v>257</v>
      </c>
      <c r="D8" s="1" t="s">
        <v>251</v>
      </c>
      <c r="E8" s="1">
        <f>'Исходные данные'!Z4</f>
        <v>5.3</v>
      </c>
      <c r="F8" s="1">
        <f>'Исходные данные'!W8</f>
        <v>50</v>
      </c>
      <c r="G8" s="3">
        <f t="shared" si="0"/>
        <v>41.666666666666671</v>
      </c>
      <c r="H8" s="3">
        <f t="shared" si="1"/>
        <v>220.83333333333334</v>
      </c>
    </row>
    <row r="9" spans="1:8" x14ac:dyDescent="0.3">
      <c r="A9" s="134"/>
      <c r="B9" s="5">
        <v>3</v>
      </c>
      <c r="C9" s="1" t="s">
        <v>254</v>
      </c>
      <c r="D9" s="1" t="s">
        <v>253</v>
      </c>
      <c r="E9" s="1">
        <f>'Исходные данные'!AA4</f>
        <v>8</v>
      </c>
      <c r="F9" s="1">
        <f>'Исходные данные'!Y8</f>
        <v>65</v>
      </c>
      <c r="G9" s="3">
        <f t="shared" si="0"/>
        <v>54.166666666666671</v>
      </c>
      <c r="H9" s="3">
        <f t="shared" si="1"/>
        <v>433.33333333333337</v>
      </c>
    </row>
    <row r="10" spans="1:8" x14ac:dyDescent="0.3">
      <c r="A10" s="134"/>
      <c r="B10" s="5">
        <v>4</v>
      </c>
      <c r="C10" s="1" t="s">
        <v>255</v>
      </c>
      <c r="D10" s="1" t="s">
        <v>253</v>
      </c>
      <c r="E10" s="1">
        <f>'Исходные данные'!AB4</f>
        <v>23</v>
      </c>
      <c r="F10" s="1">
        <f>'Исходные данные'!Z8</f>
        <v>49</v>
      </c>
      <c r="G10" s="3">
        <f t="shared" si="0"/>
        <v>40.833333333333336</v>
      </c>
      <c r="H10" s="3">
        <f t="shared" si="1"/>
        <v>939.16666666666674</v>
      </c>
    </row>
    <row r="11" spans="1:8" x14ac:dyDescent="0.3">
      <c r="A11" s="1"/>
      <c r="B11" s="1" t="s">
        <v>258</v>
      </c>
      <c r="C11" s="1"/>
      <c r="D11" s="1"/>
      <c r="E11" s="1"/>
      <c r="F11" s="1"/>
      <c r="G11" s="1"/>
      <c r="H11" s="3">
        <f>SUM(H3:H6)</f>
        <v>1437</v>
      </c>
    </row>
    <row r="12" spans="1:8" x14ac:dyDescent="0.3">
      <c r="A12" s="1"/>
      <c r="B12" s="1" t="s">
        <v>259</v>
      </c>
      <c r="C12" s="1"/>
      <c r="D12" s="1"/>
      <c r="E12" s="1"/>
      <c r="F12" s="1"/>
      <c r="G12" s="1"/>
      <c r="H12" s="3">
        <f>SUM(H7:H10)</f>
        <v>1922.3333333333335</v>
      </c>
    </row>
    <row r="13" spans="1:8" x14ac:dyDescent="0.3">
      <c r="H13" s="51">
        <f>SUM(H11:H12)</f>
        <v>3359.3333333333335</v>
      </c>
    </row>
    <row r="14" spans="1:8" x14ac:dyDescent="0.3">
      <c r="A14" s="139" t="s">
        <v>301</v>
      </c>
      <c r="B14" s="139"/>
      <c r="C14" s="139"/>
      <c r="D14" s="139"/>
      <c r="E14" s="139"/>
      <c r="F14" s="139"/>
      <c r="G14" s="139"/>
    </row>
    <row r="15" spans="1:8" ht="58.35" customHeight="1" x14ac:dyDescent="0.3">
      <c r="A15" s="90" t="s">
        <v>6</v>
      </c>
      <c r="B15" s="90" t="s">
        <v>260</v>
      </c>
      <c r="C15" s="90" t="s">
        <v>293</v>
      </c>
      <c r="D15" s="90" t="s">
        <v>292</v>
      </c>
      <c r="E15" s="90" t="s">
        <v>291</v>
      </c>
      <c r="F15" s="90" t="s">
        <v>294</v>
      </c>
      <c r="G15" s="90" t="s">
        <v>295</v>
      </c>
    </row>
    <row r="16" spans="1:8" ht="14.4" customHeight="1" x14ac:dyDescent="0.3">
      <c r="A16" s="91">
        <v>1</v>
      </c>
      <c r="B16" s="91" t="str">
        <f>'Исходные данные'!P3</f>
        <v>Здание</v>
      </c>
      <c r="C16" s="91">
        <f>'Исходные данные'!Q3</f>
        <v>7</v>
      </c>
      <c r="D16" s="91">
        <v>18</v>
      </c>
      <c r="E16" s="92">
        <f>'Расчёт капитальных затрат'!B13</f>
        <v>356122800</v>
      </c>
      <c r="F16" s="93">
        <f>100/D16</f>
        <v>5.5555555555555554</v>
      </c>
      <c r="G16" s="92">
        <f>E16*F16/100</f>
        <v>19784600</v>
      </c>
    </row>
    <row r="17" spans="1:7" x14ac:dyDescent="0.3">
      <c r="A17" s="91">
        <v>2</v>
      </c>
      <c r="B17" s="91" t="str">
        <f>'Исходные данные'!P4</f>
        <v>Станоч. обор.</v>
      </c>
      <c r="C17" s="91">
        <f>'Исходные данные'!Q4</f>
        <v>6</v>
      </c>
      <c r="D17" s="91">
        <v>12</v>
      </c>
      <c r="E17" s="92">
        <f>'Расчёт капитальных затрат'!B5</f>
        <v>201960000</v>
      </c>
      <c r="F17" s="93">
        <f>100/D17</f>
        <v>8.3333333333333339</v>
      </c>
      <c r="G17" s="92">
        <f t="shared" ref="G17:G24" si="2">E17*F17/100</f>
        <v>16830000.000000004</v>
      </c>
    </row>
    <row r="18" spans="1:7" x14ac:dyDescent="0.3">
      <c r="A18" s="91">
        <v>3</v>
      </c>
      <c r="B18" s="91" t="str">
        <f>'Исходные данные'!P5</f>
        <v>Налад., регул. и исп. обор</v>
      </c>
      <c r="C18" s="91">
        <f>'Исходные данные'!Q5</f>
        <v>5</v>
      </c>
      <c r="D18" s="91">
        <v>10</v>
      </c>
      <c r="E18" s="92">
        <f>'Расчёт капитальных затрат'!B8</f>
        <v>201960000</v>
      </c>
      <c r="F18" s="93">
        <f t="shared" ref="F18:F24" si="3">100/D18</f>
        <v>10</v>
      </c>
      <c r="G18" s="92">
        <f t="shared" si="2"/>
        <v>20196000</v>
      </c>
    </row>
    <row r="19" spans="1:7" x14ac:dyDescent="0.3">
      <c r="A19" s="91">
        <v>4</v>
      </c>
      <c r="B19" s="91" t="str">
        <f>'Исходные данные'!P6</f>
        <v>Обор. для контроля технологич. процессов</v>
      </c>
      <c r="C19" s="91">
        <f>'Исходные данные'!Q6</f>
        <v>5</v>
      </c>
      <c r="D19" s="91">
        <v>9</v>
      </c>
      <c r="E19" s="92">
        <f>'Расчёт капитальных затрат'!B9</f>
        <v>22440000</v>
      </c>
      <c r="F19" s="93">
        <f t="shared" si="3"/>
        <v>11.111111111111111</v>
      </c>
      <c r="G19" s="92">
        <f t="shared" si="2"/>
        <v>2493333.333333333</v>
      </c>
    </row>
    <row r="20" spans="1:7" x14ac:dyDescent="0.3">
      <c r="A20" s="91">
        <v>5</v>
      </c>
      <c r="B20" s="91" t="str">
        <f>'Исходные данные'!P7</f>
        <v>Производственный и хозяйственный инвентарь</v>
      </c>
      <c r="C20" s="91">
        <f>'Исходные данные'!Q7</f>
        <v>4</v>
      </c>
      <c r="D20" s="91">
        <v>6</v>
      </c>
      <c r="E20" s="92">
        <f>'Расчёт капитальных затрат'!B10</f>
        <v>16830000</v>
      </c>
      <c r="F20" s="93">
        <f t="shared" si="3"/>
        <v>16.666666666666668</v>
      </c>
      <c r="G20" s="92">
        <f t="shared" si="2"/>
        <v>2805000</v>
      </c>
    </row>
    <row r="21" spans="1:7" x14ac:dyDescent="0.3">
      <c r="A21" s="91">
        <v>6</v>
      </c>
      <c r="B21" s="91" t="str">
        <f>'Исходные данные'!P8</f>
        <v>Транспортные средства</v>
      </c>
      <c r="C21" s="91">
        <f>'Исходные данные'!Q8</f>
        <v>3</v>
      </c>
      <c r="D21" s="91">
        <v>4</v>
      </c>
      <c r="E21" s="92">
        <f>'Расчёт капитальных затрат'!B11</f>
        <v>29172000</v>
      </c>
      <c r="F21" s="93">
        <f t="shared" si="3"/>
        <v>25</v>
      </c>
      <c r="G21" s="92">
        <f t="shared" si="2"/>
        <v>7293000</v>
      </c>
    </row>
    <row r="22" spans="1:7" ht="14.4" customHeight="1" x14ac:dyDescent="0.3">
      <c r="A22" s="91">
        <v>7</v>
      </c>
      <c r="B22" s="91" t="str">
        <f>'Исходные данные'!P9</f>
        <v>Слесарное оборудование</v>
      </c>
      <c r="C22" s="91">
        <f>'Исходные данные'!Q9</f>
        <v>2</v>
      </c>
      <c r="D22" s="91">
        <v>3</v>
      </c>
      <c r="E22" s="92">
        <f>'Расчёт капитальных затрат'!B6</f>
        <v>78540000</v>
      </c>
      <c r="F22" s="93">
        <f t="shared" si="3"/>
        <v>33.333333333333336</v>
      </c>
      <c r="G22" s="92">
        <f t="shared" si="2"/>
        <v>26180000</v>
      </c>
    </row>
    <row r="23" spans="1:7" x14ac:dyDescent="0.3">
      <c r="A23" s="91">
        <v>8</v>
      </c>
      <c r="B23" s="91" t="str">
        <f>'Исходные данные'!P10</f>
        <v>Монтажно-сбороч. обор.</v>
      </c>
      <c r="C23" s="91">
        <f>'Исходные данные'!Q10</f>
        <v>2</v>
      </c>
      <c r="D23" s="91">
        <v>3</v>
      </c>
      <c r="E23" s="92">
        <f>'Расчёт капитальных затрат'!B7</f>
        <v>123420000</v>
      </c>
      <c r="F23" s="93">
        <f t="shared" si="3"/>
        <v>33.333333333333336</v>
      </c>
      <c r="G23" s="92">
        <f t="shared" si="2"/>
        <v>41140000.000000007</v>
      </c>
    </row>
    <row r="24" spans="1:7" x14ac:dyDescent="0.3">
      <c r="A24" s="91">
        <v>9</v>
      </c>
      <c r="B24" s="91" t="str">
        <f>'Исходные данные'!P11</f>
        <v>Компьютеры и оргтехника</v>
      </c>
      <c r="C24" s="91">
        <f>'Исходные данные'!Q11</f>
        <v>2</v>
      </c>
      <c r="D24" s="91">
        <v>3</v>
      </c>
      <c r="E24" s="92">
        <f>'Расчёт капитальных затрат'!B12</f>
        <v>7854000</v>
      </c>
      <c r="F24" s="93">
        <f t="shared" si="3"/>
        <v>33.333333333333336</v>
      </c>
      <c r="G24" s="92">
        <f t="shared" si="2"/>
        <v>2618000.0000000005</v>
      </c>
    </row>
    <row r="25" spans="1:7" ht="13.35" customHeight="1" x14ac:dyDescent="0.3">
      <c r="A25" s="91"/>
      <c r="B25" s="91" t="s">
        <v>261</v>
      </c>
      <c r="C25" s="91"/>
      <c r="D25" s="91"/>
      <c r="E25" s="91"/>
      <c r="F25" s="91"/>
      <c r="G25" s="92">
        <f>SUM(G16:G24)</f>
        <v>139339933.33333334</v>
      </c>
    </row>
    <row r="27" spans="1:7" x14ac:dyDescent="0.3">
      <c r="A27" s="138" t="s">
        <v>302</v>
      </c>
      <c r="B27" s="138"/>
      <c r="C27" s="138"/>
    </row>
    <row r="28" spans="1:7" x14ac:dyDescent="0.3">
      <c r="A28" s="94" t="s">
        <v>6</v>
      </c>
      <c r="B28" s="94" t="s">
        <v>262</v>
      </c>
      <c r="C28" s="94" t="s">
        <v>263</v>
      </c>
    </row>
    <row r="29" spans="1:7" x14ac:dyDescent="0.3">
      <c r="A29" s="91">
        <v>1</v>
      </c>
      <c r="B29" s="91" t="s">
        <v>264</v>
      </c>
      <c r="C29" s="92">
        <f>SUM(C30:C33)</f>
        <v>43122317.147485718</v>
      </c>
    </row>
    <row r="30" spans="1:7" x14ac:dyDescent="0.3">
      <c r="A30" s="95" t="s">
        <v>296</v>
      </c>
      <c r="B30" s="91" t="s">
        <v>265</v>
      </c>
      <c r="C30" s="92">
        <f>'Расчёт ФОТ'!B56</f>
        <v>7802674.1100000003</v>
      </c>
    </row>
    <row r="31" spans="1:7" x14ac:dyDescent="0.3">
      <c r="A31" s="95" t="s">
        <v>297</v>
      </c>
      <c r="B31" s="91" t="s">
        <v>266</v>
      </c>
      <c r="C31" s="92">
        <f>'Расчёт ФОТ'!B60</f>
        <v>13825878.66</v>
      </c>
    </row>
    <row r="32" spans="1:7" x14ac:dyDescent="0.3">
      <c r="A32" s="95" t="s">
        <v>298</v>
      </c>
      <c r="B32" s="91" t="s">
        <v>267</v>
      </c>
      <c r="C32" s="92">
        <f>'Расчёт ФОТ'!B70</f>
        <v>11166671.34</v>
      </c>
    </row>
    <row r="33" spans="1:6" x14ac:dyDescent="0.3">
      <c r="A33" s="95" t="s">
        <v>299</v>
      </c>
      <c r="B33" s="91" t="s">
        <v>268</v>
      </c>
      <c r="C33" s="92">
        <f>'Расчёт ФОТ'!B84</f>
        <v>10327093.037485717</v>
      </c>
    </row>
    <row r="34" spans="1:6" x14ac:dyDescent="0.3">
      <c r="A34" s="91">
        <v>2</v>
      </c>
      <c r="B34" s="91" t="s">
        <v>269</v>
      </c>
      <c r="C34" s="92">
        <f>0.3*C29</f>
        <v>12936695.144245716</v>
      </c>
    </row>
    <row r="35" spans="1:6" x14ac:dyDescent="0.3">
      <c r="A35" s="91">
        <v>3</v>
      </c>
      <c r="B35" s="91" t="s">
        <v>270</v>
      </c>
      <c r="C35" s="92">
        <f>G25</f>
        <v>139339933.33333334</v>
      </c>
    </row>
    <row r="36" spans="1:6" x14ac:dyDescent="0.3">
      <c r="A36" s="91">
        <v>4</v>
      </c>
      <c r="B36" s="91" t="s">
        <v>271</v>
      </c>
      <c r="C36" s="92">
        <f>0.6*C29</f>
        <v>25873390.288491432</v>
      </c>
    </row>
    <row r="37" spans="1:6" x14ac:dyDescent="0.3">
      <c r="A37" s="91">
        <v>5</v>
      </c>
      <c r="B37" s="91" t="s">
        <v>272</v>
      </c>
      <c r="C37" s="92">
        <f>SUM(C29,C34:C36)</f>
        <v>221272335.91355622</v>
      </c>
    </row>
    <row r="38" spans="1:6" x14ac:dyDescent="0.3">
      <c r="A38" s="91">
        <v>6</v>
      </c>
      <c r="B38" s="91" t="s">
        <v>273</v>
      </c>
      <c r="C38" s="92">
        <f>'Расчёт ФОТ'!H20+'Расчёт ФОТ'!H21</f>
        <v>56716400.833714277</v>
      </c>
    </row>
    <row r="39" spans="1:6" x14ac:dyDescent="0.3">
      <c r="A39" s="91">
        <v>7</v>
      </c>
      <c r="B39" s="91" t="s">
        <v>274</v>
      </c>
      <c r="C39" s="93">
        <f>C37/C38*100</f>
        <v>390.13818341946683</v>
      </c>
    </row>
    <row r="41" spans="1:6" x14ac:dyDescent="0.3">
      <c r="A41" s="135" t="s">
        <v>300</v>
      </c>
      <c r="B41" s="136"/>
      <c r="C41" s="136"/>
      <c r="D41" s="136"/>
      <c r="E41" s="136"/>
      <c r="F41" s="137"/>
    </row>
    <row r="42" spans="1:6" x14ac:dyDescent="0.3">
      <c r="A42" s="107" t="s">
        <v>6</v>
      </c>
      <c r="B42" s="107" t="s">
        <v>275</v>
      </c>
      <c r="C42" s="107" t="s">
        <v>276</v>
      </c>
      <c r="D42" s="107"/>
      <c r="E42" s="107"/>
      <c r="F42" s="107"/>
    </row>
    <row r="43" spans="1:6" x14ac:dyDescent="0.3">
      <c r="A43" s="107"/>
      <c r="B43" s="107"/>
      <c r="C43" s="107" t="s">
        <v>277</v>
      </c>
      <c r="D43" s="107"/>
      <c r="E43" s="107" t="s">
        <v>278</v>
      </c>
      <c r="F43" s="107"/>
    </row>
    <row r="44" spans="1:6" x14ac:dyDescent="0.3">
      <c r="A44" s="107"/>
      <c r="B44" s="107"/>
      <c r="C44" s="5" t="s">
        <v>279</v>
      </c>
      <c r="D44" s="5" t="s">
        <v>280</v>
      </c>
      <c r="E44" s="5" t="s">
        <v>279</v>
      </c>
      <c r="F44" s="5" t="s">
        <v>280</v>
      </c>
    </row>
    <row r="45" spans="1:6" x14ac:dyDescent="0.3">
      <c r="A45" s="1">
        <v>1</v>
      </c>
      <c r="B45" s="1" t="s">
        <v>281</v>
      </c>
      <c r="C45" s="36">
        <f>H11</f>
        <v>1437</v>
      </c>
      <c r="D45" s="36">
        <f>C45*'Исходные данные'!C4</f>
        <v>7975350</v>
      </c>
      <c r="E45" s="36">
        <f>H12</f>
        <v>1922.3333333333335</v>
      </c>
      <c r="F45" s="36">
        <f>E45*'Исходные данные'!E4</f>
        <v>6958846.666666667</v>
      </c>
    </row>
    <row r="46" spans="1:6" x14ac:dyDescent="0.3">
      <c r="A46" s="1">
        <v>2</v>
      </c>
      <c r="B46" s="1" t="s">
        <v>273</v>
      </c>
      <c r="C46" s="36">
        <f>D46/'Исходные данные'!$C$4</f>
        <v>5453.785542857142</v>
      </c>
      <c r="D46" s="36">
        <f>'Расчёт ФОТ'!H20</f>
        <v>30268509.762857139</v>
      </c>
      <c r="E46" s="36">
        <f>F46/'Исходные данные'!$E$4</f>
        <v>7306.0472571428554</v>
      </c>
      <c r="F46" s="36">
        <f>'Расчёт ФОТ'!H21</f>
        <v>26447891.070857137</v>
      </c>
    </row>
    <row r="47" spans="1:6" x14ac:dyDescent="0.3">
      <c r="A47" s="1">
        <v>3</v>
      </c>
      <c r="B47" s="1" t="s">
        <v>282</v>
      </c>
      <c r="C47" s="36">
        <f>D47/'Исходные данные'!$C$4</f>
        <v>818.06783142857137</v>
      </c>
      <c r="D47" s="36">
        <f>'Расчёт ФОТ'!I20</f>
        <v>4540276.4644285711</v>
      </c>
      <c r="E47" s="36">
        <f>F47/'Исходные данные'!$E$4</f>
        <v>1095.9070885714284</v>
      </c>
      <c r="F47" s="36">
        <f>'Расчёт ФОТ'!I21</f>
        <v>3967183.6606285712</v>
      </c>
    </row>
    <row r="48" spans="1:6" x14ac:dyDescent="0.3">
      <c r="A48" s="1">
        <v>4</v>
      </c>
      <c r="B48" s="1" t="s">
        <v>371</v>
      </c>
      <c r="C48" s="36">
        <f>0.3*(C46+C47)</f>
        <v>1881.5560122857139</v>
      </c>
      <c r="D48" s="36">
        <f>0.3*(D46+D47)</f>
        <v>10442635.868185714</v>
      </c>
      <c r="E48" s="36">
        <f>0.3*(E46+E47)</f>
        <v>2520.5863037142853</v>
      </c>
      <c r="F48" s="36">
        <f>0.3*(F46+F47)</f>
        <v>9124522.4194457121</v>
      </c>
    </row>
    <row r="49" spans="1:10" x14ac:dyDescent="0.3">
      <c r="A49" s="1">
        <v>5</v>
      </c>
      <c r="B49" s="1" t="s">
        <v>372</v>
      </c>
      <c r="C49" s="36">
        <f>'Исходные данные'!$G$4*C46/100</f>
        <v>54537.85542857142</v>
      </c>
      <c r="D49" s="36">
        <f>'Исходные данные'!$G$4*D46/100</f>
        <v>302685097.62857139</v>
      </c>
      <c r="E49" s="36">
        <f>'Исходные данные'!$G$4*E46/100</f>
        <v>73060.47257142856</v>
      </c>
      <c r="F49" s="36">
        <f>'Исходные данные'!$G$4*F46/100</f>
        <v>264478910.70857134</v>
      </c>
    </row>
    <row r="50" spans="1:10" x14ac:dyDescent="0.3">
      <c r="A50" s="1">
        <v>6</v>
      </c>
      <c r="B50" s="1" t="s">
        <v>373</v>
      </c>
      <c r="C50" s="36">
        <f>SUM(C45:C49)</f>
        <v>64128.264815142844</v>
      </c>
      <c r="D50" s="36">
        <f>SUM(D45:D49)</f>
        <v>355911869.72404283</v>
      </c>
      <c r="E50" s="36">
        <f>SUM(E45:E49)</f>
        <v>85905.346554190459</v>
      </c>
      <c r="F50" s="36">
        <f>SUM(F45:F49)</f>
        <v>310977354.52616942</v>
      </c>
    </row>
    <row r="51" spans="1:10" x14ac:dyDescent="0.3">
      <c r="A51" s="1">
        <v>7</v>
      </c>
      <c r="B51" s="1" t="s">
        <v>283</v>
      </c>
      <c r="C51" s="36">
        <f>0.15*C50</f>
        <v>9619.2397222714262</v>
      </c>
      <c r="D51" s="36">
        <f>0.15*D50</f>
        <v>53386780.458606422</v>
      </c>
      <c r="E51" s="36">
        <f>0.15*E50</f>
        <v>12885.801983128569</v>
      </c>
      <c r="F51" s="36">
        <f>0.15*F50</f>
        <v>46646603.17892541</v>
      </c>
    </row>
    <row r="52" spans="1:10" x14ac:dyDescent="0.3">
      <c r="A52" s="1">
        <v>8</v>
      </c>
      <c r="B52" s="1" t="s">
        <v>374</v>
      </c>
      <c r="C52" s="36">
        <f>C50+C51</f>
        <v>73747.504537414265</v>
      </c>
      <c r="D52" s="36">
        <f>D50+D51</f>
        <v>409298650.18264925</v>
      </c>
      <c r="E52" s="36">
        <f>E50+E51</f>
        <v>98791.148537319023</v>
      </c>
      <c r="F52" s="36">
        <f>F50+F51</f>
        <v>357623957.70509481</v>
      </c>
    </row>
    <row r="54" spans="1:10" x14ac:dyDescent="0.3">
      <c r="A54" s="132" t="s">
        <v>304</v>
      </c>
      <c r="B54" s="133"/>
      <c r="C54" s="133"/>
      <c r="D54" s="133"/>
      <c r="E54" s="133"/>
      <c r="F54" s="133"/>
    </row>
    <row r="55" spans="1:10" x14ac:dyDescent="0.3">
      <c r="A55" s="5" t="s">
        <v>354</v>
      </c>
      <c r="B55" s="5" t="s">
        <v>284</v>
      </c>
      <c r="C55" s="5" t="s">
        <v>27</v>
      </c>
      <c r="D55" s="5" t="s">
        <v>285</v>
      </c>
      <c r="E55" s="5" t="s">
        <v>305</v>
      </c>
      <c r="F55" s="5" t="s">
        <v>286</v>
      </c>
      <c r="H55" s="61"/>
      <c r="I55" s="62"/>
    </row>
    <row r="56" spans="1:10" x14ac:dyDescent="0.3">
      <c r="A56" s="1" t="s">
        <v>355</v>
      </c>
      <c r="B56" s="1">
        <f>'Исходные данные'!C4</f>
        <v>5550</v>
      </c>
      <c r="C56" s="1">
        <f>'Исходные данные'!D4</f>
        <v>225</v>
      </c>
      <c r="D56" s="3">
        <f>B56*C56/365</f>
        <v>3421.2328767123286</v>
      </c>
      <c r="E56" s="49">
        <f>SUM(C45:C48)</f>
        <v>9590.4093865714276</v>
      </c>
      <c r="F56" s="36">
        <f>E61/D56+E56</f>
        <v>113667.47485349428</v>
      </c>
    </row>
    <row r="57" spans="1:10" x14ac:dyDescent="0.3">
      <c r="A57" s="1" t="s">
        <v>356</v>
      </c>
      <c r="B57" s="1">
        <f>'Исходные данные'!E4</f>
        <v>3620</v>
      </c>
      <c r="C57" s="1">
        <f>'Исходные данные'!F4</f>
        <v>150</v>
      </c>
      <c r="D57" s="3">
        <f>B57*C57/365</f>
        <v>1487.6712328767123</v>
      </c>
      <c r="E57" s="49">
        <f>SUM(E45:E48)</f>
        <v>12844.873982761903</v>
      </c>
      <c r="F57" s="36">
        <f>E62/D57+E57</f>
        <v>221980.80873218423</v>
      </c>
      <c r="I57" s="70"/>
    </row>
    <row r="58" spans="1:10" x14ac:dyDescent="0.3">
      <c r="E58" s="46"/>
    </row>
    <row r="59" spans="1:10" x14ac:dyDescent="0.3">
      <c r="A59" s="129" t="s">
        <v>313</v>
      </c>
      <c r="B59" s="130"/>
      <c r="C59" s="130"/>
      <c r="D59" s="130"/>
      <c r="E59" s="130"/>
      <c r="F59" s="130"/>
      <c r="G59" s="130"/>
      <c r="H59" s="130"/>
      <c r="I59" s="130"/>
      <c r="J59" s="131"/>
    </row>
    <row r="60" spans="1:10" x14ac:dyDescent="0.3">
      <c r="A60" s="5" t="s">
        <v>354</v>
      </c>
      <c r="B60" s="5" t="s">
        <v>287</v>
      </c>
      <c r="C60" s="5" t="s">
        <v>306</v>
      </c>
      <c r="D60" s="5" t="s">
        <v>307</v>
      </c>
      <c r="E60" s="5" t="s">
        <v>308</v>
      </c>
      <c r="F60" s="5" t="s">
        <v>309</v>
      </c>
      <c r="G60" s="5" t="s">
        <v>289</v>
      </c>
      <c r="H60" s="5" t="s">
        <v>310</v>
      </c>
      <c r="I60" s="5" t="s">
        <v>311</v>
      </c>
      <c r="J60" s="5" t="s">
        <v>312</v>
      </c>
    </row>
    <row r="61" spans="1:10" x14ac:dyDescent="0.3">
      <c r="A61" s="45" t="s">
        <v>355</v>
      </c>
      <c r="B61" s="49">
        <f>F56*B56</f>
        <v>630854485.43689322</v>
      </c>
      <c r="C61" s="49">
        <f>SUM(D45:D48)</f>
        <v>53226772.095471427</v>
      </c>
      <c r="D61" s="49">
        <f>B61-C61</f>
        <v>577627713.34142184</v>
      </c>
      <c r="E61" s="49">
        <f>SUM(D49,D51)</f>
        <v>356071878.08717781</v>
      </c>
      <c r="F61" s="49">
        <f>D61-E61</f>
        <v>221555835.25424403</v>
      </c>
      <c r="G61" s="49">
        <f>0.2*F61</f>
        <v>44311167.050848812</v>
      </c>
      <c r="H61" s="49">
        <f>F61-G61</f>
        <v>177244668.20339522</v>
      </c>
      <c r="I61" s="36">
        <f>F61/D52*100</f>
        <v>54.130604915353345</v>
      </c>
      <c r="J61" s="3">
        <f>F61/B61*100</f>
        <v>35.119958781113731</v>
      </c>
    </row>
    <row r="62" spans="1:10" x14ac:dyDescent="0.3">
      <c r="A62" s="1" t="s">
        <v>356</v>
      </c>
      <c r="B62" s="49">
        <f>F57*B57</f>
        <v>803570527.61050689</v>
      </c>
      <c r="C62" s="49">
        <f>SUM(F45:F48)</f>
        <v>46498443.81759809</v>
      </c>
      <c r="D62" s="49">
        <f>B62-C62</f>
        <v>757072083.79290879</v>
      </c>
      <c r="E62" s="49">
        <f>SUM(F49,F51)</f>
        <v>311125513.88749677</v>
      </c>
      <c r="F62" s="49">
        <f>D62-E62</f>
        <v>445946569.90541202</v>
      </c>
      <c r="G62" s="49">
        <f>0.2*F62</f>
        <v>89189313.98108241</v>
      </c>
      <c r="H62" s="49">
        <f>F62-G62</f>
        <v>356757255.92432964</v>
      </c>
      <c r="I62" s="36">
        <f>F62/F52*100</f>
        <v>124.69706245831273</v>
      </c>
      <c r="J62" s="3">
        <f>F62/B62*100</f>
        <v>55.495635365258657</v>
      </c>
    </row>
    <row r="63" spans="1:10" x14ac:dyDescent="0.3">
      <c r="A63" s="52" t="s">
        <v>153</v>
      </c>
      <c r="B63" s="49">
        <f>B61+B62</f>
        <v>1434425013.0474</v>
      </c>
      <c r="C63" s="49">
        <f>C61+C62</f>
        <v>99725215.913069516</v>
      </c>
      <c r="D63" s="49">
        <f>D61+D62</f>
        <v>1334699797.1343307</v>
      </c>
      <c r="E63" s="49">
        <f>E61+E62</f>
        <v>667197391.97467458</v>
      </c>
      <c r="F63" s="49">
        <f>D63-E63</f>
        <v>667502405.15965617</v>
      </c>
      <c r="G63" s="49">
        <f>G61+G62</f>
        <v>133500481.03193122</v>
      </c>
      <c r="H63" s="49">
        <f>H61+H62</f>
        <v>534001924.12772489</v>
      </c>
      <c r="I63" s="36">
        <f>F63/(F52+D52)*100</f>
        <v>87.036475166391199</v>
      </c>
      <c r="J63" s="3">
        <f>F63/B63*100</f>
        <v>46.534492851708158</v>
      </c>
    </row>
    <row r="65" spans="2:23" x14ac:dyDescent="0.3">
      <c r="C65" s="4" t="s">
        <v>354</v>
      </c>
      <c r="D65" s="4" t="s">
        <v>357</v>
      </c>
      <c r="E65" s="4" t="s">
        <v>314</v>
      </c>
      <c r="F65" s="4" t="s">
        <v>315</v>
      </c>
      <c r="G65" s="4" t="s">
        <v>382</v>
      </c>
      <c r="H65" s="4" t="s">
        <v>288</v>
      </c>
      <c r="I65" s="4" t="s">
        <v>381</v>
      </c>
      <c r="J65" s="4" t="s">
        <v>316</v>
      </c>
      <c r="K65" s="4" t="s">
        <v>287</v>
      </c>
      <c r="M65" s="53"/>
      <c r="N65" s="53"/>
    </row>
    <row r="66" spans="2:23" x14ac:dyDescent="0.3">
      <c r="C66" s="107" t="s">
        <v>355</v>
      </c>
      <c r="D66" s="1"/>
      <c r="E66" s="54">
        <v>0</v>
      </c>
      <c r="F66" s="148">
        <f>SUM(C45:C48)</f>
        <v>9590.4093865714276</v>
      </c>
      <c r="G66" s="49">
        <f>$F$66*$E66</f>
        <v>0</v>
      </c>
      <c r="H66" s="148">
        <f>D49+D51</f>
        <v>356071878.08717781</v>
      </c>
      <c r="I66" s="49">
        <f>$H$66+$G66</f>
        <v>356071878.08717781</v>
      </c>
      <c r="J66" s="143">
        <f>F56</f>
        <v>113667.47485349428</v>
      </c>
      <c r="K66" s="49">
        <f>$J$66*$E66</f>
        <v>0</v>
      </c>
      <c r="M66" s="63">
        <f>I66</f>
        <v>356071878.08717781</v>
      </c>
      <c r="N66" s="63">
        <f>K66-M66</f>
        <v>-356071878.08717781</v>
      </c>
    </row>
    <row r="67" spans="2:23" x14ac:dyDescent="0.3">
      <c r="C67" s="107"/>
      <c r="D67" s="52" t="s">
        <v>317</v>
      </c>
      <c r="E67" s="55">
        <f>D56</f>
        <v>3421.2328767123286</v>
      </c>
      <c r="F67" s="149"/>
      <c r="G67" s="49">
        <f>$F$66*$E67</f>
        <v>32811023.894468684</v>
      </c>
      <c r="H67" s="149"/>
      <c r="I67" s="49">
        <f>$H$66+$G67</f>
        <v>388882901.98164648</v>
      </c>
      <c r="J67" s="144"/>
      <c r="K67" s="49">
        <f>$J$66*$E67</f>
        <v>388882901.98164648</v>
      </c>
      <c r="M67" s="63">
        <f t="shared" ref="M67:M71" si="4">I67</f>
        <v>388882901.98164648</v>
      </c>
      <c r="N67" s="63">
        <f t="shared" ref="N67:N71" si="5">K67-M67</f>
        <v>0</v>
      </c>
    </row>
    <row r="68" spans="2:23" ht="15" thickBot="1" x14ac:dyDescent="0.35">
      <c r="C68" s="153"/>
      <c r="D68" s="58" t="s">
        <v>318</v>
      </c>
      <c r="E68" s="59">
        <f>'Исходные данные'!C4</f>
        <v>5550</v>
      </c>
      <c r="F68" s="150"/>
      <c r="G68" s="60">
        <f>$F$66*$E68</f>
        <v>53226772.095471427</v>
      </c>
      <c r="H68" s="150"/>
      <c r="I68" s="60">
        <f>$H$66+$G68</f>
        <v>409298650.18264925</v>
      </c>
      <c r="J68" s="145"/>
      <c r="K68" s="60">
        <f>$J$66*$E68</f>
        <v>630854485.43689322</v>
      </c>
      <c r="M68" s="63">
        <f t="shared" si="4"/>
        <v>409298650.18264925</v>
      </c>
      <c r="N68" s="63">
        <f t="shared" si="5"/>
        <v>221555835.25424397</v>
      </c>
    </row>
    <row r="69" spans="2:23" x14ac:dyDescent="0.3">
      <c r="C69" s="154" t="s">
        <v>356</v>
      </c>
      <c r="D69" s="12"/>
      <c r="E69" s="56">
        <v>0</v>
      </c>
      <c r="F69" s="151">
        <f>SUM(E45:E48)</f>
        <v>12844.873982761903</v>
      </c>
      <c r="G69" s="57">
        <f>$F$69*$E69</f>
        <v>0</v>
      </c>
      <c r="H69" s="151">
        <f>F49+F51</f>
        <v>311125513.88749677</v>
      </c>
      <c r="I69" s="57">
        <f>$H69+$G69</f>
        <v>311125513.88749677</v>
      </c>
      <c r="J69" s="146">
        <f>F57</f>
        <v>221980.80873218423</v>
      </c>
      <c r="K69" s="57">
        <f>$J$69*$E69</f>
        <v>0</v>
      </c>
      <c r="M69" s="63">
        <f t="shared" si="4"/>
        <v>311125513.88749677</v>
      </c>
      <c r="N69" s="63">
        <f t="shared" si="5"/>
        <v>-311125513.88749677</v>
      </c>
    </row>
    <row r="70" spans="2:23" x14ac:dyDescent="0.3">
      <c r="C70" s="107"/>
      <c r="D70" s="52" t="s">
        <v>317</v>
      </c>
      <c r="E70" s="55">
        <f>D57</f>
        <v>1487.6712328767123</v>
      </c>
      <c r="F70" s="149"/>
      <c r="G70" s="57">
        <f>$F$69*$E70</f>
        <v>19108949.514081407</v>
      </c>
      <c r="H70" s="149"/>
      <c r="I70" s="57">
        <f>$H$69+$G70</f>
        <v>330234463.40157819</v>
      </c>
      <c r="J70" s="144"/>
      <c r="K70" s="49">
        <f>$J$69*$E70</f>
        <v>330234463.40157819</v>
      </c>
      <c r="M70" s="63">
        <f t="shared" si="4"/>
        <v>330234463.40157819</v>
      </c>
      <c r="N70" s="63">
        <f t="shared" si="5"/>
        <v>0</v>
      </c>
    </row>
    <row r="71" spans="2:23" x14ac:dyDescent="0.3">
      <c r="C71" s="107"/>
      <c r="D71" s="52" t="s">
        <v>318</v>
      </c>
      <c r="E71" s="54">
        <f>'Исходные данные'!E4</f>
        <v>3620</v>
      </c>
      <c r="F71" s="152"/>
      <c r="G71" s="57">
        <f>$F$69*$E71</f>
        <v>46498443.81759809</v>
      </c>
      <c r="H71" s="152"/>
      <c r="I71" s="57">
        <f>$H$69+$G71</f>
        <v>357623957.70509487</v>
      </c>
      <c r="J71" s="147"/>
      <c r="K71" s="49">
        <f>$J$69*$E71</f>
        <v>803570527.61050689</v>
      </c>
      <c r="M71" s="63">
        <f t="shared" si="4"/>
        <v>357623957.70509487</v>
      </c>
      <c r="N71" s="63">
        <f t="shared" si="5"/>
        <v>445946569.90541202</v>
      </c>
    </row>
    <row r="73" spans="2:23" x14ac:dyDescent="0.3">
      <c r="B73" t="s">
        <v>351</v>
      </c>
    </row>
    <row r="76" spans="2:23" ht="15" customHeight="1" x14ac:dyDescent="0.3">
      <c r="K76" s="140" t="s">
        <v>375</v>
      </c>
      <c r="L76" s="140"/>
      <c r="M76" s="140"/>
      <c r="N76" s="140"/>
      <c r="O76" s="140"/>
      <c r="P76" s="140"/>
      <c r="Q76" s="140"/>
      <c r="R76" s="140"/>
      <c r="S76" s="99"/>
      <c r="T76" s="99"/>
      <c r="U76" s="99"/>
      <c r="V76" s="99"/>
      <c r="W76" s="99"/>
    </row>
    <row r="77" spans="2:23" ht="15" customHeight="1" x14ac:dyDescent="0.3">
      <c r="K77" s="140"/>
      <c r="L77" s="140"/>
      <c r="M77" s="140"/>
      <c r="N77" s="140"/>
      <c r="O77" s="140"/>
      <c r="P77" s="140"/>
      <c r="Q77" s="140"/>
      <c r="R77" s="140"/>
      <c r="S77" s="99"/>
      <c r="T77" s="99"/>
      <c r="U77" s="99"/>
      <c r="V77" s="99"/>
      <c r="W77" s="99"/>
    </row>
    <row r="78" spans="2:23" ht="15" customHeight="1" x14ac:dyDescent="0.3">
      <c r="K78" s="140"/>
      <c r="L78" s="140"/>
      <c r="M78" s="140"/>
      <c r="N78" s="140"/>
      <c r="O78" s="140"/>
      <c r="P78" s="140"/>
      <c r="Q78" s="140"/>
      <c r="R78" s="140"/>
      <c r="S78" s="99"/>
      <c r="T78" s="99"/>
      <c r="U78" s="99"/>
      <c r="V78" s="99"/>
      <c r="W78" s="99"/>
    </row>
    <row r="82" spans="11:24" x14ac:dyDescent="0.3">
      <c r="K82" s="77" t="s">
        <v>380</v>
      </c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1:24" x14ac:dyDescent="0.3">
      <c r="K83" s="77"/>
      <c r="L83" s="77"/>
      <c r="M83" s="77"/>
      <c r="N83" s="77"/>
      <c r="O83" s="77"/>
      <c r="P83" s="77"/>
      <c r="Q83" s="77"/>
      <c r="R83" s="77"/>
    </row>
    <row r="84" spans="11:24" x14ac:dyDescent="0.3">
      <c r="K84" s="77"/>
      <c r="L84" s="77"/>
      <c r="M84" s="77"/>
      <c r="N84" s="77"/>
      <c r="O84" s="77"/>
      <c r="P84" s="77"/>
      <c r="Q84" s="77"/>
      <c r="R84" s="77"/>
    </row>
    <row r="85" spans="11:24" x14ac:dyDescent="0.3">
      <c r="K85" s="77"/>
      <c r="L85" s="77"/>
      <c r="M85" s="77"/>
      <c r="N85" s="77"/>
      <c r="O85" s="77"/>
      <c r="P85" s="77"/>
      <c r="Q85" s="77"/>
      <c r="R85" s="77"/>
    </row>
    <row r="86" spans="11:24" x14ac:dyDescent="0.3">
      <c r="K86" s="77"/>
      <c r="L86" s="77"/>
      <c r="M86" s="77"/>
      <c r="N86" s="77"/>
      <c r="O86" s="77"/>
      <c r="P86" s="77"/>
      <c r="Q86" s="77"/>
      <c r="R86" s="77"/>
    </row>
    <row r="87" spans="11:24" x14ac:dyDescent="0.3">
      <c r="K87" s="77"/>
      <c r="L87" s="77"/>
      <c r="M87" s="77"/>
      <c r="N87" s="77"/>
      <c r="O87" s="77"/>
      <c r="P87" s="77"/>
      <c r="Q87" s="77"/>
      <c r="R87" s="77"/>
    </row>
    <row r="88" spans="11:24" x14ac:dyDescent="0.3">
      <c r="K88" s="77"/>
      <c r="L88" s="77"/>
      <c r="M88" s="77"/>
      <c r="N88" s="77"/>
      <c r="O88" s="77"/>
      <c r="P88" s="77"/>
      <c r="Q88" s="77"/>
      <c r="R88" s="77"/>
    </row>
    <row r="89" spans="11:24" x14ac:dyDescent="0.3">
      <c r="K89" s="77"/>
      <c r="L89" s="77"/>
      <c r="M89" s="77"/>
      <c r="N89" s="77"/>
      <c r="O89" s="77"/>
      <c r="P89" s="77"/>
      <c r="Q89" s="77"/>
      <c r="R89" s="77"/>
    </row>
    <row r="90" spans="11:24" x14ac:dyDescent="0.3">
      <c r="K90" s="77"/>
      <c r="L90" s="77"/>
      <c r="M90" s="77"/>
      <c r="N90" s="77"/>
      <c r="O90" s="77"/>
      <c r="P90" s="77"/>
      <c r="Q90" s="77"/>
      <c r="R90" s="77"/>
    </row>
    <row r="91" spans="11:24" x14ac:dyDescent="0.3">
      <c r="K91" s="77"/>
      <c r="L91" s="77"/>
      <c r="M91" s="77"/>
      <c r="N91" s="77"/>
      <c r="O91" s="77"/>
      <c r="P91" s="77"/>
      <c r="Q91" s="77"/>
      <c r="R91" s="77"/>
    </row>
    <row r="92" spans="11:24" x14ac:dyDescent="0.3">
      <c r="K92" s="77"/>
      <c r="L92" s="77"/>
      <c r="M92" s="77"/>
      <c r="N92" s="77"/>
      <c r="O92" s="77"/>
      <c r="P92" s="77"/>
      <c r="Q92" s="77"/>
      <c r="R92" s="77"/>
    </row>
    <row r="93" spans="11:24" x14ac:dyDescent="0.3">
      <c r="K93" s="77"/>
      <c r="L93" s="77"/>
      <c r="M93" s="77"/>
      <c r="N93" s="77"/>
      <c r="O93" s="77"/>
      <c r="P93" s="77"/>
      <c r="Q93" s="77"/>
      <c r="R93" s="77"/>
    </row>
    <row r="94" spans="11:24" x14ac:dyDescent="0.3">
      <c r="K94" s="77"/>
      <c r="L94" s="77"/>
      <c r="M94" s="77"/>
      <c r="N94" s="77"/>
      <c r="O94" s="77"/>
      <c r="P94" s="77"/>
      <c r="Q94" s="77"/>
      <c r="R94" s="77"/>
    </row>
    <row r="95" spans="11:24" x14ac:dyDescent="0.3">
      <c r="K95" s="77"/>
      <c r="L95" s="77"/>
      <c r="M95" s="77"/>
      <c r="N95" s="77"/>
      <c r="O95" s="77"/>
      <c r="P95" s="77"/>
      <c r="Q95" s="77"/>
      <c r="R95" s="77"/>
    </row>
    <row r="96" spans="11:24" x14ac:dyDescent="0.3">
      <c r="K96" s="77"/>
      <c r="L96" s="77"/>
      <c r="M96" s="77"/>
      <c r="N96" s="77"/>
      <c r="O96" s="77"/>
      <c r="P96" s="77"/>
      <c r="Q96" s="77"/>
      <c r="R96" s="77"/>
    </row>
    <row r="97" spans="11:18" x14ac:dyDescent="0.3">
      <c r="K97" s="77"/>
      <c r="L97" s="77"/>
      <c r="M97" s="77"/>
      <c r="N97" s="77"/>
      <c r="O97" s="77"/>
      <c r="P97" s="77"/>
      <c r="Q97" s="77"/>
      <c r="R97" s="77"/>
    </row>
    <row r="119" spans="1:10" x14ac:dyDescent="0.3">
      <c r="A119" s="142" t="s">
        <v>319</v>
      </c>
      <c r="B119" s="142"/>
      <c r="C119" s="142"/>
      <c r="D119" s="142"/>
    </row>
    <row r="120" spans="1:10" x14ac:dyDescent="0.3">
      <c r="A120" s="5" t="s">
        <v>6</v>
      </c>
      <c r="B120" s="5" t="s">
        <v>320</v>
      </c>
      <c r="C120" s="5" t="s">
        <v>18</v>
      </c>
      <c r="D120" s="5" t="s">
        <v>321</v>
      </c>
    </row>
    <row r="121" spans="1:10" x14ac:dyDescent="0.3">
      <c r="A121" s="52">
        <v>1</v>
      </c>
      <c r="B121" s="1" t="s">
        <v>326</v>
      </c>
      <c r="C121" s="1" t="s">
        <v>345</v>
      </c>
      <c r="D121" s="36">
        <f>'Расчёт капитальных затрат'!B14</f>
        <v>1038612960</v>
      </c>
      <c r="I121" s="47"/>
      <c r="J121" s="69"/>
    </row>
    <row r="122" spans="1:10" x14ac:dyDescent="0.3">
      <c r="A122" s="52">
        <v>2</v>
      </c>
      <c r="B122" s="1" t="s">
        <v>327</v>
      </c>
      <c r="C122" s="1" t="s">
        <v>346</v>
      </c>
      <c r="D122" s="1">
        <f>'Потребность в оборудовании'!D12</f>
        <v>1058</v>
      </c>
      <c r="I122" s="47"/>
      <c r="J122" s="48"/>
    </row>
    <row r="123" spans="1:10" x14ac:dyDescent="0.3">
      <c r="A123" s="52">
        <v>3</v>
      </c>
      <c r="B123" s="1" t="s">
        <v>328</v>
      </c>
      <c r="C123" s="1" t="s">
        <v>347</v>
      </c>
      <c r="D123" s="9">
        <f>'Численность персонала'!I21</f>
        <v>134</v>
      </c>
      <c r="I123" s="47"/>
      <c r="J123" s="48"/>
    </row>
    <row r="124" spans="1:10" x14ac:dyDescent="0.3">
      <c r="A124" s="50" t="s">
        <v>322</v>
      </c>
      <c r="B124" s="1" t="s">
        <v>329</v>
      </c>
      <c r="C124" s="1" t="s">
        <v>347</v>
      </c>
      <c r="D124" s="9">
        <f>'Численность персонала'!I16</f>
        <v>108</v>
      </c>
    </row>
    <row r="125" spans="1:10" x14ac:dyDescent="0.3">
      <c r="A125" s="50" t="s">
        <v>323</v>
      </c>
      <c r="B125" s="1" t="s">
        <v>330</v>
      </c>
      <c r="C125" s="1" t="s">
        <v>347</v>
      </c>
      <c r="D125" s="1">
        <f>'Численность персонала'!I19</f>
        <v>3</v>
      </c>
    </row>
    <row r="126" spans="1:10" x14ac:dyDescent="0.3">
      <c r="A126" s="50" t="s">
        <v>324</v>
      </c>
      <c r="B126" s="1" t="s">
        <v>331</v>
      </c>
      <c r="C126" s="1" t="s">
        <v>347</v>
      </c>
      <c r="D126" s="1">
        <f>'Численность персонала'!I17</f>
        <v>10</v>
      </c>
    </row>
    <row r="127" spans="1:10" x14ac:dyDescent="0.3">
      <c r="A127" s="50" t="s">
        <v>325</v>
      </c>
      <c r="B127" s="1" t="s">
        <v>332</v>
      </c>
      <c r="C127" s="1" t="s">
        <v>347</v>
      </c>
      <c r="D127" s="1">
        <f>'Численность персонала'!I18</f>
        <v>13</v>
      </c>
    </row>
    <row r="128" spans="1:10" x14ac:dyDescent="0.3">
      <c r="A128" s="52">
        <v>4</v>
      </c>
      <c r="B128" s="1" t="s">
        <v>333</v>
      </c>
      <c r="C128" s="1" t="s">
        <v>345</v>
      </c>
      <c r="D128" s="36">
        <f>'Расчёт ФОТ'!K19</f>
        <v>65223860.958771423</v>
      </c>
    </row>
    <row r="129" spans="1:9" x14ac:dyDescent="0.3">
      <c r="A129" s="52">
        <v>5</v>
      </c>
      <c r="B129" s="1" t="s">
        <v>334</v>
      </c>
      <c r="C129" s="1" t="s">
        <v>345</v>
      </c>
      <c r="D129" s="1"/>
      <c r="I129" s="70"/>
    </row>
    <row r="130" spans="1:9" x14ac:dyDescent="0.3">
      <c r="A130" s="50" t="s">
        <v>335</v>
      </c>
      <c r="B130" s="1" t="s">
        <v>161</v>
      </c>
      <c r="C130" s="1" t="s">
        <v>345</v>
      </c>
      <c r="D130" s="36">
        <f>C52</f>
        <v>73747.504537414265</v>
      </c>
      <c r="G130" s="68"/>
    </row>
    <row r="131" spans="1:9" x14ac:dyDescent="0.3">
      <c r="A131" s="50" t="s">
        <v>336</v>
      </c>
      <c r="B131" s="1" t="s">
        <v>162</v>
      </c>
      <c r="C131" s="1" t="s">
        <v>345</v>
      </c>
      <c r="D131" s="36">
        <f>E52</f>
        <v>98791.148537319023</v>
      </c>
    </row>
    <row r="132" spans="1:9" x14ac:dyDescent="0.3">
      <c r="A132" s="52">
        <v>6</v>
      </c>
      <c r="B132" s="1" t="s">
        <v>348</v>
      </c>
      <c r="C132" s="1" t="s">
        <v>345</v>
      </c>
      <c r="D132" s="1"/>
    </row>
    <row r="133" spans="1:9" x14ac:dyDescent="0.3">
      <c r="A133" s="50" t="s">
        <v>337</v>
      </c>
      <c r="B133" s="1" t="s">
        <v>161</v>
      </c>
      <c r="C133" s="1" t="s">
        <v>345</v>
      </c>
      <c r="D133" s="36">
        <f>F56</f>
        <v>113667.47485349428</v>
      </c>
    </row>
    <row r="134" spans="1:9" x14ac:dyDescent="0.3">
      <c r="A134" s="50" t="s">
        <v>338</v>
      </c>
      <c r="B134" s="1" t="s">
        <v>162</v>
      </c>
      <c r="C134" s="1" t="s">
        <v>345</v>
      </c>
      <c r="D134" s="36">
        <f>F57</f>
        <v>221980.80873218423</v>
      </c>
      <c r="F134" s="141" t="s">
        <v>363</v>
      </c>
      <c r="G134" s="141"/>
    </row>
    <row r="135" spans="1:9" x14ac:dyDescent="0.3">
      <c r="A135" s="52">
        <v>7</v>
      </c>
      <c r="B135" s="1" t="s">
        <v>339</v>
      </c>
      <c r="C135" s="1" t="s">
        <v>345</v>
      </c>
      <c r="D135" s="36">
        <f>B63</f>
        <v>1434425013.0474</v>
      </c>
      <c r="F135" s="94" t="s">
        <v>358</v>
      </c>
      <c r="G135" s="96">
        <f>D135/D121</f>
        <v>1.3810967783873984</v>
      </c>
    </row>
    <row r="136" spans="1:9" x14ac:dyDescent="0.3">
      <c r="A136" s="52">
        <v>8</v>
      </c>
      <c r="B136" s="1" t="s">
        <v>340</v>
      </c>
      <c r="C136" s="1" t="s">
        <v>345</v>
      </c>
      <c r="D136" s="36">
        <f>D63</f>
        <v>1334699797.1343307</v>
      </c>
      <c r="F136" s="94" t="s">
        <v>359</v>
      </c>
      <c r="G136" s="94">
        <f>1/G135</f>
        <v>0.72406222043876167</v>
      </c>
    </row>
    <row r="137" spans="1:9" x14ac:dyDescent="0.3">
      <c r="A137" s="52">
        <v>9</v>
      </c>
      <c r="B137" s="1" t="s">
        <v>341</v>
      </c>
      <c r="C137" s="1" t="s">
        <v>345</v>
      </c>
      <c r="D137" s="36">
        <f>F63</f>
        <v>667502405.15965617</v>
      </c>
      <c r="F137" s="94" t="s">
        <v>360</v>
      </c>
      <c r="G137" s="94">
        <f>D138/D121</f>
        <v>0.51414910529108449</v>
      </c>
    </row>
    <row r="138" spans="1:9" x14ac:dyDescent="0.3">
      <c r="A138" s="52">
        <v>10</v>
      </c>
      <c r="B138" s="1" t="s">
        <v>342</v>
      </c>
      <c r="C138" s="1" t="s">
        <v>345</v>
      </c>
      <c r="D138" s="36">
        <f>H63</f>
        <v>534001924.12772489</v>
      </c>
      <c r="F138" s="94" t="s">
        <v>361</v>
      </c>
      <c r="G138" s="94">
        <f>D121/D123</f>
        <v>7750842.9850746272</v>
      </c>
    </row>
    <row r="139" spans="1:9" x14ac:dyDescent="0.3">
      <c r="A139" s="52">
        <v>11</v>
      </c>
      <c r="B139" s="1" t="s">
        <v>343</v>
      </c>
      <c r="C139" s="1" t="s">
        <v>349</v>
      </c>
      <c r="D139" s="3">
        <f>H63/D121*100</f>
        <v>51.414910529108447</v>
      </c>
      <c r="F139" s="94" t="s">
        <v>362</v>
      </c>
      <c r="G139" s="91">
        <f>D135/D123</f>
        <v>10704664.276473135</v>
      </c>
    </row>
    <row r="140" spans="1:9" x14ac:dyDescent="0.3">
      <c r="A140" s="52">
        <v>12</v>
      </c>
      <c r="B140" s="1" t="s">
        <v>344</v>
      </c>
      <c r="C140" s="1" t="s">
        <v>350</v>
      </c>
      <c r="D140" s="9">
        <f>ROUNDUP(D121/H63, 0)</f>
        <v>2</v>
      </c>
    </row>
    <row r="144" spans="1:9" x14ac:dyDescent="0.3">
      <c r="B144" s="70"/>
    </row>
  </sheetData>
  <mergeCells count="24">
    <mergeCell ref="K76:R78"/>
    <mergeCell ref="F134:G134"/>
    <mergeCell ref="A119:D119"/>
    <mergeCell ref="J66:J68"/>
    <mergeCell ref="J69:J71"/>
    <mergeCell ref="H66:H68"/>
    <mergeCell ref="H69:H71"/>
    <mergeCell ref="C66:C68"/>
    <mergeCell ref="C69:C71"/>
    <mergeCell ref="F66:F68"/>
    <mergeCell ref="F69:F71"/>
    <mergeCell ref="A1:H1"/>
    <mergeCell ref="A59:J59"/>
    <mergeCell ref="A54:F54"/>
    <mergeCell ref="A3:A6"/>
    <mergeCell ref="A7:A10"/>
    <mergeCell ref="A41:F41"/>
    <mergeCell ref="C42:F42"/>
    <mergeCell ref="C43:D43"/>
    <mergeCell ref="E43:F43"/>
    <mergeCell ref="B42:B44"/>
    <mergeCell ref="A42:A44"/>
    <mergeCell ref="A27:C27"/>
    <mergeCell ref="A14:G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CF20-42C2-415F-A431-96DB2C7C1A39}">
  <dimension ref="A1:AB29"/>
  <sheetViews>
    <sheetView topLeftCell="A8" zoomScale="145" zoomScaleNormal="145" workbookViewId="0">
      <selection activeCell="B25" sqref="B25"/>
    </sheetView>
  </sheetViews>
  <sheetFormatPr defaultRowHeight="14.4" x14ac:dyDescent="0.3"/>
  <cols>
    <col min="1" max="1" width="19.88671875" customWidth="1"/>
    <col min="6" max="6" width="11.5546875" customWidth="1"/>
    <col min="8" max="8" width="23.109375" customWidth="1"/>
    <col min="9" max="9" width="24.44140625" customWidth="1"/>
    <col min="10" max="10" width="16.44140625" customWidth="1"/>
    <col min="11" max="11" width="16.5546875" customWidth="1"/>
    <col min="12" max="13" width="14.44140625" customWidth="1"/>
    <col min="15" max="15" width="4.5546875" customWidth="1"/>
    <col min="16" max="16" width="26.88671875" customWidth="1"/>
    <col min="17" max="17" width="13.5546875" customWidth="1"/>
    <col min="18" max="18" width="28.109375" customWidth="1"/>
  </cols>
  <sheetData>
    <row r="1" spans="1:28" ht="15" customHeight="1" x14ac:dyDescent="0.3">
      <c r="A1" s="107" t="s">
        <v>21</v>
      </c>
      <c r="B1" s="107" t="s">
        <v>22</v>
      </c>
      <c r="C1" s="107" t="s">
        <v>23</v>
      </c>
      <c r="D1" s="107"/>
      <c r="E1" s="107"/>
      <c r="F1" s="107"/>
      <c r="G1" s="111" t="s">
        <v>365</v>
      </c>
      <c r="H1" s="107" t="s">
        <v>28</v>
      </c>
      <c r="I1" s="107" t="s">
        <v>29</v>
      </c>
      <c r="J1" s="107" t="s">
        <v>30</v>
      </c>
      <c r="K1" s="107"/>
      <c r="L1" s="107" t="s">
        <v>31</v>
      </c>
      <c r="M1" s="107"/>
      <c r="O1" s="109" t="s">
        <v>118</v>
      </c>
      <c r="P1" s="109"/>
      <c r="Q1" s="109"/>
      <c r="R1" s="109"/>
      <c r="T1" s="110" t="s">
        <v>21</v>
      </c>
      <c r="U1" s="109" t="s">
        <v>124</v>
      </c>
      <c r="V1" s="109"/>
      <c r="W1" s="109"/>
      <c r="X1" s="109"/>
      <c r="Y1" s="109"/>
      <c r="Z1" s="109"/>
      <c r="AA1" s="109"/>
      <c r="AB1" s="109"/>
    </row>
    <row r="2" spans="1:28" ht="28.8" x14ac:dyDescent="0.3">
      <c r="A2" s="107"/>
      <c r="B2" s="107"/>
      <c r="C2" s="107" t="s">
        <v>24</v>
      </c>
      <c r="D2" s="107"/>
      <c r="E2" s="107" t="s">
        <v>25</v>
      </c>
      <c r="F2" s="107"/>
      <c r="G2" s="111"/>
      <c r="H2" s="107"/>
      <c r="I2" s="107"/>
      <c r="J2" s="5" t="s">
        <v>32</v>
      </c>
      <c r="K2" s="5" t="s">
        <v>33</v>
      </c>
      <c r="L2" s="8" t="s">
        <v>34</v>
      </c>
      <c r="M2" s="8" t="s">
        <v>35</v>
      </c>
      <c r="O2" s="5" t="s">
        <v>6</v>
      </c>
      <c r="P2" s="8" t="s">
        <v>112</v>
      </c>
      <c r="Q2" s="8" t="s">
        <v>110</v>
      </c>
      <c r="R2" s="8" t="s">
        <v>115</v>
      </c>
      <c r="T2" s="110"/>
      <c r="U2" s="110" t="s">
        <v>24</v>
      </c>
      <c r="V2" s="110"/>
      <c r="W2" s="110"/>
      <c r="X2" s="110"/>
      <c r="Y2" s="109" t="s">
        <v>25</v>
      </c>
      <c r="Z2" s="109"/>
      <c r="AA2" s="109"/>
      <c r="AB2" s="109"/>
    </row>
    <row r="3" spans="1:28" x14ac:dyDescent="0.3">
      <c r="A3" s="107"/>
      <c r="B3" s="107"/>
      <c r="C3" s="5" t="s">
        <v>26</v>
      </c>
      <c r="D3" s="5" t="s">
        <v>27</v>
      </c>
      <c r="E3" s="5" t="s">
        <v>26</v>
      </c>
      <c r="F3" s="5" t="s">
        <v>27</v>
      </c>
      <c r="G3" s="111"/>
      <c r="H3" s="2" t="s">
        <v>36</v>
      </c>
      <c r="I3" s="5">
        <v>4</v>
      </c>
      <c r="J3" s="5">
        <v>1.8</v>
      </c>
      <c r="K3" s="5">
        <v>2.5</v>
      </c>
      <c r="L3" s="5">
        <v>1.03</v>
      </c>
      <c r="M3" s="5"/>
      <c r="O3" s="5">
        <v>1</v>
      </c>
      <c r="P3" s="6" t="s">
        <v>105</v>
      </c>
      <c r="Q3" s="5">
        <v>7</v>
      </c>
      <c r="R3" s="6" t="s">
        <v>117</v>
      </c>
      <c r="T3" s="110"/>
      <c r="U3" s="1" t="s">
        <v>125</v>
      </c>
      <c r="V3" s="1" t="s">
        <v>126</v>
      </c>
      <c r="W3" s="1" t="s">
        <v>127</v>
      </c>
      <c r="X3" s="1" t="s">
        <v>128</v>
      </c>
      <c r="Y3" s="1" t="s">
        <v>129</v>
      </c>
      <c r="Z3" s="1" t="s">
        <v>130</v>
      </c>
      <c r="AA3" s="1" t="s">
        <v>127</v>
      </c>
      <c r="AB3" s="1" t="s">
        <v>128</v>
      </c>
    </row>
    <row r="4" spans="1:28" x14ac:dyDescent="0.3">
      <c r="A4" s="76">
        <v>5</v>
      </c>
      <c r="B4" s="76">
        <v>15</v>
      </c>
      <c r="C4" s="76">
        <v>5550</v>
      </c>
      <c r="D4" s="76">
        <v>225</v>
      </c>
      <c r="E4" s="76">
        <v>3620</v>
      </c>
      <c r="F4" s="76">
        <v>150</v>
      </c>
      <c r="G4" s="76">
        <v>1000</v>
      </c>
      <c r="H4" s="2" t="s">
        <v>37</v>
      </c>
      <c r="I4" s="5">
        <v>4</v>
      </c>
      <c r="J4" s="5">
        <v>2.4</v>
      </c>
      <c r="K4" s="5">
        <v>2.9</v>
      </c>
      <c r="L4" s="5">
        <v>1</v>
      </c>
      <c r="M4" s="5"/>
      <c r="O4" s="5">
        <v>2</v>
      </c>
      <c r="P4" s="6" t="s">
        <v>111</v>
      </c>
      <c r="Q4" s="5">
        <v>6</v>
      </c>
      <c r="R4" s="6" t="s">
        <v>116</v>
      </c>
      <c r="T4" s="76">
        <v>5</v>
      </c>
      <c r="U4" s="76">
        <v>0.9</v>
      </c>
      <c r="V4" s="76">
        <v>6</v>
      </c>
      <c r="W4" s="76">
        <v>5</v>
      </c>
      <c r="X4" s="76">
        <v>20</v>
      </c>
      <c r="Y4" s="76">
        <v>8.4</v>
      </c>
      <c r="Z4" s="76">
        <v>5.3</v>
      </c>
      <c r="AA4" s="76">
        <v>8</v>
      </c>
      <c r="AB4" s="76">
        <v>23</v>
      </c>
    </row>
    <row r="5" spans="1:28" x14ac:dyDescent="0.3">
      <c r="G5" t="s">
        <v>383</v>
      </c>
      <c r="H5" s="2" t="s">
        <v>38</v>
      </c>
      <c r="I5" s="5">
        <v>3</v>
      </c>
      <c r="J5" s="5">
        <v>4.3</v>
      </c>
      <c r="K5" s="5">
        <v>5</v>
      </c>
      <c r="L5" s="5">
        <v>1</v>
      </c>
      <c r="M5" s="5"/>
      <c r="O5" s="5">
        <v>3</v>
      </c>
      <c r="P5" s="6" t="s">
        <v>113</v>
      </c>
      <c r="Q5" s="5">
        <v>5</v>
      </c>
      <c r="R5" s="6" t="s">
        <v>119</v>
      </c>
    </row>
    <row r="6" spans="1:28" ht="42.6" customHeight="1" x14ac:dyDescent="0.3">
      <c r="A6" s="11"/>
      <c r="B6" s="11"/>
      <c r="H6" s="2" t="s">
        <v>39</v>
      </c>
      <c r="I6" s="5">
        <v>5</v>
      </c>
      <c r="J6" s="5">
        <v>6.5</v>
      </c>
      <c r="K6" s="5">
        <v>9.6</v>
      </c>
      <c r="L6" s="5">
        <v>1</v>
      </c>
      <c r="M6" s="5"/>
      <c r="O6" s="5">
        <v>4</v>
      </c>
      <c r="P6" s="7" t="s">
        <v>290</v>
      </c>
      <c r="Q6" s="5">
        <v>5</v>
      </c>
      <c r="R6" s="6" t="s">
        <v>119</v>
      </c>
      <c r="U6" s="108" t="s">
        <v>131</v>
      </c>
      <c r="V6" s="108"/>
      <c r="W6" s="108"/>
      <c r="X6" s="108"/>
      <c r="Y6" s="108"/>
      <c r="Z6" s="108"/>
    </row>
    <row r="7" spans="1:28" ht="28.8" x14ac:dyDescent="0.3">
      <c r="A7" s="12" t="s">
        <v>73</v>
      </c>
      <c r="B7" s="12">
        <f>'Численность персонала'!D5</f>
        <v>247</v>
      </c>
      <c r="D7" s="1" t="s">
        <v>188</v>
      </c>
      <c r="E7" s="5"/>
      <c r="F7" s="1" t="s">
        <v>189</v>
      </c>
      <c r="H7" s="2" t="s">
        <v>40</v>
      </c>
      <c r="I7" s="5">
        <v>3</v>
      </c>
      <c r="J7" s="5">
        <v>0.5</v>
      </c>
      <c r="K7" s="5">
        <v>0.6</v>
      </c>
      <c r="L7" s="5"/>
      <c r="M7" s="5">
        <v>0.5</v>
      </c>
      <c r="O7" s="5">
        <v>5</v>
      </c>
      <c r="P7" s="7" t="s">
        <v>106</v>
      </c>
      <c r="Q7" s="5">
        <v>4</v>
      </c>
      <c r="R7" s="6" t="s">
        <v>120</v>
      </c>
      <c r="U7" s="1" t="s">
        <v>132</v>
      </c>
      <c r="V7" s="1" t="s">
        <v>133</v>
      </c>
      <c r="W7" s="1" t="s">
        <v>134</v>
      </c>
      <c r="X7" s="1" t="s">
        <v>135</v>
      </c>
      <c r="Y7" s="1" t="s">
        <v>136</v>
      </c>
      <c r="Z7" s="1" t="s">
        <v>137</v>
      </c>
    </row>
    <row r="8" spans="1:28" ht="14.4" customHeight="1" x14ac:dyDescent="0.3">
      <c r="A8" s="1" t="s">
        <v>72</v>
      </c>
      <c r="B8" s="1">
        <v>8</v>
      </c>
      <c r="D8" s="1">
        <v>1</v>
      </c>
      <c r="E8" s="1">
        <v>1</v>
      </c>
      <c r="F8" s="1">
        <v>1</v>
      </c>
      <c r="O8" s="5">
        <v>6</v>
      </c>
      <c r="P8" s="6" t="s">
        <v>107</v>
      </c>
      <c r="Q8" s="5">
        <v>3</v>
      </c>
      <c r="R8" s="6" t="s">
        <v>121</v>
      </c>
      <c r="U8" s="1">
        <v>86</v>
      </c>
      <c r="V8" s="1">
        <v>47</v>
      </c>
      <c r="W8" s="1">
        <v>50</v>
      </c>
      <c r="X8" s="1">
        <v>57</v>
      </c>
      <c r="Y8" s="1">
        <v>65</v>
      </c>
      <c r="Z8" s="1">
        <v>49</v>
      </c>
    </row>
    <row r="9" spans="1:28" x14ac:dyDescent="0.3">
      <c r="A9" s="1" t="s">
        <v>75</v>
      </c>
      <c r="B9" s="1">
        <v>2</v>
      </c>
      <c r="D9" s="1">
        <v>2</v>
      </c>
      <c r="E9" s="1">
        <v>1.24</v>
      </c>
      <c r="F9" s="1">
        <v>1.36</v>
      </c>
      <c r="H9" s="1" t="s">
        <v>188</v>
      </c>
      <c r="I9" s="5"/>
      <c r="J9" t="s">
        <v>353</v>
      </c>
      <c r="O9" s="5">
        <v>7</v>
      </c>
      <c r="P9" s="6" t="s">
        <v>108</v>
      </c>
      <c r="Q9" s="5">
        <v>2</v>
      </c>
      <c r="R9" s="6" t="s">
        <v>122</v>
      </c>
    </row>
    <row r="10" spans="1:28" x14ac:dyDescent="0.3">
      <c r="A10" s="1" t="s">
        <v>76</v>
      </c>
      <c r="B10" s="1">
        <v>6</v>
      </c>
      <c r="D10" s="1">
        <v>3</v>
      </c>
      <c r="E10" s="1">
        <v>1.45</v>
      </c>
      <c r="F10" s="1">
        <v>1.59</v>
      </c>
      <c r="H10" s="1">
        <v>1</v>
      </c>
      <c r="I10" s="1">
        <v>1</v>
      </c>
      <c r="O10" s="5">
        <v>8</v>
      </c>
      <c r="P10" s="6" t="s">
        <v>114</v>
      </c>
      <c r="Q10" s="5">
        <v>2</v>
      </c>
      <c r="R10" s="6" t="s">
        <v>122</v>
      </c>
      <c r="T10" t="s">
        <v>138</v>
      </c>
    </row>
    <row r="11" spans="1:28" ht="14.4" customHeight="1" x14ac:dyDescent="0.3">
      <c r="A11" s="1" t="s">
        <v>77</v>
      </c>
      <c r="B11" s="1">
        <v>0</v>
      </c>
      <c r="D11" s="1">
        <v>4</v>
      </c>
      <c r="E11" s="1">
        <v>1.62</v>
      </c>
      <c r="F11" s="1">
        <v>1.73</v>
      </c>
      <c r="H11" s="1">
        <v>2</v>
      </c>
      <c r="I11" s="1">
        <v>1.24</v>
      </c>
      <c r="O11" s="64">
        <v>9</v>
      </c>
      <c r="P11" s="6" t="s">
        <v>109</v>
      </c>
      <c r="Q11" s="5">
        <v>2</v>
      </c>
      <c r="R11" s="6" t="s">
        <v>122</v>
      </c>
      <c r="T11" t="s">
        <v>139</v>
      </c>
    </row>
    <row r="12" spans="1:28" x14ac:dyDescent="0.3">
      <c r="D12" s="1">
        <v>5</v>
      </c>
      <c r="E12" s="1">
        <v>1.76</v>
      </c>
      <c r="F12" s="1">
        <v>1.82</v>
      </c>
      <c r="H12" s="1">
        <v>3</v>
      </c>
      <c r="I12" s="1">
        <v>1.45</v>
      </c>
      <c r="O12" s="65" t="s">
        <v>123</v>
      </c>
      <c r="T12" t="s">
        <v>140</v>
      </c>
    </row>
    <row r="13" spans="1:28" x14ac:dyDescent="0.3">
      <c r="A13" s="7" t="s">
        <v>80</v>
      </c>
      <c r="B13" s="7">
        <v>22440</v>
      </c>
      <c r="D13" s="1">
        <v>6</v>
      </c>
      <c r="E13" s="1">
        <v>1.9</v>
      </c>
      <c r="F13" s="1">
        <v>2</v>
      </c>
      <c r="H13" s="1">
        <v>4</v>
      </c>
      <c r="I13" s="1">
        <v>1.62</v>
      </c>
      <c r="T13" t="s">
        <v>141</v>
      </c>
    </row>
    <row r="14" spans="1:28" x14ac:dyDescent="0.3">
      <c r="A14" s="1" t="s">
        <v>94</v>
      </c>
      <c r="B14" s="1">
        <v>4</v>
      </c>
      <c r="D14" s="1">
        <v>7</v>
      </c>
      <c r="E14" s="1">
        <v>2.15</v>
      </c>
      <c r="F14" s="1">
        <v>2.27</v>
      </c>
      <c r="H14" s="1">
        <v>5</v>
      </c>
      <c r="I14" s="1">
        <v>1.76</v>
      </c>
      <c r="T14" t="s">
        <v>142</v>
      </c>
    </row>
    <row r="15" spans="1:28" x14ac:dyDescent="0.3">
      <c r="A15" s="1" t="s">
        <v>81</v>
      </c>
      <c r="B15" s="1">
        <v>5</v>
      </c>
      <c r="D15" s="1">
        <v>8</v>
      </c>
      <c r="E15" s="1">
        <v>2.39</v>
      </c>
      <c r="F15" s="1">
        <v>2.54</v>
      </c>
      <c r="H15" s="1">
        <v>6</v>
      </c>
      <c r="I15" s="1">
        <v>1.9</v>
      </c>
    </row>
    <row r="16" spans="1:28" x14ac:dyDescent="0.3">
      <c r="A16" s="1" t="s">
        <v>82</v>
      </c>
      <c r="B16" s="1">
        <v>5</v>
      </c>
      <c r="D16" s="1">
        <v>9</v>
      </c>
      <c r="E16" s="1"/>
      <c r="F16" s="1">
        <v>2.91</v>
      </c>
      <c r="H16" s="1">
        <v>7</v>
      </c>
      <c r="I16" s="1">
        <v>2.15</v>
      </c>
    </row>
    <row r="17" spans="1:13" ht="14.4" customHeight="1" x14ac:dyDescent="0.3">
      <c r="A17" s="1" t="s">
        <v>83</v>
      </c>
      <c r="B17" s="1">
        <v>1800</v>
      </c>
      <c r="D17" s="1">
        <v>10</v>
      </c>
      <c r="E17" s="1"/>
      <c r="F17" s="1">
        <v>3.27</v>
      </c>
      <c r="H17" s="1">
        <v>8</v>
      </c>
      <c r="I17" s="1">
        <v>2.39</v>
      </c>
    </row>
    <row r="18" spans="1:13" ht="14.4" customHeight="1" x14ac:dyDescent="0.3">
      <c r="A18" s="1" t="s">
        <v>84</v>
      </c>
      <c r="B18" s="1">
        <v>500</v>
      </c>
      <c r="D18" s="1">
        <v>11</v>
      </c>
      <c r="E18" s="1"/>
      <c r="F18" s="1">
        <v>3.68</v>
      </c>
    </row>
    <row r="19" spans="1:13" ht="14.4" customHeight="1" x14ac:dyDescent="0.3">
      <c r="A19" s="1" t="s">
        <v>85</v>
      </c>
      <c r="B19" s="1">
        <v>750</v>
      </c>
      <c r="D19" s="1">
        <v>12</v>
      </c>
      <c r="E19" s="1"/>
      <c r="F19" s="1">
        <v>4.18</v>
      </c>
    </row>
    <row r="20" spans="1:13" ht="14.4" customHeight="1" x14ac:dyDescent="0.3">
      <c r="A20" s="1" t="s">
        <v>86</v>
      </c>
      <c r="B20" s="1">
        <v>1300</v>
      </c>
      <c r="D20" s="1">
        <v>13</v>
      </c>
      <c r="E20" s="1"/>
      <c r="F20" s="1">
        <v>4.7300000000000004</v>
      </c>
    </row>
    <row r="21" spans="1:13" x14ac:dyDescent="0.3">
      <c r="A21" s="1" t="s">
        <v>87</v>
      </c>
      <c r="B21" s="1">
        <v>350</v>
      </c>
      <c r="D21" s="1">
        <v>14</v>
      </c>
      <c r="E21" s="1"/>
      <c r="F21" s="1">
        <v>5.32</v>
      </c>
    </row>
    <row r="22" spans="1:13" ht="14.4" customHeight="1" x14ac:dyDescent="0.3">
      <c r="A22" s="1" t="s">
        <v>88</v>
      </c>
      <c r="B22" s="1">
        <v>15</v>
      </c>
      <c r="D22" s="1">
        <v>15</v>
      </c>
      <c r="E22" s="1"/>
      <c r="F22" s="1">
        <v>5.56</v>
      </c>
    </row>
    <row r="23" spans="1:13" x14ac:dyDescent="0.3">
      <c r="D23" s="1">
        <v>16</v>
      </c>
      <c r="E23" s="1"/>
      <c r="F23" s="1">
        <v>5.95</v>
      </c>
    </row>
    <row r="24" spans="1:13" x14ac:dyDescent="0.3">
      <c r="A24" s="1"/>
      <c r="B24" s="1">
        <f>$B$13/175</f>
        <v>128.22857142857143</v>
      </c>
    </row>
    <row r="25" spans="1:13" x14ac:dyDescent="0.3">
      <c r="A25" s="1" t="s">
        <v>190</v>
      </c>
      <c r="B25" s="1">
        <v>1.25</v>
      </c>
    </row>
    <row r="26" spans="1:13" ht="31.2" x14ac:dyDescent="0.6">
      <c r="I26" s="98" t="s">
        <v>376</v>
      </c>
      <c r="J26" s="98"/>
    </row>
    <row r="27" spans="1:13" x14ac:dyDescent="0.3">
      <c r="I27" s="97" t="s">
        <v>377</v>
      </c>
      <c r="J27" s="97"/>
      <c r="K27" s="97"/>
      <c r="L27" s="97"/>
      <c r="M27" s="97"/>
    </row>
    <row r="28" spans="1:13" x14ac:dyDescent="0.3">
      <c r="I28" s="77" t="s">
        <v>378</v>
      </c>
      <c r="J28" s="77"/>
      <c r="K28" s="77"/>
      <c r="L28" s="77"/>
      <c r="M28" s="77"/>
    </row>
    <row r="29" spans="1:13" x14ac:dyDescent="0.3">
      <c r="I29" s="75" t="s">
        <v>379</v>
      </c>
      <c r="J29" s="75"/>
      <c r="K29" s="75"/>
      <c r="L29" s="75"/>
      <c r="M29" s="75"/>
    </row>
  </sheetData>
  <mergeCells count="16">
    <mergeCell ref="T1:T3"/>
    <mergeCell ref="U1:AB1"/>
    <mergeCell ref="U2:X2"/>
    <mergeCell ref="Y2:AB2"/>
    <mergeCell ref="U6:Z6"/>
    <mergeCell ref="G1:G3"/>
    <mergeCell ref="H1:H2"/>
    <mergeCell ref="I1:I2"/>
    <mergeCell ref="J1:K1"/>
    <mergeCell ref="L1:M1"/>
    <mergeCell ref="O1:R1"/>
    <mergeCell ref="A1:A3"/>
    <mergeCell ref="B1:B3"/>
    <mergeCell ref="C1:F1"/>
    <mergeCell ref="C2:D2"/>
    <mergeCell ref="E2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E4BD-DF01-4240-8EE9-6A9AB6DB5496}">
  <dimension ref="A1:B3"/>
  <sheetViews>
    <sheetView tabSelected="1" zoomScale="190" zoomScaleNormal="190" workbookViewId="0">
      <selection activeCell="B3" sqref="B3"/>
    </sheetView>
  </sheetViews>
  <sheetFormatPr defaultRowHeight="14.4" x14ac:dyDescent="0.3"/>
  <sheetData>
    <row r="1" spans="1:2" x14ac:dyDescent="0.3">
      <c r="A1" t="s">
        <v>384</v>
      </c>
      <c r="B1">
        <f>MAIN!$B$14*MAIN!$B$13</f>
        <v>89760</v>
      </c>
    </row>
    <row r="2" spans="1:2" x14ac:dyDescent="0.3">
      <c r="A2" t="s">
        <v>385</v>
      </c>
      <c r="B2">
        <f>MAIN!$B$15*MAIN!$B$13</f>
        <v>112200</v>
      </c>
    </row>
    <row r="3" spans="1:2" x14ac:dyDescent="0.3">
      <c r="A3" t="s">
        <v>386</v>
      </c>
      <c r="B3">
        <f>MAIN!$B$16*MAIN!$B$13</f>
        <v>112200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Исходные данные</vt:lpstr>
      <vt:lpstr>Численность персонала</vt:lpstr>
      <vt:lpstr>Потребность в оборудовании</vt:lpstr>
      <vt:lpstr>Расчёт капитальных затрат</vt:lpstr>
      <vt:lpstr>Расчёт ФОТ</vt:lpstr>
      <vt:lpstr>Расчёт фин рез деят предпр</vt:lpstr>
      <vt:lpstr>MAIN</vt:lpstr>
      <vt:lpstr>КЗ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2025-09-30T05:40:59Z</dcterms:modified>
</cp:coreProperties>
</file>