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КО Итог" sheetId="1" state="visible" r:id="rId2"/>
    <sheet name="Мотивация отдела расчет" sheetId="2" state="visible" r:id="rId3"/>
    <sheet name="Мотивация Прораб" sheetId="3" state="visible" r:id="rId4"/>
    <sheet name="Мотивация гл. инж." sheetId="4" state="visible" r:id="rId5"/>
    <sheet name="Инженер ОВИК" sheetId="5" state="visible" r:id="rId6"/>
    <sheet name="Снабжение" sheetId="6" state="visible" r:id="rId7"/>
    <sheet name="Экономисты" sheetId="7" state="visible" r:id="rId8"/>
    <sheet name="Учет расходов из 1С" sheetId="8" state="visible" r:id="rId9"/>
  </sheets>
  <definedNames>
    <definedName function="false" hidden="false" localSheetId="1" name="_xlnm.Print_Area" vbProcedure="false">'Мотивация отдела расчет'!$A$1:$J$51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<sst xmlns="http://schemas.openxmlformats.org/spreadsheetml/2006/main" count="627" uniqueCount="470">
  <si>
    <t xml:space="preserve">Карточка объекта - КО</t>
  </si>
  <si>
    <t xml:space="preserve">Начальная</t>
  </si>
  <si>
    <t xml:space="preserve">Дата составления</t>
  </si>
  <si>
    <t xml:space="preserve">Объект:</t>
  </si>
  <si>
    <t xml:space="preserve">Каппа Краснодар СМР</t>
  </si>
  <si>
    <t xml:space="preserve">Период выполнения </t>
  </si>
  <si>
    <t xml:space="preserve">Плановый </t>
  </si>
  <si>
    <t xml:space="preserve">Факт</t>
  </si>
  <si>
    <t xml:space="preserve">Руководитель:</t>
  </si>
  <si>
    <t xml:space="preserve">Наконечный</t>
  </si>
  <si>
    <t xml:space="preserve">Менеджер объекта:</t>
  </si>
  <si>
    <t xml:space="preserve">Апанасов</t>
  </si>
  <si>
    <t xml:space="preserve">Исполнители (Обходные)</t>
  </si>
  <si>
    <t xml:space="preserve">Стадников, Попов</t>
  </si>
  <si>
    <t xml:space="preserve">Заказчик:</t>
  </si>
  <si>
    <t xml:space="preserve">ООО «Спортмастер</t>
  </si>
  <si>
    <t xml:space="preserve">Договор (№,дата)</t>
  </si>
  <si>
    <t xml:space="preserve">Итого :</t>
  </si>
  <si>
    <t xml:space="preserve">№ раздела</t>
  </si>
  <si>
    <t xml:space="preserve">Наименование работ/раздела</t>
  </si>
  <si>
    <t xml:space="preserve">Наименование  исполнителя </t>
  </si>
  <si>
    <t xml:space="preserve">Затраты </t>
  </si>
  <si>
    <t xml:space="preserve">Материал</t>
  </si>
  <si>
    <t xml:space="preserve">Работа</t>
  </si>
  <si>
    <t xml:space="preserve">% пр</t>
  </si>
  <si>
    <t xml:space="preserve">% на СЗ (если не учетено в цене)</t>
  </si>
  <si>
    <t xml:space="preserve">% ИП  (если не учетено в цене)</t>
  </si>
  <si>
    <t xml:space="preserve">ИТОГО раздел</t>
  </si>
  <si>
    <t xml:space="preserve">БН с НДС </t>
  </si>
  <si>
    <t xml:space="preserve">БН без НДС </t>
  </si>
  <si>
    <t xml:space="preserve">Пр</t>
  </si>
  <si>
    <t xml:space="preserve">СМР</t>
  </si>
  <si>
    <t xml:space="preserve">Стадников</t>
  </si>
  <si>
    <t xml:space="preserve">Подряд</t>
  </si>
  <si>
    <t xml:space="preserve">Роллета эл.щитовой</t>
  </si>
  <si>
    <t xml:space="preserve">Страхование</t>
  </si>
  <si>
    <t xml:space="preserve">СК «Согласие»</t>
  </si>
  <si>
    <t xml:space="preserve">Электрика</t>
  </si>
  <si>
    <t xml:space="preserve">Попов</t>
  </si>
  <si>
    <t xml:space="preserve">Электролаборатория</t>
  </si>
  <si>
    <t xml:space="preserve">Вентиляция</t>
  </si>
  <si>
    <t xml:space="preserve">Вывоз мусора</t>
  </si>
  <si>
    <t xml:space="preserve">ГСМ, Яндекс, доставки</t>
  </si>
  <si>
    <t xml:space="preserve">Проживание прораба и бригады</t>
  </si>
  <si>
    <t xml:space="preserve">Премия отдел</t>
  </si>
  <si>
    <t xml:space="preserve">ЗП прораб</t>
  </si>
  <si>
    <t xml:space="preserve">Премия Прораб</t>
  </si>
  <si>
    <t xml:space="preserve">Итого</t>
  </si>
  <si>
    <t xml:space="preserve">ИТОГ материал/работа</t>
  </si>
  <si>
    <t xml:space="preserve">ВСЕГО Затрат</t>
  </si>
  <si>
    <t xml:space="preserve">Сумма по договору</t>
  </si>
  <si>
    <t xml:space="preserve">НДС к уплате</t>
  </si>
  <si>
    <t xml:space="preserve">Маржа до премий отделам</t>
  </si>
  <si>
    <t xml:space="preserve">Налог на прибыль</t>
  </si>
  <si>
    <t xml:space="preserve">Маржа (до накладных)</t>
  </si>
  <si>
    <t xml:space="preserve">Маржа в %</t>
  </si>
  <si>
    <t xml:space="preserve">Накладные расходы на отдел</t>
  </si>
  <si>
    <t xml:space="preserve">ПР % на мотивацию отдела,прораба,накладные</t>
  </si>
  <si>
    <t xml:space="preserve">Маржа ИТОГ по объекту:</t>
  </si>
  <si>
    <t xml:space="preserve">Перепроверка в программе УПР:</t>
  </si>
  <si>
    <t xml:space="preserve">БН</t>
  </si>
  <si>
    <t xml:space="preserve">ПР</t>
  </si>
  <si>
    <t xml:space="preserve">% ПР</t>
  </si>
  <si>
    <t xml:space="preserve">ИТОГО затрат</t>
  </si>
  <si>
    <t xml:space="preserve">Накладные расходы на отдел:</t>
  </si>
  <si>
    <t xml:space="preserve">Мотивация РП</t>
  </si>
  <si>
    <t xml:space="preserve">Маржа</t>
  </si>
  <si>
    <t xml:space="preserve">Маржа 0-15% =3% от маржи</t>
  </si>
  <si>
    <t xml:space="preserve">Маржа 0-15% =1% от маржи</t>
  </si>
  <si>
    <t xml:space="preserve">Маржа 16-19,99% = 4,5% от маржи</t>
  </si>
  <si>
    <t xml:space="preserve">Маржа 16-19,99% = 1,5% от маржи</t>
  </si>
  <si>
    <t xml:space="preserve">Маржа 20-29,99% = 5% от маржи</t>
  </si>
  <si>
    <t xml:space="preserve">Маржа 20-29,99% = 2% от маржи</t>
  </si>
  <si>
    <t xml:space="preserve">Маржа сверх 30% = 5% от маржи</t>
  </si>
  <si>
    <t xml:space="preserve">Маржа сверх 30% = 3% от маржи</t>
  </si>
  <si>
    <t xml:space="preserve">ИТОГО к выплате</t>
  </si>
  <si>
    <t xml:space="preserve">Мотивация за комплекс работ (коллективная) - в схеме процессы: Инженер тех надзора, Ведущий инженер, Инженер ПТО</t>
  </si>
  <si>
    <t xml:space="preserve">Сумма контракта по КО ИТОГ</t>
  </si>
  <si>
    <t xml:space="preserve">Распределение в % по прописанным процессам </t>
  </si>
  <si>
    <t xml:space="preserve">Сумма контракта :</t>
  </si>
  <si>
    <t xml:space="preserve">Сумма премии за Объект (Инженер тех надзора, Ведущий инженер, Инженер ПТО )</t>
  </si>
  <si>
    <t xml:space="preserve">Расчет мотивации от суммы контракта по КО ИТОГ</t>
  </si>
  <si>
    <t xml:space="preserve">Ведущий инженер ПТО</t>
  </si>
  <si>
    <t xml:space="preserve">Инженер ПТО</t>
  </si>
  <si>
    <t xml:space="preserve">Инженер проекта</t>
  </si>
  <si>
    <t xml:space="preserve">Гл. инженер</t>
  </si>
  <si>
    <t xml:space="preserve">Инженер ОВ</t>
  </si>
  <si>
    <t xml:space="preserve">Снабжение</t>
  </si>
  <si>
    <t xml:space="preserve">ФИО </t>
  </si>
  <si>
    <t xml:space="preserve">Роза</t>
  </si>
  <si>
    <t xml:space="preserve">Олейник</t>
  </si>
  <si>
    <t xml:space="preserve">Иванков</t>
  </si>
  <si>
    <t xml:space="preserve">% мотивации</t>
  </si>
  <si>
    <t xml:space="preserve">Отдельный расчёт</t>
  </si>
  <si>
    <t xml:space="preserve">Сверх 25 000 0000</t>
  </si>
  <si>
    <t xml:space="preserve">фиксировано</t>
  </si>
  <si>
    <t xml:space="preserve">Сверх 50 00 0000</t>
  </si>
  <si>
    <t xml:space="preserve">Итого:</t>
  </si>
  <si>
    <t xml:space="preserve">ИТОГО к выплате на отдел</t>
  </si>
  <si>
    <t xml:space="preserve">Расчет мотивация Производитель работ - План</t>
  </si>
  <si>
    <t xml:space="preserve">Срок производства работ</t>
  </si>
  <si>
    <t xml:space="preserve">Плановые даты</t>
  </si>
  <si>
    <t xml:space="preserve">Фактические даты</t>
  </si>
  <si>
    <t xml:space="preserve">Ночные (Да/Нет)</t>
  </si>
  <si>
    <t xml:space="preserve">Дата начала:</t>
  </si>
  <si>
    <t xml:space="preserve">да</t>
  </si>
  <si>
    <t xml:space="preserve">Дата окончания:</t>
  </si>
  <si>
    <t xml:space="preserve">Общий срок работ:</t>
  </si>
  <si>
    <t xml:space="preserve">Формула в расчет</t>
  </si>
  <si>
    <t xml:space="preserve">месяца</t>
  </si>
  <si>
    <t xml:space="preserve">Функционал на Объекте:</t>
  </si>
  <si>
    <t xml:space="preserve">Надбавка за ведение</t>
  </si>
  <si>
    <t xml:space="preserve">Демотивация за отсутсвие </t>
  </si>
  <si>
    <t xml:space="preserve">Расчет</t>
  </si>
  <si>
    <t xml:space="preserve">Первичный обмер помещения, составление исполнительных схем по перепадам пола, стен</t>
  </si>
  <si>
    <t xml:space="preserve">Организация допуска на объект: прохождение инструктажа, подача списка сотрудников, заполнение наряд-допусков, ведения журнала нахождения исполнителей по фамильно на объекте, хранение паспортных данных исполнителей и передача в офис.</t>
  </si>
  <si>
    <t xml:space="preserve">Ежемесячно</t>
  </si>
  <si>
    <t xml:space="preserve">Составление актов показаний приборов учета на момент начала работ </t>
  </si>
  <si>
    <r>
      <rPr>
        <sz val="11"/>
        <color rgb="FF000000"/>
        <rFont val="Calibri"/>
        <family val="2"/>
        <charset val="204"/>
      </rPr>
      <t xml:space="preserve">Составление и своевременная подача заявок на материалы для ОМТС не позднее, чем за 72 часа до планируемой поставки (допускается не более 3-х срочных заявок на объект за весь период). </t>
    </r>
    <r>
      <rPr>
        <i val="true"/>
        <sz val="11"/>
        <color rgb="FF000000"/>
        <rFont val="Calibri"/>
        <family val="2"/>
        <charset val="204"/>
      </rPr>
      <t xml:space="preserve">Заявки составляются с учетом полной загрузки транспорта </t>
    </r>
  </si>
  <si>
    <t xml:space="preserve">Операционный контроль качества выполняемых работ</t>
  </si>
  <si>
    <t xml:space="preserve">Контроль за соблюдением сроков реализации проекта </t>
  </si>
  <si>
    <t xml:space="preserve">Контроль срок выполнения работ подряядчиков, информирование руководителя проектов о несоответствии</t>
  </si>
  <si>
    <t xml:space="preserve">Передача первичных документов в офис (представителям из офис, если на выезде, еженедельно в офис если работы по Ростову)</t>
  </si>
  <si>
    <t xml:space="preserve">Ведение журнала общих работ по форме КС-6</t>
  </si>
  <si>
    <t xml:space="preserve">Заполнение журнала входного контроля по каждой поставке материала по всему объекту (в т.ч. По чекам)</t>
  </si>
  <si>
    <t xml:space="preserve">Сверка правильности оформления поступающей на объект первичной документации (согласно инструкции)</t>
  </si>
  <si>
    <t xml:space="preserve">Ежедневная загрузка фотоотчета на облачное хранилище</t>
  </si>
  <si>
    <r>
      <rPr>
        <sz val="11"/>
        <color rgb="FF000000"/>
        <rFont val="Calibri"/>
        <family val="2"/>
        <charset val="204"/>
      </rPr>
      <t xml:space="preserve">Составление еженедельной ведомости выполнения </t>
    </r>
    <r>
      <rPr>
        <i val="true"/>
        <sz val="11"/>
        <color rgb="FF000000"/>
        <rFont val="Calibri"/>
        <family val="2"/>
        <charset val="204"/>
      </rPr>
      <t xml:space="preserve">по всем разделам</t>
    </r>
    <r>
      <rPr>
        <sz val="11"/>
        <rFont val="Calibri"/>
        <family val="2"/>
        <charset val="204"/>
      </rPr>
      <t xml:space="preserve"> (на основе формы Ф6- внутренняя форма)</t>
    </r>
  </si>
  <si>
    <t xml:space="preserve">Ведение табелей выполненных работ и затраченных доп. Ресурсов (вывоз мусора, подсобные рабочие)</t>
  </si>
  <si>
    <t xml:space="preserve">Информировиние и согласование в эл.виде дополнительных работ до начала их выполнения</t>
  </si>
  <si>
    <t xml:space="preserve">Взаимодействие с представителем Заказчика, проектировщиками во время их визитов на объект</t>
  </si>
  <si>
    <t xml:space="preserve">Просчет объектов </t>
  </si>
  <si>
    <t xml:space="preserve">Итого надбавка по условиям:</t>
  </si>
  <si>
    <t xml:space="preserve">Итого надбавка разовая ( премия ) х2 при соблюдении сроков</t>
  </si>
  <si>
    <t xml:space="preserve">Надбавка за ночные</t>
  </si>
  <si>
    <t xml:space="preserve">Итого начисленно за объект:</t>
  </si>
  <si>
    <t xml:space="preserve">Мотивация Гл. инженер</t>
  </si>
  <si>
    <t xml:space="preserve">Объект</t>
  </si>
  <si>
    <t xml:space="preserve">Сумма раздела в реализации :</t>
  </si>
  <si>
    <t xml:space="preserve">1. ВЕДЕНИЕ ОБЪЕКТА</t>
  </si>
  <si>
    <t xml:space="preserve">2. ПРИВЛЕЧЕНИЕ И КОНТРОЛЬ ИСПОЛНИТЕЛЕЙ. НАДБАВКА 1,3</t>
  </si>
  <si>
    <t xml:space="preserve">Было привлечение и контроль исполнителей? (Да/Нет)</t>
  </si>
  <si>
    <t xml:space="preserve">Сумма Раздела в договоре/закрытии (работы и материалы)</t>
  </si>
  <si>
    <t xml:space="preserve">Коэфифиент для начисления мотивации</t>
  </si>
  <si>
    <t xml:space="preserve">Начисленно</t>
  </si>
  <si>
    <t xml:space="preserve">Надбавка 1,3</t>
  </si>
  <si>
    <t xml:space="preserve">Да</t>
  </si>
  <si>
    <t xml:space="preserve">НАЧИСЛЕННО:</t>
  </si>
  <si>
    <t xml:space="preserve">НАЧИСЛЕНО ИТОГО</t>
  </si>
  <si>
    <t xml:space="preserve">Ведение объекта </t>
  </si>
  <si>
    <t xml:space="preserve">Коэф. </t>
  </si>
  <si>
    <t xml:space="preserve">Сумма </t>
  </si>
  <si>
    <t xml:space="preserve">Составление актов на скрытые работы по объекту N, подготовка исполнительской документации и ее комплектация, Согласование и подписание исполнительской документации у заказчика</t>
  </si>
  <si>
    <t xml:space="preserve">Составление информационных таблиц для отслеживания объемов работ</t>
  </si>
  <si>
    <t xml:space="preserve">Взаимодействие со смежными подразделениями, заказчиками, проектировщиками, согласование доп работ</t>
  </si>
  <si>
    <t xml:space="preserve">Контроль бюджета закупаемых материалов, отсутствие необноснованного перерасхода материалов</t>
  </si>
  <si>
    <t xml:space="preserve">Сопровождение заключени договоров, проверка корректности объемов</t>
  </si>
  <si>
    <t xml:space="preserve">Управление и организация работы исполнителей</t>
  </si>
  <si>
    <t xml:space="preserve">Контроль выполнения утвержденных сроков и качества производства работ</t>
  </si>
  <si>
    <t xml:space="preserve">Приемка работ у Исполнителей</t>
  </si>
  <si>
    <t xml:space="preserve">Сдача работ Заказчику</t>
  </si>
  <si>
    <t xml:space="preserve">Начислено</t>
  </si>
  <si>
    <t xml:space="preserve">К выплате ИТОГО</t>
  </si>
  <si>
    <t xml:space="preserve">2.</t>
  </si>
  <si>
    <t xml:space="preserve">РЕЕСТ ИСПОЛНИТЕЛЕЙ </t>
  </si>
  <si>
    <t xml:space="preserve">№</t>
  </si>
  <si>
    <t xml:space="preserve">Исполнитель</t>
  </si>
  <si>
    <t xml:space="preserve">Сумма</t>
  </si>
  <si>
    <t xml:space="preserve">ИТОГО</t>
  </si>
  <si>
    <t xml:space="preserve">Привелечение и контроль исполнителей</t>
  </si>
  <si>
    <t xml:space="preserve">Получение и проверка исполнительной документации</t>
  </si>
  <si>
    <t xml:space="preserve">Контроль качества выполняемых работ и сроков</t>
  </si>
  <si>
    <t xml:space="preserve">ИТОГО к выплате:</t>
  </si>
  <si>
    <t xml:space="preserve">Мотивация инженер ОВИК Гаврилов М.В.</t>
  </si>
  <si>
    <t xml:space="preserve">Было сопровождение проектных работ? (Да/Нет)</t>
  </si>
  <si>
    <t xml:space="preserve">Сумма Раздела в договоре/закрытии</t>
  </si>
  <si>
    <t xml:space="preserve">ПРИВЛЕЧЕНИЕ И КОНТРОЛЬ ИСПОЛНИТЕЛЕЙ. НАДБАВКА 1,3</t>
  </si>
  <si>
    <t xml:space="preserve">СОПРОВОЖДЕНИЕ ПРОЕКТНЫХ РАБОТ. НАДБАВКА  1,2</t>
  </si>
  <si>
    <t xml:space="preserve">нет</t>
  </si>
  <si>
    <t xml:space="preserve">до</t>
  </si>
  <si>
    <t xml:space="preserve">сверх  10 000 000,00 руб.</t>
  </si>
  <si>
    <t xml:space="preserve">индивидуально </t>
  </si>
  <si>
    <t xml:space="preserve">РЕЕСТ ИСПОЛНИТЕЛЕЙ (К ЗАПОЛНЕНИЮ НА КАЖДЫЙ ОБЪЕКТ)</t>
  </si>
  <si>
    <t xml:space="preserve">3.</t>
  </si>
  <si>
    <t xml:space="preserve">ВЫПОЛНЕНИЕ ПРОЕКТНЫХ РАБОТА САМОСТОЯТЕЛЬНО (Коммерческие объекты типовые)</t>
  </si>
  <si>
    <t xml:space="preserve">Кол-во м2</t>
  </si>
  <si>
    <t xml:space="preserve">Цена за м2</t>
  </si>
  <si>
    <t xml:space="preserve">Сумма к начислению</t>
  </si>
  <si>
    <t xml:space="preserve">Мотивация менеджера по снабжению</t>
  </si>
  <si>
    <t xml:space="preserve">Коэфифиент</t>
  </si>
  <si>
    <t xml:space="preserve">Обычная</t>
  </si>
  <si>
    <t xml:space="preserve">Повышенная (1,2)</t>
  </si>
  <si>
    <t xml:space="preserve">Повышенная (1,5)</t>
  </si>
  <si>
    <t xml:space="preserve">до </t>
  </si>
  <si>
    <t xml:space="preserve">в рамках оклада</t>
  </si>
  <si>
    <t xml:space="preserve">сверх</t>
  </si>
  <si>
    <t xml:space="preserve">Сумма мотивации выплачивается при подписании свода по объекту с положительной оценкой участников процесса:</t>
  </si>
  <si>
    <t xml:space="preserve">% демонтивации при замечаниях</t>
  </si>
  <si>
    <t xml:space="preserve">Отдел</t>
  </si>
  <si>
    <t xml:space="preserve">Требования</t>
  </si>
  <si>
    <t xml:space="preserve">Подпись </t>
  </si>
  <si>
    <t xml:space="preserve">Юрист</t>
  </si>
  <si>
    <t xml:space="preserve">Договора с контрагентами в наличии в эл виде, досье собраны, замечаниц в работе нет</t>
  </si>
  <si>
    <t xml:space="preserve">Бухгалтер</t>
  </si>
  <si>
    <t xml:space="preserve">Документы по объекту сданы</t>
  </si>
  <si>
    <t xml:space="preserve">Иные инженера по Инженерным сетям</t>
  </si>
  <si>
    <t xml:space="preserve">Поставки своевременно , в нужном количестве (допустимое количество замечаний 2)</t>
  </si>
  <si>
    <t xml:space="preserve">Руковаодитель проекта</t>
  </si>
  <si>
    <t xml:space="preserve">Оценка эффективности работы, отразить экономию, или замечания</t>
  </si>
  <si>
    <t xml:space="preserve">!!! Выплаты происходят после подписания обходных листов примерно плюс 1 мес после выполнения</t>
  </si>
  <si>
    <t xml:space="preserve">Дополнительная мотивация</t>
  </si>
  <si>
    <t xml:space="preserve">Заключение договоров по острочке с поставщикаи</t>
  </si>
  <si>
    <t xml:space="preserve">с отсрочной платежа до 300 000 руб мин 1 месяц годовой</t>
  </si>
  <si>
    <t xml:space="preserve">с отсрочной платежа до 300 000 руб мин 2 месяца годовой</t>
  </si>
  <si>
    <t xml:space="preserve">с отсрочной платежа до 700 000 руб мин 1 месяц годовой</t>
  </si>
  <si>
    <t xml:space="preserve">с отсрочной платежа до 700 000 руб мин 2 месяца годовой</t>
  </si>
  <si>
    <t xml:space="preserve">Суммы</t>
  </si>
  <si>
    <t xml:space="preserve">Мотивация расчетная </t>
  </si>
  <si>
    <t xml:space="preserve">Сложность
(1,0; 1,2;1,5)</t>
  </si>
  <si>
    <t xml:space="preserve">План прибыли в 1С:</t>
  </si>
  <si>
    <t xml:space="preserve">Контракт</t>
  </si>
  <si>
    <t xml:space="preserve">Затраты 1С</t>
  </si>
  <si>
    <t xml:space="preserve">НДС</t>
  </si>
  <si>
    <t xml:space="preserve">Остаток </t>
  </si>
  <si>
    <t xml:space="preserve">в %</t>
  </si>
  <si>
    <t xml:space="preserve">Работа по смете</t>
  </si>
  <si>
    <t xml:space="preserve">Работа в 1С</t>
  </si>
  <si>
    <t xml:space="preserve">Разница</t>
  </si>
  <si>
    <t xml:space="preserve">Материалы по смете</t>
  </si>
  <si>
    <t xml:space="preserve">Матераилы в 1С</t>
  </si>
  <si>
    <t xml:space="preserve">Отбор:</t>
  </si>
  <si>
    <t xml:space="preserve">Объект строительства Равно "СМ Бутово 2023"</t>
  </si>
  <si>
    <t xml:space="preserve">Организация</t>
  </si>
  <si>
    <t xml:space="preserve">Объект строительства</t>
  </si>
  <si>
    <t xml:space="preserve">Статья расходов</t>
  </si>
  <si>
    <t xml:space="preserve">Поставщик</t>
  </si>
  <si>
    <t xml:space="preserve">Оплата</t>
  </si>
  <si>
    <t xml:space="preserve">Документы</t>
  </si>
  <si>
    <t xml:space="preserve">Регистратор</t>
  </si>
  <si>
    <t xml:space="preserve">Сумма НДС Приход</t>
  </si>
  <si>
    <t xml:space="preserve">Сумма НДС Расход</t>
  </si>
  <si>
    <t xml:space="preserve">ГЕЛИОН ООО</t>
  </si>
  <si>
    <t xml:space="preserve">СМ Бутово 2023</t>
  </si>
  <si>
    <t xml:space="preserve">ВСЕИНСТРУМЕНТЫ.РУ ООО</t>
  </si>
  <si>
    <t xml:space="preserve">&lt;Объект не найден&gt; (505:9c31d85ed39606c611ef4a690f653d2c)</t>
  </si>
  <si>
    <t xml:space="preserve">Списание с расчетного счета ГЛБП-002857 от 02.08.2024 16:06:13</t>
  </si>
  <si>
    <t xml:space="preserve">ЛУНДА ООО</t>
  </si>
  <si>
    <t xml:space="preserve">Списание с расчетного счета ГЛБП-002591 от 05.07.2024 15:49:53</t>
  </si>
  <si>
    <t xml:space="preserve">&lt;Объект не найден&gt; (505:9c30d85ed39606c611ef3eb77a9fd4c7)</t>
  </si>
  <si>
    <t xml:space="preserve">СТИЛЬПАРКРУ ООО</t>
  </si>
  <si>
    <t xml:space="preserve">Поступление (акт, накладная, УПД) ГЛБП-001202 от 04.07.2024 15:11:11</t>
  </si>
  <si>
    <t xml:space="preserve">&lt;Объект не найден&gt; (505:9c17d85ed39606c611ee9b36d6b81c62)</t>
  </si>
  <si>
    <t xml:space="preserve">Списание с расчетного счета ГЛБП-002347 от 24.06.2024 16:38:34</t>
  </si>
  <si>
    <t xml:space="preserve">Списание с расчетного счета ГЛБП-005387 от 15.11.2023 15:34:49</t>
  </si>
  <si>
    <t xml:space="preserve">ФАБРИКА ВЕНТИЛЯЦИИ ГАЛВЕНТ ООО</t>
  </si>
  <si>
    <t xml:space="preserve">Списание с расчетного счета ГЛБП-002625 от 10.07.2024 18:01:25</t>
  </si>
  <si>
    <t xml:space="preserve">Поступление (акт, накладная, УПД) ГЛБП-001232 от 22.07.2024 16:49:40</t>
  </si>
  <si>
    <t xml:space="preserve">Видеонаблюдение/СКУД</t>
  </si>
  <si>
    <t xml:space="preserve">ТД ЭЛЕКТРОТЕХМОНТАЖ АО</t>
  </si>
  <si>
    <t xml:space="preserve">&lt;Объект не найден&gt; (505:9c2cd85ed39606c611ef3304938c696c)</t>
  </si>
  <si>
    <t xml:space="preserve">&lt;Объект не найден&gt; (444:9c30d85ed39606c611ef3cf6ffc59397)</t>
  </si>
  <si>
    <t xml:space="preserve">Списание с расчетного счета ГЛБП-002816 от 30.07.2024 16:50:48</t>
  </si>
  <si>
    <t xml:space="preserve">ВТОРЭКОТРЕЙД ООО</t>
  </si>
  <si>
    <t xml:space="preserve">Списание с расчетного счета ГЛБП-001717 от 27.05.2024 16:42:27</t>
  </si>
  <si>
    <t xml:space="preserve">Списание с расчетного счета ГЛБП-001736 от 28.05.2024 17:05:12</t>
  </si>
  <si>
    <t xml:space="preserve">Списание с расчетного счета ГЛБП-002183 от 17.06.2024 17:01:11</t>
  </si>
  <si>
    <t xml:space="preserve">Поступление (акт, накладная, УПД) ГЛБП-000800 от 27.05.2024 16:42:55</t>
  </si>
  <si>
    <t xml:space="preserve">Поступление (акт, накладная, УПД) ГЛБП-000801 от 28.05.2024 17:05:29</t>
  </si>
  <si>
    <t xml:space="preserve">Поступление (акт, накладная, УПД) ГЛБП-001097 от 30.06.2024 23:59:59</t>
  </si>
  <si>
    <t xml:space="preserve">МСК ООО</t>
  </si>
  <si>
    <t xml:space="preserve">Поступление (акт, накладная, УПД) ГЛБП-001355 от 31.07.2024 23:59:59</t>
  </si>
  <si>
    <t xml:space="preserve">Поступление (акт, накладная, УПД) ГЛБП-001042 от 30.06.2024 12:00:19</t>
  </si>
  <si>
    <t xml:space="preserve">Списание с расчетного счета ГЛБП-002238 от 19.06.2024 16:46:20</t>
  </si>
  <si>
    <t xml:space="preserve">Списание с расчетного счета ГЛБП-002001 от 10.06.2024 15:54:26</t>
  </si>
  <si>
    <t xml:space="preserve">Списание с расчетного счета ГЛБП-002605 от 08.07.2024 17:44:06</t>
  </si>
  <si>
    <t xml:space="preserve">Списание с расчетного счета ГЛБП-002569 от 04.07.2024 15:10:48</t>
  </si>
  <si>
    <t xml:space="preserve">Списание с расчетного счета ГЛБП-001830 от 31.05.2024 15:48:14</t>
  </si>
  <si>
    <t xml:space="preserve">Списание с расчетного счета ГЛБП-001902 от 05.06.2024 16:13:51</t>
  </si>
  <si>
    <t xml:space="preserve">Списание с расчетного счета ГЛБП-002636 от 11.07.2024 16:56:43</t>
  </si>
  <si>
    <t xml:space="preserve">ГСМ</t>
  </si>
  <si>
    <t xml:space="preserve">ППР ООО</t>
  </si>
  <si>
    <t xml:space="preserve">&lt;Объект не найден&gt; (444:9c26d85ed39606c611ef17655872707f)</t>
  </si>
  <si>
    <t xml:space="preserve">&lt;Объект не найден&gt; (444:9c2bd85ed39606c611ef27ef62fd2196)</t>
  </si>
  <si>
    <t xml:space="preserve">&lt;Объект не найден&gt; (444:9c31d85ed39606c611ef45076c1f5b68)</t>
  </si>
  <si>
    <t xml:space="preserve">&lt;Объект не найден&gt; (444:9c33d85ed39606c611ef693733fd1f15)</t>
  </si>
  <si>
    <t xml:space="preserve">&lt;Объект не найден&gt; (444:9c33d85ed39606c611ef6c2eecf27c2b)</t>
  </si>
  <si>
    <t xml:space="preserve">Доставка</t>
  </si>
  <si>
    <t xml:space="preserve">ВЕНТ-СТАЙЛ ООО</t>
  </si>
  <si>
    <t xml:space="preserve">Поступление (акт, накладная, УПД) ГЛБП-001236 от 16.07.2024 17:48:46</t>
  </si>
  <si>
    <t xml:space="preserve">Списание с расчетного счета ГЛБП-002623 от 10.07.2024 18:01:23</t>
  </si>
  <si>
    <t xml:space="preserve">ГЛАВСНАБ АО</t>
  </si>
  <si>
    <t xml:space="preserve">Списание с расчетного счета ГЛБП-002318 от 21.06.2024 16:59:12</t>
  </si>
  <si>
    <t xml:space="preserve">Поступление (акт, накладная, УПД) ГЛБП-001073 от 26.06.2024 15:48:11</t>
  </si>
  <si>
    <t xml:space="preserve">РАДУГА КРАСКИ ООО</t>
  </si>
  <si>
    <t xml:space="preserve">Поступление (акт, накладная, УПД) ГЛБП-001075 от 03.06.2024 23:59:59</t>
  </si>
  <si>
    <t xml:space="preserve">Поступление (акт, накладная, УПД) ГЛБП-001076 от 05.06.2024 16:14:23</t>
  </si>
  <si>
    <t xml:space="preserve">Поступление (акт, накладная, УПД) ГЛБП-003173 от 17.11.2023 16:14:34</t>
  </si>
  <si>
    <t xml:space="preserve">Списание с расчетного счета ГЛБП-001904 от 05.06.2024 16:13:53</t>
  </si>
  <si>
    <t xml:space="preserve">Списание с расчетного счета ГЛБП-001874 от 03.06.2024 17:10:45</t>
  </si>
  <si>
    <t xml:space="preserve">Списание с расчетного счета ГЛБП-005448 от 16.11.2023 15:11:39</t>
  </si>
  <si>
    <t xml:space="preserve">РОЗМЕТ ООО</t>
  </si>
  <si>
    <t xml:space="preserve">Списание с расчетного счета ГЛБП-005436 от 16.11.2023 15:11:27</t>
  </si>
  <si>
    <t xml:space="preserve">Списание с расчетного счета ГЛБП-001443 от 14.05.2024 16:05:49</t>
  </si>
  <si>
    <t xml:space="preserve">Поступление (акт, накладная, УПД) ГЛБП-000597 от 16.05.2024 16:26:47</t>
  </si>
  <si>
    <t xml:space="preserve">Поступление (акт, накладная, УПД) ГЛБП-002988 от 18.11.2023 0:00:01</t>
  </si>
  <si>
    <t xml:space="preserve">Сатурн Центр ООО </t>
  </si>
  <si>
    <t xml:space="preserve">Поступление (акт, накладная, УПД) ГЛБП-000684 от 14.05.2024 16:06:09</t>
  </si>
  <si>
    <t xml:space="preserve">Поступление (акт, накладная, УПД) ГЛБП-003316 от 22.11.2023 16:45:32</t>
  </si>
  <si>
    <t xml:space="preserve">Поступление (акт, накладная, УПД) ГЛБП-000716 от 20.05.2024 16:12:57</t>
  </si>
  <si>
    <t xml:space="preserve">Поступление (акт, накладная, УПД) ГЛБП-000785 от 29.05.2024 17:08:32</t>
  </si>
  <si>
    <t xml:space="preserve">Поступление (акт, накладная, УПД) ГЛБП-000956 от 13.06.2024 15:41:21</t>
  </si>
  <si>
    <t xml:space="preserve">Поступление (акт, накладная, УПД) ГЛБП-000962 от 11.06.2024 16:37:46</t>
  </si>
  <si>
    <t xml:space="preserve">Поступление (акт, накладная, УПД) ГЛБП-000964 от 17.06.2024 17:01:42</t>
  </si>
  <si>
    <t xml:space="preserve">Поступление (акт, накладная, УПД) ГЛБП-001195 от 05.07.2024 15:50:07</t>
  </si>
  <si>
    <t xml:space="preserve">Поступление (акт, накладная, УПД) ГЛБП-001196 от 10.07.2024 18:01:31</t>
  </si>
  <si>
    <t xml:space="preserve">Списание с расчетного счета ГЛБП-005561 от 22.11.2023 16:45:10</t>
  </si>
  <si>
    <t xml:space="preserve">Списание с расчетного счета ГЛБП-001593 от 20.05.2024 16:12:47</t>
  </si>
  <si>
    <t xml:space="preserve">Списание с расчетного счета ГЛБП-001767 от 29.05.2024 17:08:25</t>
  </si>
  <si>
    <t xml:space="preserve">Списание с расчетного счета ГЛБП-001451 от 14.05.2024 16:05:57</t>
  </si>
  <si>
    <t xml:space="preserve">Списание с расчетного счета ГЛБП-002004 от 10.06.2024 15:54:29</t>
  </si>
  <si>
    <t xml:space="preserve">Списание с расчетного счета ГЛБП-002055 от 13.06.2024 15:40:58</t>
  </si>
  <si>
    <t xml:space="preserve">Списание с расчетного счета ГЛБП-002590 от 05.07.2024 15:49:52</t>
  </si>
  <si>
    <t xml:space="preserve">Списание с расчетного счета ГЛБП-002177 от 17.06.2024 17:01:05</t>
  </si>
  <si>
    <t xml:space="preserve">Списание с расчетного счета ГЛБП-002624 от 10.07.2024 18:01:24</t>
  </si>
  <si>
    <t xml:space="preserve">Поступление (акт, накладная, УПД) ГЛБП-003181 от 23.11.2023 15:37:50</t>
  </si>
  <si>
    <t xml:space="preserve">Поступление (акт, накладная, УПД) ГЛБП-000730 от 30.05.2024 16:46:29</t>
  </si>
  <si>
    <t xml:space="preserve">Поступление (акт, накладная, УПД) ГЛБП-000804 от 07.06.2024 16:12:54</t>
  </si>
  <si>
    <t xml:space="preserve">Поступление (акт, накладная, УПД) ГЛБП-000837 от 11.06.2024 16:37:43</t>
  </si>
  <si>
    <t xml:space="preserve">Поступление (акт, накладная, УПД) ГЛБП-000839 от 10.06.2024 15:54:43</t>
  </si>
  <si>
    <t xml:space="preserve">Поступление (акт, накладная, УПД) ГЛБП-000845 от 13.06.2024 15:41:18</t>
  </si>
  <si>
    <t xml:space="preserve">Поступление (акт, накладная, УПД) ГЛБП-001201 от 11.07.2024 16:56:55</t>
  </si>
  <si>
    <t xml:space="preserve">Поступление (акт, накладная, УПД) ГЛБП-001339 от 13.08.2024 16:02:10</t>
  </si>
  <si>
    <t xml:space="preserve">Поступление (акт, накладная, УПД) ГЛБП-001233 от 23.07.2024 16:01:31</t>
  </si>
  <si>
    <t xml:space="preserve">Поступление (акт, накладная, УПД) ГЛБП-001032 от 02.07.2024 18:02:11</t>
  </si>
  <si>
    <t xml:space="preserve">Поступление (акт, накладная, УПД) ГЛБП-000933 от 22.06.2024 12:00:02</t>
  </si>
  <si>
    <t xml:space="preserve">Поступление (акт, накладная, УПД) ГЛБП-000943 от 18.06.2024 17:24:18</t>
  </si>
  <si>
    <t xml:space="preserve">Поступление (акт, накладная, УПД) ГЛБП-001066 от 27.06.2024 16:47:06</t>
  </si>
  <si>
    <t xml:space="preserve">Списание с расчетного счета ГЛБП-002130 от 14.06.2024 17:01:15</t>
  </si>
  <si>
    <t xml:space="preserve">Списание с расчетного счета ГЛБП-002920 от 08.08.2024 15:11:37</t>
  </si>
  <si>
    <t xml:space="preserve">Списание с расчетного счета ГЛБП-002996 от 16.08.2024 17:59:31</t>
  </si>
  <si>
    <t xml:space="preserve">Списание с расчетного счета ГЛБП-002782 от 25.07.2024 15:37:38</t>
  </si>
  <si>
    <t xml:space="preserve">Командировочные на карту </t>
  </si>
  <si>
    <t xml:space="preserve">Жук Василий Васильевич</t>
  </si>
  <si>
    <t xml:space="preserve">&lt;Объект не найден&gt; (444:9c30d85ed39606c611ef3e93d6002bfc)</t>
  </si>
  <si>
    <t xml:space="preserve">Списание с расчетного счета ГЛБП-002548 от 02.07.2024 18:02:01</t>
  </si>
  <si>
    <t xml:space="preserve">Списание с расчетного счета ГЛБП-002585 от 05.07.2024 15:49:47</t>
  </si>
  <si>
    <t xml:space="preserve">Турлюн Виктор Григорьевич</t>
  </si>
  <si>
    <t xml:space="preserve">Списание с расчетного счета ГЛБП-002374 от 25.06.2024 15:21:48</t>
  </si>
  <si>
    <t xml:space="preserve">Списание с расчетного счета ГЛБП-001014 от 09.04.2024 14:29:24</t>
  </si>
  <si>
    <t xml:space="preserve">Списание с расчетного счета ГЛБП-002638 от 11.07.2024 16:56:45</t>
  </si>
  <si>
    <t xml:space="preserve">&lt;Объект не найден&gt; (444:9c2cd85ed39606c611ef379711395e9e)</t>
  </si>
  <si>
    <t xml:space="preserve">&lt;Объект не найден&gt; (444:9c23d85ed39606c611eefaff609cfc8c)</t>
  </si>
  <si>
    <t xml:space="preserve">Леруа</t>
  </si>
  <si>
    <t xml:space="preserve">ЛЕ МОНЛИД ООО</t>
  </si>
  <si>
    <t xml:space="preserve">&lt;Объект не найден&gt; (505:9c2bd85ed39606c611ef2321e59f2457)</t>
  </si>
  <si>
    <t xml:space="preserve">Поступление (акт, накладная, УПД) ГЛБП-001277 от 03.08.2024 12:00:02</t>
  </si>
  <si>
    <t xml:space="preserve">&lt;Объект не найден&gt; (505:9c31d85ed39606c611ef4b1fcf2f48bb)</t>
  </si>
  <si>
    <t xml:space="preserve">&lt;Объект не найден&gt; (505:9c2fd85ed39606c611ef3915610c2d58)</t>
  </si>
  <si>
    <t xml:space="preserve">&lt;Объект не найден&gt; (505:9c2fd85ed39606c611ef391bf5e48c87)</t>
  </si>
  <si>
    <t xml:space="preserve">Списание с расчетного счета ГЛБП-002689 от 16.07.2024 17:48:34</t>
  </si>
  <si>
    <t xml:space="preserve">Списание с расчетного счета ГЛБП-002999 от 16.08.2024 17:59:34</t>
  </si>
  <si>
    <t xml:space="preserve">Списание с расчетного счета ГЛБП-002346 от 24.06.2024 16:38:33</t>
  </si>
  <si>
    <t xml:space="preserve">Общестрой материалы</t>
  </si>
  <si>
    <t xml:space="preserve">&lt;Объект не найден&gt; (505:9c31d85ed39606c611ef4a66727127b5)</t>
  </si>
  <si>
    <t xml:space="preserve">&lt;Объект не найден&gt; (505:9c2cd85ed39606c611ef354d7f64ecb6)</t>
  </si>
  <si>
    <t xml:space="preserve">&lt;Объект не найден&gt; (505:9c2cd85ed39606c611ef354e32483f0e)</t>
  </si>
  <si>
    <t xml:space="preserve">&lt;Объект не найден&gt; (505:9c30d85ed39606c611ef3d01b5303598)</t>
  </si>
  <si>
    <t xml:space="preserve">&lt;Объект не найден&gt; (505:9c2bd85ed39606c611ef27f43481d7e8)</t>
  </si>
  <si>
    <t xml:space="preserve">&lt;Объект не найден&gt; (505:9c17d85ed39606c611eeafc1cd337583)</t>
  </si>
  <si>
    <t xml:space="preserve">&lt;Объект не найден&gt; (505:9c17d85ed39606c611eeb0550910ea33)</t>
  </si>
  <si>
    <t xml:space="preserve">Списание с расчетного счета ГЛБП-002980 от 16.08.2024 17:59:15</t>
  </si>
  <si>
    <t xml:space="preserve">Списание с расчетного счета ГЛБП-002789 от 26.07.2024 12:39:13</t>
  </si>
  <si>
    <t xml:space="preserve">Списание с расчетного счета ГЛБП-002544 от 02.07.2024 18:01:57</t>
  </si>
  <si>
    <t xml:space="preserve">Списание с расчетного счета ГЛБП-002602 от 08.07.2024 17:44:03</t>
  </si>
  <si>
    <t xml:space="preserve">Списание с расчетного счета ГЛБП-002320 от 21.06.2024 16:59:14</t>
  </si>
  <si>
    <t xml:space="preserve">Списание с расчетного счета ГЛБП-005979 от 18.12.2023 16:31:30</t>
  </si>
  <si>
    <t xml:space="preserve">Списание с расчетного счета ГЛБП-002307 от 21.06.2024 16:59:01</t>
  </si>
  <si>
    <t xml:space="preserve">&lt;Объект не найден&gt; (505:9c30d85ed39606c611ef3dd467bf3915)</t>
  </si>
  <si>
    <t xml:space="preserve">ГРАД-М ООО</t>
  </si>
  <si>
    <t xml:space="preserve">&lt;Объект не найден&gt; (505:9c17d85ed39606c611eeb39706d7881f)</t>
  </si>
  <si>
    <t xml:space="preserve">Списание с расчетного счета ГЛБП-005385 от 15.11.2023 15:34:47</t>
  </si>
  <si>
    <t xml:space="preserve">ИП Фомичев Андрей Анатольевич</t>
  </si>
  <si>
    <t xml:space="preserve">Списание с расчетного счета ГЛБП-002892 от 06.08.2024 15:31:08</t>
  </si>
  <si>
    <t xml:space="preserve">Поступление (акт, накладная, УПД) ГЛБП-001418 от 26.08.2024 16:23:30</t>
  </si>
  <si>
    <t xml:space="preserve">РДС МАРКЕТ ООО</t>
  </si>
  <si>
    <t xml:space="preserve">Списание с расчетного счета ГЛБП-005477 от 17.11.2023 16:14:14</t>
  </si>
  <si>
    <t xml:space="preserve">&lt;Объект не найден&gt; (505:9c17d85ed39606c611eeb3865f024c16)</t>
  </si>
  <si>
    <t xml:space="preserve">&lt;Объект не найден&gt; (505:9c17d85ed39606c611eeb389a76c46f4)</t>
  </si>
  <si>
    <t xml:space="preserve">Списание с расчетного счета ГЛБП-005346 от 14.11.2023 16:29:40</t>
  </si>
  <si>
    <t xml:space="preserve">РЕТЕРМА ООО</t>
  </si>
  <si>
    <t xml:space="preserve">&lt;Объект не найден&gt; (505:9c2cd85ed39606c611ef352bbf62db9d)</t>
  </si>
  <si>
    <t xml:space="preserve">Списание с расчетного счета ГЛБП-002344 от 24.06.2024 16:38:31</t>
  </si>
  <si>
    <t xml:space="preserve">&lt;Объект не найден&gt; (505:9c28d85ed39606c611ef19de764abe54)</t>
  </si>
  <si>
    <t xml:space="preserve">&lt;Объект не найден&gt; (444:9c33d85ed39606c611ef6129b6b56577)</t>
  </si>
  <si>
    <t xml:space="preserve">&lt;Объект не найден&gt; (505:9c2cd85ed39606c611ef349633e8d29c)</t>
  </si>
  <si>
    <t xml:space="preserve">Списание с расчетного счета ГЛБП-001996 от 10.06.2024 15:54:21</t>
  </si>
  <si>
    <t xml:space="preserve">Списание с расчетного счета ГЛБП-001430 от 13.05.2024 15:49:37</t>
  </si>
  <si>
    <t xml:space="preserve">Списание с расчетного счета ГЛБП-002619 от 10.07.2024 18:01:19</t>
  </si>
  <si>
    <t xml:space="preserve">Паспорт вывоз мусора</t>
  </si>
  <si>
    <t xml:space="preserve">ЗЕЛЕНЫЙ ООО</t>
  </si>
  <si>
    <t xml:space="preserve">Списание с расчетного счета ГЛБП-006062 от 25.12.2023 15:46:51</t>
  </si>
  <si>
    <t xml:space="preserve">Поступление (акт, накладная, УПД) ГЛБП-003236 от 26.12.2023 15:59:09</t>
  </si>
  <si>
    <t xml:space="preserve">1ЭЛ ООО</t>
  </si>
  <si>
    <t xml:space="preserve">Поступление (акт, накладная, УПД) ГЛБП-001188 от 18.07.2024 15:40:39</t>
  </si>
  <si>
    <t xml:space="preserve">Списание с расчетного счета ГЛБП-002736 от 22.07.2024 16:49:28</t>
  </si>
  <si>
    <t xml:space="preserve">ИП Журба Александр Владимирович</t>
  </si>
  <si>
    <t xml:space="preserve">Списание с расчетного счета ГЛБП-002538 от 01.07.2024 15:18:15</t>
  </si>
  <si>
    <t xml:space="preserve">ФАБ ГРУПП ООО</t>
  </si>
  <si>
    <t xml:space="preserve">Поступление (акт, накладная, УПД) ГЛБП-001228 от 01.07.2024 18:00:04</t>
  </si>
  <si>
    <t xml:space="preserve">Списание с расчетного счета ГЛБП-002817 от 30.07.2024 16:50:49</t>
  </si>
  <si>
    <t xml:space="preserve">Списание с расчетного счета ГЛБП-005564 от 22.11.2023 16:45:13</t>
  </si>
  <si>
    <t xml:space="preserve">Проезд итр</t>
  </si>
  <si>
    <t xml:space="preserve">Самозанятые Электрика</t>
  </si>
  <si>
    <t xml:space="preserve">Мордасов Владимир Александрович</t>
  </si>
  <si>
    <t xml:space="preserve">Списание с расчетного счета ГЛБП-002766 от 25.07.2024 15:37:22</t>
  </si>
  <si>
    <t xml:space="preserve">Списание с расчетного счета ГЛБП-002612 от 09.07.2024 16:01:18</t>
  </si>
  <si>
    <t xml:space="preserve">Списание с расчетного счета ГЛБП-002614 от 09.07.2024 16:01:20</t>
  </si>
  <si>
    <t xml:space="preserve">Музыка Федор Викторович</t>
  </si>
  <si>
    <t xml:space="preserve">Списание с расчетного счета ГЛБП-006080 от 26.12.2023 15:58:59</t>
  </si>
  <si>
    <t xml:space="preserve">Поступление (акт, накладная, УПД) ГЛБП-000391 от 12.01.2024 16:20:27</t>
  </si>
  <si>
    <t xml:space="preserve">СК СОГЛАСИЕ ООО</t>
  </si>
  <si>
    <t xml:space="preserve">Поступление (акт, накладная, УПД) ГЛБП-003399 от 31.12.2023 23:59:59</t>
  </si>
  <si>
    <t xml:space="preserve">Списание с расчетного счета ГЛБП-005190 от 03.11.2023 15:21:59</t>
  </si>
  <si>
    <t xml:space="preserve">Поступление (акт, накладная, УПД) ГЛБП-001354 от 01.07.2024 18:00:12</t>
  </si>
  <si>
    <t xml:space="preserve">Списание с расчетного счета ГЛБП-001373 от 06.05.2024 17:44:15</t>
  </si>
  <si>
    <t xml:space="preserve">Такси</t>
  </si>
  <si>
    <t xml:space="preserve">ЯНДЕКС.ТАКСИ ООО</t>
  </si>
  <si>
    <t xml:space="preserve">Поступление (акт, накладная, УПД) ГЛБП-001464 от 31.08.2024 23:59:59</t>
  </si>
  <si>
    <t xml:space="preserve">Поступление (акт, накладная, УПД) ГЛБП-001364 от 31.07.2024 23:59:59</t>
  </si>
  <si>
    <t xml:space="preserve">Поступление (акт, накладная, УПД) ГЛБП-001071 от 30.06.2024 12:00:27</t>
  </si>
  <si>
    <t xml:space="preserve">Поступление (акт, накладная, УПД) ГЛБП-000813 от 31.05.2024 23:59:59</t>
  </si>
  <si>
    <t xml:space="preserve">&lt;Объект не найден&gt; (444:9c33d85ed39606c611ef61383a3dabdc)</t>
  </si>
  <si>
    <t xml:space="preserve">&lt;Объект не найден&gt; (444:9c30d85ed39606c611ef3d094b236bc1)</t>
  </si>
  <si>
    <t xml:space="preserve">&lt;Объект не найден&gt; (444:9c2bd85ed39606c611ef27e9a553710f)</t>
  </si>
  <si>
    <t xml:space="preserve">&lt;Объект не найден&gt; (444:9c33d85ed39606c611ef6c4195757371)</t>
  </si>
  <si>
    <t xml:space="preserve">Такси доставка</t>
  </si>
  <si>
    <t xml:space="preserve">&lt;Объект не найден&gt; (505:9c31d85ed39606c611ef4f130dda3b9d)</t>
  </si>
  <si>
    <t xml:space="preserve">&lt;Объект не найден&gt; (505:9c30d85ed39606c611ef3f7ef636297a)</t>
  </si>
  <si>
    <t xml:space="preserve">&lt;Объект не найден&gt; (505:9c30d85ed39606c611ef3f7f6634dac0)</t>
  </si>
  <si>
    <t xml:space="preserve">&lt;Объект не найден&gt; (505:9c30d85ed39606c611ef3d009b78d9a7)</t>
  </si>
  <si>
    <t xml:space="preserve">&lt;Объект не найден&gt; (505:9c30d85ed39606c611ef3cf3372ecf38)</t>
  </si>
  <si>
    <t xml:space="preserve">&lt;Объект не найден&gt; (505:9c30d85ed39606c611ef3cf3c4964b39)</t>
  </si>
  <si>
    <t xml:space="preserve">&lt;Объект не найден&gt; (505:9c2fd85ed39606c611ef392e2bdd65f9)</t>
  </si>
  <si>
    <t xml:space="preserve">&lt;Объект не найден&gt; (505:9c2fd85ed39606c611ef392f01051400)</t>
  </si>
  <si>
    <t xml:space="preserve">&lt;Объект не найден&gt; (505:9c13d85ed39606c611ee8a939d6b880d)</t>
  </si>
  <si>
    <t xml:space="preserve">&lt;Объект не найден&gt; (505:9c13d85ed39606c611ee8a94fd2e3b93)</t>
  </si>
  <si>
    <t xml:space="preserve">&lt;Объект не найден&gt; (505:9c13d85ed39606c611ee8a95ec552642)</t>
  </si>
  <si>
    <t xml:space="preserve">&lt;Объект не найден&gt; (505:9c13d85ed39606c611ee8a97154b48dd)</t>
  </si>
  <si>
    <t xml:space="preserve">&lt;Объект не найден&gt; (505:9c2bd85ed39606c611ef27e9d7696fe4)</t>
  </si>
  <si>
    <t xml:space="preserve">&lt;Объект не найден&gt; (505:9c2bd85ed39606c611ef2cb9c23ba8a0)</t>
  </si>
  <si>
    <t xml:space="preserve">&lt;Объект не найден&gt; (505:9c2cd85ed39606c611ef323c0d1de459)</t>
  </si>
  <si>
    <t xml:space="preserve">&lt;Объект не найден&gt; (505:9c2bd85ed39606c611ef2a2594c08a42)</t>
  </si>
  <si>
    <t xml:space="preserve">&lt;Объект не найден&gt; (505:9c2bd85ed39606c611ef2a4eeb90993e)</t>
  </si>
  <si>
    <t xml:space="preserve">&lt;Объект не найден&gt; (505:9c2bd85ed39606c611ef1f1e2160c925)</t>
  </si>
  <si>
    <t xml:space="preserve">Списание с расчетного счета ГЛБП-005858 от 11.12.2023 15:43:27</t>
  </si>
  <si>
    <t xml:space="preserve">Списание с расчетного счета ГЛБП-002609 от 08.07.2024 17:44:10</t>
  </si>
  <si>
    <t xml:space="preserve">Списание с расчетного счета ГЛБП-002007 от 10.06.2024 15:54:32</t>
  </si>
  <si>
    <t xml:space="preserve">Списание с расчетного счета ГЛБП-002953 от 13.08.2024 16:02:04</t>
  </si>
  <si>
    <t xml:space="preserve">КОСМОС ООО</t>
  </si>
  <si>
    <t xml:space="preserve">ЗП</t>
  </si>
  <si>
    <t xml:space="preserve">Степанов Константин Сергеевич</t>
  </si>
  <si>
    <t xml:space="preserve">&lt;Объект не найден&gt; (540:9c31d85ed39606c611ef4fd34b3c0340)</t>
  </si>
  <si>
    <t xml:space="preserve">Списание с расчетного счета КСБП-000544 от 06.08.2024 15:31:15</t>
  </si>
  <si>
    <t xml:space="preserve">&lt;Объект не найден&gt; (540:9c31d85ed39606c611ef4404e325c87e)</t>
  </si>
  <si>
    <t xml:space="preserve">&lt;Объект не найден&gt; (540:9c2bd85ed39606c611ef2c750e8d6cf7)</t>
  </si>
  <si>
    <t xml:space="preserve">&lt;Объект не найден&gt; (540:9c2cd85ed39606c611ef377437244a8e)</t>
  </si>
  <si>
    <t xml:space="preserve">&lt;Объект не найден&gt; (540:9c2bd85ed39606c611ef217209000154)</t>
  </si>
  <si>
    <t xml:space="preserve">&lt;Объект не найден&gt; (540:9c26d85ed39606c611ef1415bf6fbf36)</t>
  </si>
  <si>
    <t xml:space="preserve">&lt;Объект не найден&gt; (444:9c33d85ed39606c611ef638588025e4a)</t>
  </si>
  <si>
    <t xml:space="preserve">&lt;Объект не найден&gt; (444:9c31d85ed39606c611ef44d9ed24aeb3)</t>
  </si>
</sst>
</file>

<file path=xl/styles.xml><?xml version="1.0" encoding="utf-8"?>
<styleSheet xmlns="http://schemas.openxmlformats.org/spreadsheetml/2006/main">
  <numFmts count="14">
    <numFmt numFmtId="164" formatCode="General"/>
    <numFmt numFmtId="165" formatCode="#,##0.00"/>
    <numFmt numFmtId="166" formatCode="dd/mm/yyyy"/>
    <numFmt numFmtId="167" formatCode="_-* #,##0.00&quot; ₽&quot;_-;\-* #,##0.00&quot; ₽&quot;_-;_-* \-??&quot; ₽&quot;_-;_-@_-"/>
    <numFmt numFmtId="168" formatCode="0.00"/>
    <numFmt numFmtId="169" formatCode="_-* #,##0.00_-;\-* #,##0.00_-;_-* \-??_-;_-@_-"/>
    <numFmt numFmtId="170" formatCode="#,##0"/>
    <numFmt numFmtId="171" formatCode="0.0%"/>
    <numFmt numFmtId="172" formatCode="&quot;ИСТИНА&quot;;&quot;ИСТИНА&quot;;&quot;ЛОЖЬ&quot;"/>
    <numFmt numFmtId="173" formatCode="#,##0.0"/>
    <numFmt numFmtId="174" formatCode="General"/>
    <numFmt numFmtId="175" formatCode="0%"/>
    <numFmt numFmtId="176" formatCode="#,##0.00&quot; ₽&quot;"/>
    <numFmt numFmtId="177" formatCode="dd/mm/yy"/>
  </numFmts>
  <fonts count="37">
    <font>
      <sz val="11"/>
      <color rgb="FF000000"/>
      <name val="Calibri"/>
      <family val="0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1"/>
      <color rgb="FF000000"/>
      <name val="Calibri"/>
      <family val="2"/>
      <charset val="204"/>
    </font>
    <font>
      <sz val="8"/>
      <name val="Arial"/>
      <family val="2"/>
      <charset val="1"/>
    </font>
    <font>
      <sz val="14"/>
      <name val="Times New Roman"/>
      <family val="1"/>
      <charset val="204"/>
    </font>
    <font>
      <b val="true"/>
      <sz val="14"/>
      <name val="Times New Roman"/>
      <family val="1"/>
      <charset val="204"/>
    </font>
    <font>
      <b val="true"/>
      <u val="single"/>
      <sz val="14"/>
      <name val="Times New Roman"/>
      <family val="1"/>
      <charset val="204"/>
    </font>
    <font>
      <b val="true"/>
      <sz val="14"/>
      <color rgb="FFFF0000"/>
      <name val="Times New Roman"/>
      <family val="1"/>
      <charset val="204"/>
    </font>
    <font>
      <sz val="14"/>
      <color rgb="FF000000"/>
      <name val="Times New Roman"/>
      <family val="1"/>
      <charset val="1"/>
    </font>
    <font>
      <sz val="14"/>
      <color rgb="FFFF0000"/>
      <name val="Times New Roman"/>
      <family val="1"/>
      <charset val="204"/>
    </font>
    <font>
      <b val="true"/>
      <sz val="12"/>
      <color rgb="FF000000"/>
      <name val="Calibri"/>
      <family val="2"/>
      <charset val="204"/>
    </font>
    <font>
      <b val="true"/>
      <sz val="14"/>
      <name val="Calibri Light"/>
      <family val="2"/>
      <charset val="204"/>
    </font>
    <font>
      <sz val="14"/>
      <name val="Calibri Light"/>
      <family val="2"/>
      <charset val="204"/>
    </font>
    <font>
      <sz val="11"/>
      <name val="Calibri Light"/>
      <family val="2"/>
      <charset val="204"/>
    </font>
    <font>
      <b val="true"/>
      <sz val="14"/>
      <color rgb="FFFF0000"/>
      <name val="Calibri"/>
      <family val="2"/>
      <charset val="204"/>
    </font>
    <font>
      <sz val="14"/>
      <name val="Calibri"/>
      <family val="2"/>
      <charset val="204"/>
    </font>
    <font>
      <b val="true"/>
      <sz val="11"/>
      <color rgb="FF000000"/>
      <name val="Calibri"/>
      <family val="2"/>
      <charset val="204"/>
    </font>
    <font>
      <sz val="9"/>
      <name val="Arial"/>
      <family val="2"/>
      <charset val="204"/>
    </font>
    <font>
      <b val="true"/>
      <sz val="11"/>
      <name val="Calibri"/>
      <family val="2"/>
      <charset val="204"/>
    </font>
    <font>
      <sz val="11"/>
      <color rgb="FFFF0000"/>
      <name val="Calibri"/>
      <family val="2"/>
      <charset val="204"/>
    </font>
    <font>
      <b val="true"/>
      <sz val="11"/>
      <color rgb="FFFF0000"/>
      <name val="Calibri"/>
      <family val="2"/>
      <charset val="204"/>
    </font>
    <font>
      <b val="true"/>
      <u val="single"/>
      <sz val="11"/>
      <color rgb="FF000000"/>
      <name val="Calibri"/>
      <family val="2"/>
      <charset val="204"/>
    </font>
    <font>
      <i val="true"/>
      <sz val="11"/>
      <color rgb="FF000000"/>
      <name val="Calibri"/>
      <family val="2"/>
      <charset val="204"/>
    </font>
    <font>
      <sz val="11"/>
      <name val="Calibri"/>
      <family val="2"/>
      <charset val="204"/>
    </font>
    <font>
      <b val="true"/>
      <sz val="14"/>
      <color rgb="FF000000"/>
      <name val="Calibri"/>
      <family val="2"/>
      <charset val="204"/>
    </font>
    <font>
      <b val="true"/>
      <i val="true"/>
      <sz val="11"/>
      <color rgb="FF000000"/>
      <name val="Calibri"/>
      <family val="2"/>
      <charset val="204"/>
    </font>
    <font>
      <b val="true"/>
      <sz val="9"/>
      <name val="Arial"/>
      <family val="2"/>
      <charset val="204"/>
    </font>
    <font>
      <b val="true"/>
      <sz val="14"/>
      <name val="Arial"/>
      <family val="2"/>
      <charset val="204"/>
    </font>
    <font>
      <sz val="14"/>
      <name val="Arial"/>
      <family val="2"/>
      <charset val="204"/>
    </font>
    <font>
      <sz val="14"/>
      <color rgb="FF000000"/>
      <name val="Calibri"/>
      <family val="2"/>
      <charset val="204"/>
    </font>
    <font>
      <sz val="10"/>
      <color rgb="FF003F2F"/>
      <name val="Arial"/>
      <family val="0"/>
      <charset val="1"/>
    </font>
    <font>
      <b val="true"/>
      <sz val="10"/>
      <color rgb="FF003F2F"/>
      <name val="Arial"/>
      <family val="0"/>
      <charset val="1"/>
    </font>
    <font>
      <sz val="9"/>
      <color rgb="FF003F2F"/>
      <name val="Arial"/>
      <family val="0"/>
      <charset val="1"/>
    </font>
    <font>
      <b val="true"/>
      <sz val="9"/>
      <color rgb="FF003F2F"/>
      <name val="Arial"/>
      <family val="0"/>
      <charset val="1"/>
    </font>
    <font>
      <sz val="9"/>
      <name val="Arial"/>
      <family val="0"/>
      <charset val="1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0F6EF"/>
      </patternFill>
    </fill>
    <fill>
      <patternFill patternType="solid">
        <fgColor rgb="FFFFFF00"/>
        <bgColor rgb="FFFFFF00"/>
      </patternFill>
    </fill>
    <fill>
      <patternFill patternType="solid">
        <fgColor rgb="FFD9D9D9"/>
        <bgColor rgb="FFD6E5CB"/>
      </patternFill>
    </fill>
    <fill>
      <patternFill patternType="solid">
        <fgColor rgb="FFDAE3F3"/>
        <bgColor rgb="FFDEEBF7"/>
      </patternFill>
    </fill>
    <fill>
      <patternFill patternType="solid">
        <fgColor rgb="FFDEEBF7"/>
        <bgColor rgb="FFDAE3F3"/>
      </patternFill>
    </fill>
    <fill>
      <patternFill patternType="solid">
        <fgColor rgb="FFD6E5CB"/>
        <bgColor rgb="FFD9D9D9"/>
      </patternFill>
    </fill>
    <fill>
      <patternFill patternType="solid">
        <fgColor rgb="FFE4F0DD"/>
        <bgColor rgb="FFDEEBF7"/>
      </patternFill>
    </fill>
    <fill>
      <patternFill patternType="solid">
        <fgColor rgb="FFF0F6EF"/>
        <bgColor rgb="FFE4F0DD"/>
      </patternFill>
    </fill>
  </fills>
  <borders count="38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hair"/>
      <top style="thin"/>
      <bottom style="thin"/>
      <diagonal/>
    </border>
    <border diagonalUp="false" diagonalDown="false">
      <left style="hair"/>
      <right style="hair"/>
      <top style="thin"/>
      <bottom style="thin"/>
      <diagonal/>
    </border>
    <border diagonalUp="false" diagonalDown="false">
      <left style="hair"/>
      <right style="thin"/>
      <top style="thin"/>
      <bottom style="thin"/>
      <diagonal/>
    </border>
    <border diagonalUp="false" diagonalDown="false">
      <left style="thin"/>
      <right style="hair"/>
      <top/>
      <bottom style="hair"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hair"/>
      <right style="thin"/>
      <top/>
      <bottom style="hair"/>
      <diagonal/>
    </border>
    <border diagonalUp="false" diagonalDown="false">
      <left style="thin"/>
      <right style="hair"/>
      <top style="hair"/>
      <bottom style="hair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hair"/>
      <top style="hair"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thin">
        <color rgb="FFA0A0A0"/>
      </left>
      <right style="thin">
        <color rgb="FFA0A0A0"/>
      </right>
      <top style="thin">
        <color rgb="FFA0A0A0"/>
      </top>
      <bottom style="thin">
        <color rgb="FFA0A0A0"/>
      </bottom>
      <diagonal/>
    </border>
    <border diagonalUp="false" diagonalDown="false">
      <left style="thin">
        <color rgb="FFACC8BD"/>
      </left>
      <right style="thin">
        <color rgb="FFACC8BD"/>
      </right>
      <top style="thin">
        <color rgb="FFACC8BD"/>
      </top>
      <bottom style="thin">
        <color rgb="FFACC8BD"/>
      </bottom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9" fontId="4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5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2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2" borderId="2" xfId="22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2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2" borderId="2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2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2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10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0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0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0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6" fillId="2" borderId="2" xfId="22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6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6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7" fillId="2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7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7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7" fillId="0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8" fontId="7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5" fontId="12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3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3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5" fontId="1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3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5" fontId="1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4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5" fontId="14" fillId="0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14" fillId="0" borderId="6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4" fillId="0" borderId="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14" fillId="0" borderId="8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3" fillId="0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13" fillId="0" borderId="10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6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7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7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8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2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8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0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3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2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18" fillId="0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9" fillId="0" borderId="2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0" borderId="2" xfId="2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70" fontId="4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2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70" fontId="0" fillId="0" borderId="2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9" fillId="0" borderId="2" xfId="2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5" fontId="19" fillId="2" borderId="2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9" fillId="2" borderId="2" xfId="2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5" fontId="13" fillId="0" borderId="4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2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1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18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8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8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3" fillId="0" borderId="1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4" fillId="0" borderId="1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0" fillId="0" borderId="1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20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0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71" fontId="26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8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18" fillId="5" borderId="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1" fontId="18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73" fontId="18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18" fillId="0" borderId="1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73" fontId="18" fillId="5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2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18" fillId="2" borderId="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1" fontId="18" fillId="2" borderId="1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73" fontId="18" fillId="2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4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18" fillId="4" borderId="1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71" fontId="18" fillId="4" borderId="15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73" fontId="18" fillId="4" borderId="13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71" fontId="18" fillId="4" borderId="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1" fontId="26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71" fontId="2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0" borderId="19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8" fillId="0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22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2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2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4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1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8" fillId="0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8" fillId="5" borderId="1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8" fillId="5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8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18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8" fillId="0" borderId="2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8" fontId="18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5" borderId="2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5" fontId="18" fillId="5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18" fillId="4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71" fontId="18" fillId="4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71" fontId="18" fillId="5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4" fillId="0" borderId="2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5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7" fillId="0" borderId="2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5" fontId="27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8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1" fontId="18" fillId="0" borderId="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1" fontId="18" fillId="4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25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2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6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6" borderId="1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8" fillId="6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8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8" fillId="6" borderId="2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5" fontId="18" fillId="6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1" fontId="18" fillId="6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8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1" fontId="26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8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8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28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8" fillId="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9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19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4" fontId="19" fillId="0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19" fillId="0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74" fontId="28" fillId="0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28" fillId="0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19" fillId="0" borderId="2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5" fontId="28" fillId="0" borderId="2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2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5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9" fillId="0" borderId="28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9" fillId="0" borderId="29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6" fillId="0" borderId="3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76" fontId="6" fillId="0" borderId="3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30" fillId="0" borderId="32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1" fillId="3" borderId="3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21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30" fillId="0" borderId="34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4" fontId="31" fillId="0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77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32" fillId="7" borderId="36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32" fillId="7" borderId="36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32" fillId="8" borderId="37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33" fillId="8" borderId="37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34" fillId="9" borderId="37" xfId="0" applyFont="true" applyBorder="true" applyAlignment="true" applyProtection="false">
      <alignment horizontal="left" vertical="top" textRotation="0" wrapText="true" indent="12" shrinkToFit="false"/>
      <protection locked="true" hidden="false"/>
    </xf>
    <xf numFmtId="165" fontId="35" fillId="9" borderId="37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36" fillId="9" borderId="37" xfId="0" applyFont="true" applyBorder="true" applyAlignment="true" applyProtection="false">
      <alignment horizontal="left" vertical="top" textRotation="0" wrapText="true" indent="15" shrinkToFit="false"/>
      <protection locked="true" hidden="false"/>
    </xf>
    <xf numFmtId="165" fontId="36" fillId="9" borderId="37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36" fillId="0" borderId="37" xfId="0" applyFont="true" applyBorder="true" applyAlignment="true" applyProtection="false">
      <alignment horizontal="left" vertical="top" textRotation="0" wrapText="true" indent="15" shrinkToFit="false"/>
      <protection locked="true" hidden="false"/>
    </xf>
    <xf numFmtId="165" fontId="0" fillId="0" borderId="37" xfId="0" applyFont="false" applyBorder="true" applyAlignment="true" applyProtection="false">
      <alignment horizontal="right" vertical="top" textRotation="0" wrapText="false" indent="0" shrinkToFit="false"/>
      <protection locked="true" hidden="false"/>
    </xf>
    <xf numFmtId="164" fontId="0" fillId="0" borderId="37" xfId="0" applyFont="false" applyBorder="true" applyAlignment="true" applyProtection="false">
      <alignment horizontal="right" vertical="top" textRotation="0" wrapText="false" indent="0" shrinkToFit="false"/>
      <protection locked="true" hidden="false"/>
    </xf>
    <xf numFmtId="168" fontId="0" fillId="0" borderId="37" xfId="0" applyFont="false" applyBorder="true" applyAlignment="true" applyProtection="false">
      <alignment horizontal="right" vertical="top" textRotation="0" wrapText="false" indent="0" shrinkToFit="false"/>
      <protection locked="true" hidden="false"/>
    </xf>
    <xf numFmtId="164" fontId="36" fillId="9" borderId="37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33" fillId="8" borderId="37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35" fillId="9" borderId="37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33" fillId="7" borderId="36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33" fillId="7" borderId="36" xfId="0" applyFont="true" applyBorder="true" applyAlignment="true" applyProtection="false">
      <alignment horizontal="right" vertical="top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Обычный 2" xfId="20"/>
    <cellStyle name="Обычный_Мотивация отдела расчет" xfId="21"/>
    <cellStyle name="Excel Built-in Normal" xfId="22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CC8BD"/>
      <rgbColor rgb="FF808080"/>
      <rgbColor rgb="FF9999FF"/>
      <rgbColor rgb="FF993366"/>
      <rgbColor rgb="FFF0F6EF"/>
      <rgbColor rgb="FFDEEBF7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AE3F3"/>
      <rgbColor rgb="FFE4F0DD"/>
      <rgbColor rgb="FFFFFF99"/>
      <rgbColor rgb="FF99CCFF"/>
      <rgbColor rgb="FFFF99CC"/>
      <rgbColor rgb="FFCC99FF"/>
      <rgbColor rgb="FFD6E5CB"/>
      <rgbColor rgb="FF3366FF"/>
      <rgbColor rgb="FF33CCCC"/>
      <rgbColor rgb="FF99CC00"/>
      <rgbColor rgb="FFFFCC00"/>
      <rgbColor rgb="FFFF9900"/>
      <rgbColor rgb="FFFF6600"/>
      <rgbColor rgb="FF666699"/>
      <rgbColor rgb="FFA0A0A0"/>
      <rgbColor rgb="FF003366"/>
      <rgbColor rgb="FF339966"/>
      <rgbColor rgb="FF003F2F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L207"/>
  <sheetViews>
    <sheetView showFormulas="false" showGridLines="true" showRowColHeaders="true" showZeros="true" rightToLeft="false" tabSelected="true" showOutlineSymbols="true" defaultGridColor="true" view="normal" topLeftCell="A4" colorId="64" zoomScale="55" zoomScaleNormal="55" zoomScalePageLayoutView="100" workbookViewId="0">
      <selection pane="topLeft" activeCell="H27" activeCellId="0" sqref="H27"/>
    </sheetView>
  </sheetViews>
  <sheetFormatPr defaultColWidth="8.921875" defaultRowHeight="18" zeroHeight="false" outlineLevelRow="0" outlineLevelCol="0"/>
  <cols>
    <col collapsed="false" customWidth="true" hidden="false" outlineLevel="0" max="1" min="1" style="1" width="10.99"/>
    <col collapsed="false" customWidth="true" hidden="false" outlineLevel="0" max="2" min="2" style="2" width="56.01"/>
    <col collapsed="false" customWidth="true" hidden="false" outlineLevel="0" max="3" min="3" style="3" width="30.66"/>
    <col collapsed="false" customWidth="true" hidden="false" outlineLevel="0" max="4" min="4" style="4" width="18.89"/>
    <col collapsed="false" customWidth="true" hidden="false" outlineLevel="0" max="5" min="5" style="5" width="18.89"/>
    <col collapsed="false" customWidth="true" hidden="false" outlineLevel="0" max="6" min="6" style="5" width="16.67"/>
    <col collapsed="false" customWidth="true" hidden="false" outlineLevel="0" max="9" min="7" style="4" width="16.67"/>
    <col collapsed="false" customWidth="true" hidden="false" outlineLevel="0" max="11" min="10" style="6" width="16.67"/>
    <col collapsed="false" customWidth="true" hidden="false" outlineLevel="0" max="12" min="12" style="7" width="16.67"/>
    <col collapsed="false" customWidth="true" hidden="false" outlineLevel="0" max="13" min="13" style="7" width="25.89"/>
    <col collapsed="false" customWidth="true" hidden="false" outlineLevel="0" max="14" min="14" style="8" width="50.89"/>
    <col collapsed="false" customWidth="true" hidden="false" outlineLevel="0" max="261" min="261" style="0" width="81.33"/>
    <col collapsed="false" customWidth="true" hidden="false" outlineLevel="0" max="262" min="262" style="0" width="16.11"/>
    <col collapsed="false" customWidth="true" hidden="false" outlineLevel="0" max="263" min="263" style="0" width="15.66"/>
    <col collapsed="false" customWidth="true" hidden="false" outlineLevel="0" max="264" min="264" style="0" width="16.11"/>
    <col collapsed="false" customWidth="true" hidden="false" outlineLevel="0" max="265" min="265" style="0" width="20.33"/>
    <col collapsed="false" customWidth="true" hidden="false" outlineLevel="0" max="266" min="266" style="0" width="11.33"/>
    <col collapsed="false" customWidth="true" hidden="false" outlineLevel="0" max="267" min="267" style="0" width="25"/>
    <col collapsed="false" customWidth="true" hidden="false" outlineLevel="0" max="268" min="268" style="0" width="38.89"/>
    <col collapsed="false" customWidth="true" hidden="false" outlineLevel="0" max="517" min="517" style="0" width="81.33"/>
    <col collapsed="false" customWidth="true" hidden="false" outlineLevel="0" max="518" min="518" style="0" width="16.11"/>
    <col collapsed="false" customWidth="true" hidden="false" outlineLevel="0" max="519" min="519" style="0" width="15.66"/>
    <col collapsed="false" customWidth="true" hidden="false" outlineLevel="0" max="520" min="520" style="0" width="16.11"/>
    <col collapsed="false" customWidth="true" hidden="false" outlineLevel="0" max="521" min="521" style="0" width="20.33"/>
    <col collapsed="false" customWidth="true" hidden="false" outlineLevel="0" max="522" min="522" style="0" width="11.33"/>
    <col collapsed="false" customWidth="true" hidden="false" outlineLevel="0" max="523" min="523" style="0" width="25"/>
    <col collapsed="false" customWidth="true" hidden="false" outlineLevel="0" max="524" min="524" style="0" width="38.89"/>
    <col collapsed="false" customWidth="true" hidden="false" outlineLevel="0" max="773" min="773" style="0" width="81.33"/>
    <col collapsed="false" customWidth="true" hidden="false" outlineLevel="0" max="774" min="774" style="0" width="16.11"/>
    <col collapsed="false" customWidth="true" hidden="false" outlineLevel="0" max="775" min="775" style="0" width="15.66"/>
    <col collapsed="false" customWidth="true" hidden="false" outlineLevel="0" max="776" min="776" style="0" width="16.11"/>
    <col collapsed="false" customWidth="true" hidden="false" outlineLevel="0" max="777" min="777" style="0" width="20.33"/>
    <col collapsed="false" customWidth="true" hidden="false" outlineLevel="0" max="778" min="778" style="0" width="11.33"/>
    <col collapsed="false" customWidth="true" hidden="false" outlineLevel="0" max="779" min="779" style="0" width="25"/>
    <col collapsed="false" customWidth="true" hidden="false" outlineLevel="0" max="780" min="780" style="0" width="38.89"/>
  </cols>
  <sheetData>
    <row r="1" customFormat="false" ht="18" hidden="false" customHeight="false" outlineLevel="0" collapsed="false">
      <c r="A1" s="9" t="s">
        <v>0</v>
      </c>
      <c r="C1" s="10" t="s">
        <v>1</v>
      </c>
      <c r="D1" s="10"/>
    </row>
    <row r="2" customFormat="false" ht="18" hidden="false" customHeight="false" outlineLevel="0" collapsed="false">
      <c r="A2" s="11" t="s">
        <v>2</v>
      </c>
      <c r="B2" s="11"/>
      <c r="C2" s="12" t="n">
        <v>45638</v>
      </c>
      <c r="D2" s="12"/>
    </row>
    <row r="3" customFormat="false" ht="19.35" hidden="false" customHeight="true" outlineLevel="0" collapsed="false">
      <c r="A3" s="13" t="s">
        <v>3</v>
      </c>
      <c r="B3" s="13"/>
      <c r="C3" s="14" t="s">
        <v>4</v>
      </c>
      <c r="D3" s="15"/>
      <c r="E3" s="16"/>
      <c r="F3" s="16"/>
      <c r="G3" s="16"/>
      <c r="H3" s="16"/>
      <c r="I3" s="16"/>
      <c r="J3" s="16"/>
      <c r="K3" s="16"/>
      <c r="L3" s="3"/>
    </row>
    <row r="4" customFormat="false" ht="19.35" hidden="false" customHeight="true" outlineLevel="0" collapsed="false">
      <c r="A4" s="17" t="s">
        <v>5</v>
      </c>
      <c r="B4" s="17"/>
      <c r="C4" s="18" t="s">
        <v>6</v>
      </c>
      <c r="D4" s="18" t="s">
        <v>7</v>
      </c>
      <c r="E4" s="16"/>
      <c r="F4" s="16"/>
      <c r="G4" s="16"/>
      <c r="H4" s="16"/>
      <c r="I4" s="16"/>
      <c r="J4" s="16"/>
      <c r="K4" s="16"/>
      <c r="L4" s="3"/>
    </row>
    <row r="5" customFormat="false" ht="18" hidden="false" customHeight="false" outlineLevel="0" collapsed="false">
      <c r="A5" s="17"/>
      <c r="B5" s="17"/>
      <c r="C5" s="19" t="n">
        <v>45670</v>
      </c>
      <c r="D5" s="19"/>
      <c r="E5" s="16"/>
      <c r="F5" s="16"/>
      <c r="G5" s="16"/>
      <c r="H5" s="2"/>
      <c r="I5" s="2"/>
      <c r="J5" s="2"/>
      <c r="K5" s="2"/>
      <c r="L5" s="20"/>
    </row>
    <row r="6" customFormat="false" ht="18" hidden="false" customHeight="false" outlineLevel="0" collapsed="false">
      <c r="A6" s="17"/>
      <c r="B6" s="17"/>
      <c r="C6" s="19" t="n">
        <v>45716</v>
      </c>
      <c r="D6" s="19"/>
      <c r="E6" s="16"/>
      <c r="F6" s="16"/>
      <c r="G6" s="16"/>
      <c r="H6" s="2"/>
      <c r="I6" s="2"/>
      <c r="J6" s="2"/>
      <c r="K6" s="2"/>
      <c r="L6" s="20"/>
    </row>
    <row r="7" customFormat="false" ht="18" hidden="false" customHeight="false" outlineLevel="0" collapsed="false">
      <c r="A7" s="13" t="s">
        <v>8</v>
      </c>
      <c r="B7" s="13"/>
      <c r="C7" s="14" t="s">
        <v>9</v>
      </c>
      <c r="D7" s="14"/>
      <c r="E7" s="16"/>
      <c r="F7" s="16"/>
      <c r="G7" s="16"/>
      <c r="H7" s="16"/>
      <c r="I7" s="16"/>
      <c r="J7" s="16"/>
      <c r="K7" s="16"/>
      <c r="L7" s="3"/>
    </row>
    <row r="8" customFormat="false" ht="18" hidden="false" customHeight="false" outlineLevel="0" collapsed="false">
      <c r="A8" s="13" t="s">
        <v>10</v>
      </c>
      <c r="B8" s="13"/>
      <c r="C8" s="14" t="s">
        <v>11</v>
      </c>
      <c r="D8" s="14"/>
      <c r="E8" s="16"/>
      <c r="F8" s="16"/>
      <c r="G8" s="16"/>
      <c r="H8" s="16"/>
      <c r="I8" s="16"/>
      <c r="J8" s="16"/>
      <c r="K8" s="16"/>
      <c r="L8" s="3"/>
    </row>
    <row r="9" customFormat="false" ht="18" hidden="false" customHeight="false" outlineLevel="0" collapsed="false">
      <c r="A9" s="13" t="s">
        <v>12</v>
      </c>
      <c r="B9" s="13"/>
      <c r="C9" s="14" t="s">
        <v>13</v>
      </c>
      <c r="D9" s="14"/>
      <c r="E9" s="16"/>
      <c r="F9" s="16"/>
      <c r="G9" s="16"/>
      <c r="H9" s="16"/>
      <c r="I9" s="16"/>
      <c r="J9" s="16"/>
      <c r="K9" s="16"/>
      <c r="L9" s="3"/>
    </row>
    <row r="10" customFormat="false" ht="18" hidden="false" customHeight="false" outlineLevel="0" collapsed="false">
      <c r="A10" s="13" t="s">
        <v>14</v>
      </c>
      <c r="B10" s="13"/>
      <c r="C10" s="21" t="s">
        <v>15</v>
      </c>
      <c r="D10" s="21"/>
      <c r="E10" s="16"/>
      <c r="F10" s="16"/>
      <c r="G10" s="16"/>
      <c r="H10" s="16"/>
      <c r="I10" s="16"/>
      <c r="J10" s="16"/>
      <c r="K10" s="16"/>
      <c r="L10" s="3"/>
    </row>
    <row r="11" customFormat="false" ht="70.2" hidden="false" customHeight="true" outlineLevel="0" collapsed="false">
      <c r="A11" s="13" t="s">
        <v>16</v>
      </c>
      <c r="B11" s="13"/>
      <c r="C11" s="22"/>
      <c r="D11" s="22"/>
      <c r="E11" s="3"/>
      <c r="F11" s="16"/>
      <c r="G11" s="16"/>
      <c r="H11" s="16"/>
      <c r="I11" s="16"/>
      <c r="J11" s="16"/>
      <c r="K11" s="16"/>
      <c r="L11" s="3"/>
    </row>
    <row r="12" customFormat="false" ht="17.35" hidden="false" customHeight="false" outlineLevel="0" collapsed="false">
      <c r="A12" s="13" t="s">
        <v>17</v>
      </c>
      <c r="B12" s="13"/>
      <c r="C12" s="23" t="n">
        <v>5882364.07</v>
      </c>
      <c r="D12" s="23"/>
      <c r="E12" s="16"/>
      <c r="F12" s="16"/>
      <c r="G12" s="16"/>
      <c r="H12" s="24"/>
      <c r="I12" s="24"/>
      <c r="J12" s="24"/>
      <c r="K12" s="24"/>
      <c r="L12" s="20"/>
    </row>
    <row r="13" customFormat="false" ht="18" hidden="false" customHeight="false" outlineLevel="0" collapsed="false">
      <c r="B13" s="1"/>
      <c r="C13" s="1"/>
      <c r="D13" s="1"/>
      <c r="E13" s="1"/>
      <c r="F13" s="1"/>
      <c r="G13" s="1"/>
      <c r="H13" s="1"/>
      <c r="I13" s="1"/>
      <c r="J13" s="1"/>
      <c r="K13" s="1"/>
      <c r="L13" s="3"/>
    </row>
    <row r="14" customFormat="false" ht="19.35" hidden="false" customHeight="true" outlineLevel="0" collapsed="false">
      <c r="A14" s="25" t="s">
        <v>18</v>
      </c>
      <c r="B14" s="17" t="s">
        <v>19</v>
      </c>
      <c r="C14" s="25" t="s">
        <v>20</v>
      </c>
      <c r="D14" s="25" t="s">
        <v>21</v>
      </c>
      <c r="E14" s="25"/>
      <c r="F14" s="25"/>
      <c r="G14" s="25"/>
      <c r="H14" s="25"/>
      <c r="I14" s="26" t="n">
        <v>20</v>
      </c>
      <c r="J14" s="26" t="n">
        <v>6</v>
      </c>
      <c r="K14" s="26" t="n">
        <v>12</v>
      </c>
      <c r="L14" s="25"/>
    </row>
    <row r="15" customFormat="false" ht="19.35" hidden="false" customHeight="true" outlineLevel="0" collapsed="false">
      <c r="A15" s="25"/>
      <c r="B15" s="17"/>
      <c r="C15" s="25"/>
      <c r="D15" s="25" t="s">
        <v>22</v>
      </c>
      <c r="E15" s="25"/>
      <c r="F15" s="25" t="s">
        <v>23</v>
      </c>
      <c r="G15" s="25"/>
      <c r="H15" s="25"/>
      <c r="I15" s="27" t="s">
        <v>24</v>
      </c>
      <c r="J15" s="27" t="s">
        <v>25</v>
      </c>
      <c r="K15" s="27" t="s">
        <v>26</v>
      </c>
      <c r="L15" s="25" t="s">
        <v>27</v>
      </c>
    </row>
    <row r="16" customFormat="false" ht="31.2" hidden="false" customHeight="true" outlineLevel="0" collapsed="false">
      <c r="A16" s="25"/>
      <c r="B16" s="17"/>
      <c r="C16" s="25"/>
      <c r="D16" s="25" t="s">
        <v>28</v>
      </c>
      <c r="E16" s="25" t="s">
        <v>29</v>
      </c>
      <c r="F16" s="25" t="s">
        <v>28</v>
      </c>
      <c r="G16" s="25" t="s">
        <v>29</v>
      </c>
      <c r="H16" s="25" t="s">
        <v>30</v>
      </c>
      <c r="I16" s="27"/>
      <c r="J16" s="27"/>
      <c r="K16" s="27"/>
      <c r="L16" s="25"/>
    </row>
    <row r="17" customFormat="false" ht="17.35" hidden="false" customHeight="false" outlineLevel="0" collapsed="false">
      <c r="A17" s="28" t="n">
        <v>1</v>
      </c>
      <c r="B17" s="29" t="s">
        <v>31</v>
      </c>
      <c r="C17" s="30" t="s">
        <v>32</v>
      </c>
      <c r="D17" s="31" t="n">
        <v>635116.86</v>
      </c>
      <c r="E17" s="32"/>
      <c r="F17" s="33"/>
      <c r="G17" s="33" t="n">
        <v>932341.39</v>
      </c>
      <c r="H17" s="33" t="n">
        <v>159000</v>
      </c>
      <c r="I17" s="34" t="n">
        <f aca="false">H17/80*20</f>
        <v>39750</v>
      </c>
      <c r="J17" s="34" t="n">
        <f aca="false">G17/0.94-G17</f>
        <v>59511.1525531915</v>
      </c>
      <c r="K17" s="34"/>
      <c r="L17" s="35" t="n">
        <f aca="false">SUM(D17:K17)</f>
        <v>1825719.40255319</v>
      </c>
    </row>
    <row r="18" customFormat="false" ht="17.35" hidden="false" customHeight="false" outlineLevel="0" collapsed="false">
      <c r="A18" s="28" t="n">
        <v>2</v>
      </c>
      <c r="B18" s="29" t="s">
        <v>33</v>
      </c>
      <c r="C18" s="30" t="s">
        <v>34</v>
      </c>
      <c r="D18" s="31"/>
      <c r="E18" s="32"/>
      <c r="F18" s="33" t="n">
        <v>60000</v>
      </c>
      <c r="G18" s="33"/>
      <c r="H18" s="33"/>
      <c r="I18" s="34"/>
      <c r="J18" s="34"/>
      <c r="K18" s="34"/>
      <c r="L18" s="35" t="n">
        <f aca="false">SUM(D18:K18)</f>
        <v>60000</v>
      </c>
    </row>
    <row r="19" customFormat="false" ht="17.35" hidden="false" customHeight="false" outlineLevel="0" collapsed="false">
      <c r="A19" s="28" t="n">
        <v>3</v>
      </c>
      <c r="B19" s="29" t="s">
        <v>35</v>
      </c>
      <c r="C19" s="30" t="s">
        <v>36</v>
      </c>
      <c r="D19" s="31"/>
      <c r="E19" s="32"/>
      <c r="F19" s="33"/>
      <c r="G19" s="33" t="n">
        <v>35000</v>
      </c>
      <c r="H19" s="33"/>
      <c r="I19" s="34" t="n">
        <f aca="false">H19/80*20</f>
        <v>0</v>
      </c>
      <c r="J19" s="34"/>
      <c r="K19" s="34"/>
      <c r="L19" s="35" t="n">
        <f aca="false">SUM(D19:K19)</f>
        <v>35000</v>
      </c>
    </row>
    <row r="20" customFormat="false" ht="17.35" hidden="false" customHeight="false" outlineLevel="0" collapsed="false">
      <c r="A20" s="28" t="n">
        <v>4</v>
      </c>
      <c r="B20" s="29" t="s">
        <v>37</v>
      </c>
      <c r="C20" s="30" t="s">
        <v>38</v>
      </c>
      <c r="D20" s="31" t="n">
        <v>310895</v>
      </c>
      <c r="E20" s="32"/>
      <c r="F20" s="33"/>
      <c r="G20" s="33" t="n">
        <v>285000</v>
      </c>
      <c r="H20" s="33"/>
      <c r="I20" s="34" t="n">
        <f aca="false">H20/80*20</f>
        <v>0</v>
      </c>
      <c r="J20" s="34" t="n">
        <f aca="false">G20/0.94-G20</f>
        <v>18191.4893617022</v>
      </c>
      <c r="K20" s="34"/>
      <c r="L20" s="35" t="n">
        <f aca="false">SUM(D20:K20)</f>
        <v>614086.489361702</v>
      </c>
    </row>
    <row r="21" customFormat="false" ht="17.35" hidden="false" customHeight="false" outlineLevel="0" collapsed="false">
      <c r="A21" s="28" t="n">
        <v>5</v>
      </c>
      <c r="B21" s="29" t="s">
        <v>39</v>
      </c>
      <c r="C21" s="30"/>
      <c r="D21" s="31"/>
      <c r="E21" s="32"/>
      <c r="F21" s="33"/>
      <c r="G21" s="33" t="n">
        <v>40000</v>
      </c>
      <c r="H21" s="33"/>
      <c r="I21" s="34" t="n">
        <f aca="false">H21/80*20</f>
        <v>0</v>
      </c>
      <c r="J21" s="34"/>
      <c r="K21" s="34"/>
      <c r="L21" s="35" t="n">
        <f aca="false">SUM(D21:K21)</f>
        <v>40000</v>
      </c>
    </row>
    <row r="22" customFormat="false" ht="17.35" hidden="false" customHeight="false" outlineLevel="0" collapsed="false">
      <c r="A22" s="28" t="n">
        <v>6</v>
      </c>
      <c r="B22" s="29" t="s">
        <v>40</v>
      </c>
      <c r="C22" s="30" t="s">
        <v>38</v>
      </c>
      <c r="D22" s="31" t="n">
        <v>114750</v>
      </c>
      <c r="E22" s="32"/>
      <c r="F22" s="33"/>
      <c r="G22" s="33" t="n">
        <v>201735</v>
      </c>
      <c r="H22" s="33"/>
      <c r="I22" s="34" t="n">
        <f aca="false">H22/80*20</f>
        <v>0</v>
      </c>
      <c r="J22" s="34" t="n">
        <f aca="false">G22/0.94-G22</f>
        <v>12876.7021276596</v>
      </c>
      <c r="K22" s="34"/>
      <c r="L22" s="35" t="n">
        <f aca="false">SUM(D22:K22)</f>
        <v>329361.70212766</v>
      </c>
    </row>
    <row r="23" customFormat="false" ht="17.35" hidden="false" customHeight="false" outlineLevel="0" collapsed="false">
      <c r="A23" s="28" t="n">
        <v>7</v>
      </c>
      <c r="B23" s="36" t="s">
        <v>41</v>
      </c>
      <c r="C23" s="37"/>
      <c r="D23" s="38"/>
      <c r="E23" s="38"/>
      <c r="F23" s="38"/>
      <c r="G23" s="38" t="n">
        <v>128000</v>
      </c>
      <c r="H23" s="38"/>
      <c r="I23" s="34" t="n">
        <f aca="false">H23/80*20</f>
        <v>0</v>
      </c>
      <c r="J23" s="34"/>
      <c r="K23" s="34"/>
      <c r="L23" s="35" t="n">
        <f aca="false">SUM(D23:K23)</f>
        <v>128000</v>
      </c>
    </row>
    <row r="24" customFormat="false" ht="17.35" hidden="false" customHeight="false" outlineLevel="0" collapsed="false">
      <c r="A24" s="28" t="n">
        <v>8</v>
      </c>
      <c r="B24" s="36" t="s">
        <v>42</v>
      </c>
      <c r="C24" s="37"/>
      <c r="D24" s="38"/>
      <c r="E24" s="38" t="n">
        <f aca="false">14155.5+23592.5+5000</f>
        <v>42748</v>
      </c>
      <c r="F24" s="38" t="n">
        <v>80000</v>
      </c>
      <c r="G24" s="38"/>
      <c r="H24" s="38"/>
      <c r="I24" s="34" t="n">
        <f aca="false">H24/80*20</f>
        <v>0</v>
      </c>
      <c r="J24" s="34"/>
      <c r="K24" s="34"/>
      <c r="L24" s="35" t="n">
        <f aca="false">SUM(D24:K24)</f>
        <v>122748</v>
      </c>
    </row>
    <row r="25" customFormat="false" ht="17.35" hidden="false" customHeight="false" outlineLevel="0" collapsed="false">
      <c r="A25" s="28" t="n">
        <v>9</v>
      </c>
      <c r="B25" s="36" t="s">
        <v>43</v>
      </c>
      <c r="C25" s="37"/>
      <c r="D25" s="38"/>
      <c r="E25" s="38"/>
      <c r="F25" s="38"/>
      <c r="G25" s="38"/>
      <c r="H25" s="38" t="n">
        <v>170000</v>
      </c>
      <c r="I25" s="34" t="n">
        <f aca="false">H25/80*20</f>
        <v>42500</v>
      </c>
      <c r="J25" s="34"/>
      <c r="K25" s="34"/>
      <c r="L25" s="35" t="n">
        <f aca="false">SUM(D25:K25)</f>
        <v>212500</v>
      </c>
    </row>
    <row r="26" customFormat="false" ht="17.35" hidden="false" customHeight="false" outlineLevel="0" collapsed="false">
      <c r="A26" s="28" t="n">
        <v>10</v>
      </c>
      <c r="B26" s="39" t="s">
        <v>44</v>
      </c>
      <c r="C26" s="37"/>
      <c r="D26" s="38"/>
      <c r="E26" s="38"/>
      <c r="F26" s="38"/>
      <c r="G26" s="38"/>
      <c r="H26" s="38" t="n">
        <f aca="false">'Мотивация отдела расчет'!F51</f>
        <v>47811.832</v>
      </c>
      <c r="I26" s="34" t="n">
        <f aca="false">H26/80*20</f>
        <v>11952.958</v>
      </c>
      <c r="J26" s="34"/>
      <c r="K26" s="34"/>
      <c r="L26" s="35" t="n">
        <f aca="false">SUM(D26:K26)</f>
        <v>59764.79</v>
      </c>
    </row>
    <row r="27" customFormat="false" ht="17.35" hidden="false" customHeight="false" outlineLevel="0" collapsed="false">
      <c r="A27" s="28" t="n">
        <v>11</v>
      </c>
      <c r="B27" s="39" t="s">
        <v>45</v>
      </c>
      <c r="C27" s="37"/>
      <c r="D27" s="38"/>
      <c r="E27" s="38"/>
      <c r="F27" s="38"/>
      <c r="G27" s="38"/>
      <c r="H27" s="38" t="n">
        <f aca="false">80000*'Мотивация Прораб'!C8</f>
        <v>122666.666666666</v>
      </c>
      <c r="I27" s="34" t="n">
        <f aca="false">H27/80*20</f>
        <v>30666.6666666666</v>
      </c>
      <c r="J27" s="34"/>
      <c r="K27" s="34"/>
      <c r="L27" s="35" t="n">
        <f aca="false">SUM(D27:K27)</f>
        <v>153333.333333333</v>
      </c>
    </row>
    <row r="28" customFormat="false" ht="17.35" hidden="false" customHeight="false" outlineLevel="0" collapsed="false">
      <c r="A28" s="28" t="n">
        <v>12</v>
      </c>
      <c r="B28" s="40" t="s">
        <v>46</v>
      </c>
      <c r="C28" s="41"/>
      <c r="D28" s="42"/>
      <c r="E28" s="42"/>
      <c r="F28" s="42"/>
      <c r="G28" s="42"/>
      <c r="H28" s="42" t="n">
        <v>69400</v>
      </c>
      <c r="I28" s="34" t="n">
        <f aca="false">H28/80*20</f>
        <v>17350</v>
      </c>
      <c r="J28" s="34"/>
      <c r="K28" s="34"/>
      <c r="L28" s="35" t="n">
        <f aca="false">SUM(D28:K28)</f>
        <v>86750</v>
      </c>
    </row>
    <row r="29" customFormat="false" ht="18" hidden="false" customHeight="false" outlineLevel="0" collapsed="false">
      <c r="A29" s="28"/>
      <c r="B29" s="43"/>
      <c r="C29" s="44" t="s">
        <v>47</v>
      </c>
      <c r="D29" s="45" t="n">
        <f aca="false">SUM(D17:D28)</f>
        <v>1060761.86</v>
      </c>
      <c r="E29" s="45" t="n">
        <f aca="false">SUM(E17:E28)</f>
        <v>42748</v>
      </c>
      <c r="F29" s="45" t="n">
        <f aca="false">SUM(F17:F28)</f>
        <v>140000</v>
      </c>
      <c r="G29" s="45" t="n">
        <f aca="false">SUM(G17:G28)</f>
        <v>1622076.39</v>
      </c>
      <c r="H29" s="45" t="n">
        <f aca="false">SUM(H17:H28)</f>
        <v>568878.498666667</v>
      </c>
      <c r="I29" s="45" t="n">
        <f aca="false">SUM(I17:I28)</f>
        <v>142219.624666667</v>
      </c>
      <c r="J29" s="45" t="n">
        <f aca="false">SUM(J17:J28)</f>
        <v>90579.3440425533</v>
      </c>
      <c r="K29" s="45" t="n">
        <f aca="false">SUM(K17:K28)</f>
        <v>0</v>
      </c>
      <c r="L29" s="45" t="n">
        <f aca="false">SUM(L17:L28)</f>
        <v>3667263.71737588</v>
      </c>
    </row>
    <row r="30" customFormat="false" ht="18" hidden="false" customHeight="false" outlineLevel="0" collapsed="false">
      <c r="A30" s="46" t="s">
        <v>48</v>
      </c>
      <c r="B30" s="46"/>
      <c r="C30" s="46"/>
      <c r="D30" s="47" t="n">
        <f aca="false">D29+E29</f>
        <v>1103509.86</v>
      </c>
      <c r="E30" s="47"/>
      <c r="F30" s="47" t="n">
        <f aca="false">SUM(F29:K29)</f>
        <v>2563753.85737589</v>
      </c>
      <c r="G30" s="47"/>
      <c r="H30" s="47"/>
      <c r="I30" s="47"/>
      <c r="J30" s="47"/>
      <c r="K30" s="47"/>
      <c r="L30" s="17"/>
    </row>
    <row r="31" customFormat="false" ht="18" hidden="false" customHeight="false" outlineLevel="0" collapsed="false">
      <c r="A31" s="46" t="s">
        <v>49</v>
      </c>
      <c r="B31" s="46"/>
      <c r="C31" s="46"/>
      <c r="D31" s="47" t="n">
        <f aca="false">D30+F30</f>
        <v>3667263.71737589</v>
      </c>
      <c r="E31" s="47"/>
      <c r="F31" s="47"/>
      <c r="G31" s="47"/>
      <c r="H31" s="47"/>
      <c r="I31" s="47"/>
      <c r="J31" s="47"/>
      <c r="K31" s="47"/>
      <c r="L31" s="28"/>
    </row>
    <row r="32" customFormat="false" ht="18" hidden="false" customHeight="false" outlineLevel="0" collapsed="false">
      <c r="A32" s="48" t="s">
        <v>50</v>
      </c>
      <c r="B32" s="48"/>
      <c r="C32" s="49" t="n">
        <f aca="false">C12</f>
        <v>5882364.07</v>
      </c>
      <c r="D32" s="7"/>
      <c r="E32" s="1"/>
      <c r="F32" s="1"/>
      <c r="G32" s="1"/>
      <c r="H32" s="1"/>
      <c r="I32" s="1"/>
      <c r="J32" s="1"/>
      <c r="K32" s="1"/>
      <c r="L32" s="3"/>
    </row>
    <row r="33" customFormat="false" ht="19.35" hidden="false" customHeight="true" outlineLevel="0" collapsed="false">
      <c r="A33" s="50" t="s">
        <v>51</v>
      </c>
      <c r="B33" s="50"/>
      <c r="C33" s="42" t="n">
        <f aca="false">(C32/120*20)-(D29+F29)/120*20</f>
        <v>780267.035</v>
      </c>
      <c r="D33" s="7"/>
      <c r="E33" s="7"/>
      <c r="F33" s="51"/>
      <c r="G33" s="51"/>
      <c r="H33" s="51"/>
      <c r="I33" s="51"/>
      <c r="J33" s="51"/>
      <c r="K33" s="51"/>
      <c r="L33" s="51"/>
    </row>
    <row r="34" customFormat="false" ht="19.35" hidden="false" customHeight="true" outlineLevel="0" collapsed="false">
      <c r="A34" s="50" t="s">
        <v>52</v>
      </c>
      <c r="B34" s="50"/>
      <c r="C34" s="42" t="n">
        <f aca="false">C32-D31-C33</f>
        <v>1434833.31762411</v>
      </c>
      <c r="D34" s="7"/>
      <c r="E34" s="7"/>
      <c r="F34" s="1"/>
      <c r="G34" s="1"/>
      <c r="H34" s="1"/>
      <c r="I34" s="1"/>
      <c r="J34" s="1"/>
      <c r="K34" s="1"/>
      <c r="L34" s="4"/>
    </row>
    <row r="35" customFormat="false" ht="19.35" hidden="false" customHeight="true" outlineLevel="0" collapsed="false">
      <c r="A35" s="50" t="s">
        <v>53</v>
      </c>
      <c r="B35" s="50"/>
      <c r="C35" s="42"/>
      <c r="D35" s="7"/>
      <c r="E35" s="7"/>
      <c r="F35" s="1"/>
      <c r="G35" s="1"/>
      <c r="H35" s="1"/>
      <c r="I35" s="1"/>
      <c r="J35" s="1"/>
      <c r="K35" s="1"/>
      <c r="L35" s="4"/>
    </row>
    <row r="36" customFormat="false" ht="19.35" hidden="false" customHeight="true" outlineLevel="0" collapsed="false">
      <c r="A36" s="50" t="s">
        <v>54</v>
      </c>
      <c r="B36" s="50"/>
      <c r="C36" s="42" t="n">
        <f aca="false">C34-C35</f>
        <v>1434833.31762411</v>
      </c>
      <c r="D36" s="7"/>
      <c r="E36" s="7"/>
      <c r="F36" s="1"/>
      <c r="G36" s="1"/>
      <c r="H36" s="1"/>
      <c r="I36" s="1"/>
      <c r="J36" s="1"/>
      <c r="K36" s="1"/>
      <c r="L36" s="4"/>
    </row>
    <row r="37" customFormat="false" ht="18" hidden="false" customHeight="false" outlineLevel="0" collapsed="false">
      <c r="A37" s="52" t="s">
        <v>55</v>
      </c>
      <c r="B37" s="52"/>
      <c r="C37" s="42" t="n">
        <f aca="false">C36/(C32/100)</f>
        <v>24.3921202521576</v>
      </c>
      <c r="D37" s="7"/>
      <c r="E37" s="7"/>
      <c r="F37" s="1"/>
      <c r="G37" s="1"/>
      <c r="H37" s="1"/>
      <c r="I37" s="7"/>
      <c r="J37" s="7"/>
      <c r="K37" s="7"/>
      <c r="L37" s="3"/>
    </row>
    <row r="38" customFormat="false" ht="18" hidden="false" customHeight="false" outlineLevel="0" collapsed="false">
      <c r="A38" s="52" t="s">
        <v>56</v>
      </c>
      <c r="B38" s="52"/>
      <c r="C38" s="42" t="n">
        <f aca="false">'Мотивация отдела расчет'!C12+'Мотивация отдела расчет'!E12</f>
        <v>100438.34</v>
      </c>
      <c r="D38" s="7"/>
      <c r="E38" s="7"/>
      <c r="F38" s="1"/>
      <c r="G38" s="1"/>
      <c r="H38" s="1"/>
      <c r="I38" s="7"/>
      <c r="J38" s="7"/>
      <c r="K38" s="7"/>
      <c r="L38" s="3"/>
    </row>
    <row r="39" customFormat="false" ht="18" hidden="false" customHeight="false" outlineLevel="0" collapsed="false">
      <c r="A39" s="52" t="s">
        <v>57</v>
      </c>
      <c r="B39" s="52"/>
      <c r="C39" s="42" t="n">
        <f aca="false">(C38)/80*20</f>
        <v>25109.585</v>
      </c>
      <c r="D39" s="7"/>
      <c r="E39" s="7"/>
      <c r="F39" s="1"/>
      <c r="G39" s="1"/>
      <c r="H39" s="1"/>
      <c r="I39" s="7"/>
      <c r="J39" s="7"/>
      <c r="K39" s="7"/>
      <c r="L39" s="3"/>
    </row>
    <row r="40" customFormat="false" ht="18" hidden="false" customHeight="true" outlineLevel="0" collapsed="false">
      <c r="A40" s="53" t="s">
        <v>58</v>
      </c>
      <c r="B40" s="53"/>
      <c r="C40" s="45" t="n">
        <f aca="false">C36-C38-C39</f>
        <v>1309285.39262411</v>
      </c>
      <c r="D40" s="7"/>
      <c r="E40" s="7"/>
      <c r="F40" s="1"/>
      <c r="G40" s="1"/>
      <c r="H40" s="1"/>
      <c r="I40" s="7"/>
      <c r="J40" s="7"/>
      <c r="K40" s="7"/>
      <c r="L40" s="3"/>
    </row>
    <row r="41" customFormat="false" ht="18" hidden="false" customHeight="false" outlineLevel="0" collapsed="false">
      <c r="A41" s="13" t="s">
        <v>55</v>
      </c>
      <c r="B41" s="13"/>
      <c r="C41" s="54" t="n">
        <f aca="false">C40/C32*100</f>
        <v>22.25780956506</v>
      </c>
      <c r="D41" s="7"/>
      <c r="E41" s="7"/>
      <c r="F41" s="1"/>
      <c r="G41" s="1"/>
      <c r="H41" s="1"/>
      <c r="I41" s="7"/>
      <c r="J41" s="7"/>
      <c r="K41" s="7"/>
      <c r="L41" s="3"/>
    </row>
    <row r="42" customFormat="false" ht="18" hidden="false" customHeight="false" outlineLevel="0" collapsed="false">
      <c r="A42" s="55"/>
      <c r="B42" s="55"/>
      <c r="C42" s="56"/>
      <c r="D42" s="1"/>
      <c r="E42" s="7"/>
      <c r="F42" s="1"/>
      <c r="G42" s="1"/>
      <c r="H42" s="1"/>
      <c r="I42" s="7"/>
      <c r="J42" s="7"/>
      <c r="K42" s="7"/>
      <c r="L42" s="3"/>
    </row>
    <row r="43" customFormat="false" ht="18" hidden="false" customHeight="false" outlineLevel="0" collapsed="false">
      <c r="F43" s="1"/>
    </row>
    <row r="44" customFormat="false" ht="18" hidden="false" customHeight="false" outlineLevel="0" collapsed="false">
      <c r="B44" s="57" t="s">
        <v>59</v>
      </c>
    </row>
    <row r="45" customFormat="false" ht="18" hidden="false" customHeight="false" outlineLevel="0" collapsed="false">
      <c r="B45" s="2" t="s">
        <v>60</v>
      </c>
      <c r="C45" s="4" t="n">
        <f aca="false">D29+F29+G29+E29++K29+J29</f>
        <v>2956165.59404255</v>
      </c>
    </row>
    <row r="46" customFormat="false" ht="18" hidden="false" customHeight="false" outlineLevel="0" collapsed="false">
      <c r="B46" s="2" t="s">
        <v>61</v>
      </c>
      <c r="C46" s="4" t="n">
        <f aca="false">H29+C38</f>
        <v>669316.838666666</v>
      </c>
    </row>
    <row r="47" customFormat="false" ht="18" hidden="false" customHeight="false" outlineLevel="0" collapsed="false">
      <c r="B47" s="2" t="s">
        <v>62</v>
      </c>
      <c r="C47" s="4" t="n">
        <f aca="false">I29+C39</f>
        <v>167329.209666667</v>
      </c>
    </row>
    <row r="48" customFormat="false" ht="18" hidden="false" customHeight="false" outlineLevel="0" collapsed="false">
      <c r="B48" s="2" t="s">
        <v>63</v>
      </c>
      <c r="C48" s="4" t="n">
        <f aca="false">SUM(C45:C47)</f>
        <v>3792811.64237588</v>
      </c>
    </row>
    <row r="207" customFormat="false" ht="15" hidden="false" customHeight="true" outlineLevel="0" collapsed="false"/>
  </sheetData>
  <mergeCells count="42">
    <mergeCell ref="C1:D1"/>
    <mergeCell ref="A2:B2"/>
    <mergeCell ref="C2:D2"/>
    <mergeCell ref="A3:B3"/>
    <mergeCell ref="A4:B6"/>
    <mergeCell ref="A7:B7"/>
    <mergeCell ref="C7:D7"/>
    <mergeCell ref="A8:B8"/>
    <mergeCell ref="C8:D8"/>
    <mergeCell ref="A9:B9"/>
    <mergeCell ref="C9:D9"/>
    <mergeCell ref="A10:B10"/>
    <mergeCell ref="C10:D10"/>
    <mergeCell ref="A11:B11"/>
    <mergeCell ref="C11:D11"/>
    <mergeCell ref="A12:B12"/>
    <mergeCell ref="C12:D12"/>
    <mergeCell ref="A14:A16"/>
    <mergeCell ref="B14:B16"/>
    <mergeCell ref="C14:C16"/>
    <mergeCell ref="D14:H14"/>
    <mergeCell ref="D15:E15"/>
    <mergeCell ref="F15:H15"/>
    <mergeCell ref="I15:I16"/>
    <mergeCell ref="J15:J16"/>
    <mergeCell ref="K15:K16"/>
    <mergeCell ref="L15:L16"/>
    <mergeCell ref="A30:C30"/>
    <mergeCell ref="D30:E30"/>
    <mergeCell ref="F30:K30"/>
    <mergeCell ref="A31:C31"/>
    <mergeCell ref="D31:K31"/>
    <mergeCell ref="A33:B33"/>
    <mergeCell ref="F33:L33"/>
    <mergeCell ref="A34:B34"/>
    <mergeCell ref="A35:B35"/>
    <mergeCell ref="A36:B36"/>
    <mergeCell ref="A37:B37"/>
    <mergeCell ref="A38:B38"/>
    <mergeCell ref="A39:B39"/>
    <mergeCell ref="A40:B40"/>
    <mergeCell ref="A41:B4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J51"/>
  <sheetViews>
    <sheetView showFormulas="false" showGridLines="true" showRowColHeaders="true" showZeros="true" rightToLeft="false" tabSelected="false" showOutlineSymbols="true" defaultGridColor="true" view="normal" topLeftCell="A13" colorId="64" zoomScale="90" zoomScaleNormal="90" zoomScalePageLayoutView="100" workbookViewId="0">
      <selection pane="topLeft" activeCell="I20" activeCellId="0" sqref="I20"/>
    </sheetView>
  </sheetViews>
  <sheetFormatPr defaultColWidth="8.8046875" defaultRowHeight="14.4" zeroHeight="false" outlineLevelRow="0" outlineLevelCol="0"/>
  <cols>
    <col collapsed="false" customWidth="true" hidden="false" outlineLevel="0" max="1" min="1" style="0" width="2.89"/>
    <col collapsed="false" customWidth="true" hidden="false" outlineLevel="0" max="2" min="2" style="0" width="23.11"/>
    <col collapsed="false" customWidth="true" hidden="false" outlineLevel="0" max="3" min="3" style="0" width="16"/>
    <col collapsed="false" customWidth="true" hidden="false" outlineLevel="0" max="4" min="4" style="0" width="25.89"/>
    <col collapsed="false" customWidth="true" hidden="false" outlineLevel="0" max="5" min="5" style="0" width="14.88"/>
    <col collapsed="false" customWidth="true" hidden="false" outlineLevel="0" max="6" min="6" style="0" width="13.1"/>
    <col collapsed="false" customWidth="true" hidden="false" outlineLevel="0" max="7" min="7" style="0" width="16.33"/>
    <col collapsed="false" customWidth="true" hidden="false" outlineLevel="0" max="9" min="8" style="0" width="13.1"/>
    <col collapsed="false" customWidth="true" hidden="false" outlineLevel="0" max="10" min="10" style="0" width="14.55"/>
    <col collapsed="false" customWidth="true" hidden="false" outlineLevel="0" max="1024" min="1024" style="0" width="11.57"/>
  </cols>
  <sheetData>
    <row r="1" customFormat="false" ht="14.4" hidden="false" customHeight="false" outlineLevel="0" collapsed="false">
      <c r="B1" s="58" t="str">
        <f aca="false">'КО Итог'!C3</f>
        <v>Каппа Краснодар СМР</v>
      </c>
      <c r="C1" s="58"/>
      <c r="D1" s="58"/>
      <c r="E1" s="58"/>
      <c r="F1" s="58"/>
      <c r="G1" s="58"/>
      <c r="H1" s="58"/>
      <c r="I1" s="58"/>
      <c r="J1" s="58"/>
    </row>
    <row r="2" customFormat="false" ht="14.4" hidden="false" customHeight="false" outlineLevel="0" collapsed="false">
      <c r="B2" s="58"/>
      <c r="C2" s="58"/>
      <c r="D2" s="58"/>
      <c r="E2" s="58"/>
      <c r="F2" s="58"/>
      <c r="G2" s="58"/>
      <c r="H2" s="58"/>
      <c r="I2" s="58"/>
      <c r="J2" s="58"/>
    </row>
    <row r="3" customFormat="false" ht="14.4" hidden="false" customHeight="false" outlineLevel="0" collapsed="false">
      <c r="B3" s="58"/>
      <c r="C3" s="58"/>
      <c r="D3" s="58"/>
      <c r="E3" s="58"/>
      <c r="F3" s="58"/>
      <c r="G3" s="58"/>
      <c r="H3" s="58"/>
      <c r="I3" s="58"/>
      <c r="J3" s="58"/>
    </row>
    <row r="4" customFormat="false" ht="75" hidden="false" customHeight="true" outlineLevel="0" collapsed="false">
      <c r="B4" s="59" t="s">
        <v>64</v>
      </c>
      <c r="C4" s="59"/>
      <c r="D4" s="59" t="s">
        <v>65</v>
      </c>
      <c r="E4" s="59"/>
      <c r="F4" s="60"/>
      <c r="G4" s="61"/>
      <c r="H4" s="62"/>
      <c r="I4" s="62"/>
    </row>
    <row r="5" customFormat="false" ht="18" hidden="false" customHeight="false" outlineLevel="0" collapsed="false">
      <c r="B5" s="59"/>
      <c r="C5" s="59"/>
      <c r="D5" s="59"/>
      <c r="E5" s="59"/>
      <c r="F5" s="63"/>
      <c r="G5" s="61"/>
      <c r="H5" s="62"/>
      <c r="I5" s="62"/>
    </row>
    <row r="6" customFormat="false" ht="18" hidden="false" customHeight="false" outlineLevel="0" collapsed="false">
      <c r="B6" s="63" t="s">
        <v>66</v>
      </c>
      <c r="C6" s="64" t="n">
        <f aca="false">'КО Итог'!C36</f>
        <v>1434833.31762411</v>
      </c>
      <c r="D6" s="64"/>
      <c r="E6" s="64"/>
      <c r="F6" s="65"/>
      <c r="G6" s="61"/>
      <c r="H6" s="62"/>
      <c r="I6" s="62"/>
    </row>
    <row r="7" customFormat="false" ht="18" hidden="false" customHeight="false" outlineLevel="0" collapsed="false">
      <c r="B7" s="63" t="s">
        <v>55</v>
      </c>
      <c r="C7" s="64" t="n">
        <f aca="false">'КО Итог'!C37</f>
        <v>24.3921202521576</v>
      </c>
      <c r="D7" s="64"/>
      <c r="E7" s="64"/>
      <c r="F7" s="65"/>
      <c r="G7" s="61"/>
      <c r="H7" s="62"/>
      <c r="I7" s="62"/>
    </row>
    <row r="8" customFormat="false" ht="36" hidden="false" customHeight="false" outlineLevel="0" collapsed="false">
      <c r="B8" s="66" t="s">
        <v>67</v>
      </c>
      <c r="C8" s="67" t="n">
        <f aca="false">ROUND(IF(C7&lt;=15.98,(C6/100*3),0),2)</f>
        <v>0</v>
      </c>
      <c r="D8" s="66" t="s">
        <v>68</v>
      </c>
      <c r="E8" s="67" t="n">
        <f aca="false">ROUND(IF(C7&lt;=15.98,(C6/100*1),0),2)</f>
        <v>0</v>
      </c>
      <c r="F8" s="65"/>
      <c r="G8" s="61"/>
      <c r="H8" s="62"/>
      <c r="I8" s="62"/>
    </row>
    <row r="9" customFormat="false" ht="36" hidden="false" customHeight="false" outlineLevel="0" collapsed="false">
      <c r="B9" s="68" t="s">
        <v>69</v>
      </c>
      <c r="C9" s="69" t="n">
        <f aca="false">ROUND(IF(C7&gt;15.99,IF(C7&lt;=19.99,(C6/100*4.5),0),0),2)</f>
        <v>0</v>
      </c>
      <c r="D9" s="68" t="s">
        <v>70</v>
      </c>
      <c r="E9" s="69" t="n">
        <f aca="false">ROUND(IF(C7&gt;15.99,IF(C7&lt;=19.99,(C6/100*1.5),0),0),2)</f>
        <v>0</v>
      </c>
      <c r="F9" s="65"/>
      <c r="G9" s="61"/>
      <c r="H9" s="62"/>
      <c r="I9" s="62"/>
    </row>
    <row r="10" customFormat="false" ht="36" hidden="false" customHeight="false" outlineLevel="0" collapsed="false">
      <c r="B10" s="68" t="s">
        <v>71</v>
      </c>
      <c r="C10" s="69" t="n">
        <f aca="false">ROUND(IF(C7&gt;20,IF(C7&lt;=29.99,(C6/100*5),0),0),2)</f>
        <v>71741.67</v>
      </c>
      <c r="D10" s="68" t="s">
        <v>72</v>
      </c>
      <c r="E10" s="69" t="n">
        <f aca="false">ROUND(IF(C7&gt;20,IF(C7&lt;=29.99,(C6/100*2),0),0),2)</f>
        <v>28696.67</v>
      </c>
      <c r="F10" s="65"/>
      <c r="G10" s="61"/>
      <c r="H10" s="62"/>
      <c r="I10" s="62"/>
    </row>
    <row r="11" customFormat="false" ht="36" hidden="false" customHeight="false" outlineLevel="0" collapsed="false">
      <c r="B11" s="68" t="s">
        <v>73</v>
      </c>
      <c r="C11" s="69" t="n">
        <f aca="false">ROUND(IF(C7&gt;30,(C6/100*5),0),2)</f>
        <v>0</v>
      </c>
      <c r="D11" s="68" t="s">
        <v>74</v>
      </c>
      <c r="E11" s="69" t="n">
        <f aca="false">ROUND(IF(C7&gt;30,(C6/100*3),0),2)</f>
        <v>0</v>
      </c>
      <c r="F11" s="65"/>
      <c r="G11" s="61"/>
      <c r="H11" s="62"/>
      <c r="I11" s="62"/>
    </row>
    <row r="12" customFormat="false" ht="18" hidden="false" customHeight="false" outlineLevel="0" collapsed="false">
      <c r="B12" s="70" t="s">
        <v>75</v>
      </c>
      <c r="C12" s="71" t="n">
        <f aca="false">SUM(C8:C11)</f>
        <v>71741.67</v>
      </c>
      <c r="D12" s="70" t="s">
        <v>75</v>
      </c>
      <c r="E12" s="71" t="n">
        <f aca="false">SUM(E8:E11)</f>
        <v>28696.67</v>
      </c>
      <c r="F12" s="65"/>
      <c r="G12" s="61"/>
      <c r="H12" s="62"/>
      <c r="I12" s="62"/>
    </row>
    <row r="13" customFormat="false" ht="14.4" hidden="false" customHeight="false" outlineLevel="0" collapsed="false">
      <c r="B13" s="62"/>
      <c r="C13" s="62"/>
      <c r="D13" s="62"/>
      <c r="E13" s="62"/>
      <c r="F13" s="62"/>
      <c r="G13" s="62"/>
      <c r="H13" s="62"/>
      <c r="I13" s="62"/>
    </row>
    <row r="14" customFormat="false" ht="18" hidden="false" customHeight="true" outlineLevel="0" collapsed="false">
      <c r="B14" s="72" t="s">
        <v>76</v>
      </c>
      <c r="C14" s="72"/>
      <c r="D14" s="72"/>
      <c r="E14" s="72"/>
      <c r="F14" s="72"/>
      <c r="G14" s="72"/>
      <c r="H14" s="73"/>
      <c r="I14" s="73"/>
    </row>
    <row r="15" customFormat="false" ht="18" hidden="false" customHeight="true" outlineLevel="0" collapsed="false">
      <c r="B15" s="74" t="s">
        <v>77</v>
      </c>
      <c r="C15" s="74"/>
      <c r="D15" s="75" t="n">
        <f aca="false">'КО Итог'!C12</f>
        <v>5882364.07</v>
      </c>
      <c r="E15" s="76"/>
      <c r="F15" s="76"/>
      <c r="G15" s="76"/>
      <c r="H15" s="76"/>
      <c r="I15" s="76"/>
    </row>
    <row r="16" customFormat="false" ht="14.4" hidden="false" customHeight="false" outlineLevel="0" collapsed="false">
      <c r="E16" s="77" t="s">
        <v>78</v>
      </c>
      <c r="F16" s="77"/>
      <c r="G16" s="77"/>
      <c r="H16" s="78"/>
      <c r="I16" s="78"/>
    </row>
    <row r="17" customFormat="false" ht="109.2" hidden="false" customHeight="false" outlineLevel="0" collapsed="false">
      <c r="B17" s="79" t="s">
        <v>79</v>
      </c>
      <c r="C17" s="80" t="s">
        <v>80</v>
      </c>
      <c r="D17" s="81" t="s">
        <v>81</v>
      </c>
      <c r="E17" s="81" t="s">
        <v>82</v>
      </c>
      <c r="F17" s="81" t="s">
        <v>83</v>
      </c>
      <c r="G17" s="81" t="s">
        <v>84</v>
      </c>
      <c r="H17" s="81" t="s">
        <v>85</v>
      </c>
      <c r="I17" s="81" t="s">
        <v>86</v>
      </c>
      <c r="J17" s="81" t="s">
        <v>87</v>
      </c>
    </row>
    <row r="18" customFormat="false" ht="15.6" hidden="false" customHeight="true" outlineLevel="0" collapsed="false">
      <c r="B18" s="82" t="s">
        <v>88</v>
      </c>
      <c r="C18" s="82"/>
      <c r="D18" s="82"/>
      <c r="E18" s="83" t="s">
        <v>89</v>
      </c>
      <c r="F18" s="84"/>
      <c r="G18" s="85" t="s">
        <v>90</v>
      </c>
      <c r="H18" s="86"/>
      <c r="I18" s="86"/>
      <c r="J18" s="86" t="s">
        <v>91</v>
      </c>
    </row>
    <row r="19" customFormat="false" ht="15.6" hidden="false" customHeight="true" outlineLevel="0" collapsed="false">
      <c r="B19" s="87" t="s">
        <v>92</v>
      </c>
      <c r="C19" s="87"/>
      <c r="D19" s="87"/>
      <c r="E19" s="88" t="n">
        <v>30</v>
      </c>
      <c r="F19" s="84"/>
      <c r="G19" s="84" t="n">
        <f aca="false">IF(G18="Жук",35,IF(G18="Олейник",35))</f>
        <v>35</v>
      </c>
      <c r="H19" s="81" t="s">
        <v>93</v>
      </c>
      <c r="I19" s="81"/>
      <c r="J19" s="81"/>
    </row>
    <row r="20" customFormat="false" ht="14.4" hidden="false" customHeight="true" outlineLevel="0" collapsed="false">
      <c r="B20" s="89" t="n">
        <v>1000000</v>
      </c>
      <c r="C20" s="90" t="n">
        <v>2</v>
      </c>
      <c r="D20" s="91" t="n">
        <f aca="false">ROUND(IF(D15&lt;=999999,(D15*C20/100),0),2)</f>
        <v>0</v>
      </c>
      <c r="E20" s="92" t="n">
        <f aca="false">D20/100*E19</f>
        <v>0</v>
      </c>
      <c r="F20" s="92" t="n">
        <f aca="false">D20/100*F19</f>
        <v>0</v>
      </c>
      <c r="G20" s="92" t="n">
        <f aca="false">D20/100*G19</f>
        <v>0</v>
      </c>
      <c r="H20" s="93" t="n">
        <f aca="false">IF(H18="Турлюн",'Мотивация гл. инж.'!E23,0)</f>
        <v>0</v>
      </c>
      <c r="I20" s="93" t="n">
        <f aca="false">IF(I18="Гаврилов",'Инженер ОВИК'!E28+'Инженер ОВИК'!E51,0)</f>
        <v>0</v>
      </c>
      <c r="J20" s="93" t="n">
        <f aca="false">IF(OR(J18="Иванков",J18="Пученко"),Снабжение!D50,0)</f>
        <v>13400</v>
      </c>
    </row>
    <row r="21" customFormat="false" ht="14.4" hidden="false" customHeight="false" outlineLevel="0" collapsed="false">
      <c r="B21" s="89" t="n">
        <v>1500000</v>
      </c>
      <c r="C21" s="90" t="n">
        <v>1.8</v>
      </c>
      <c r="D21" s="91" t="n">
        <f aca="false">ROUND(IF(D15&gt;B20,IF(D15&lt;=B21,(D15*C21/100),0),0),2)</f>
        <v>0</v>
      </c>
      <c r="E21" s="92" t="n">
        <f aca="false">D21/100*E19</f>
        <v>0</v>
      </c>
      <c r="F21" s="92" t="n">
        <f aca="false">D21/100*F19</f>
        <v>0</v>
      </c>
      <c r="G21" s="92" t="n">
        <f aca="false">D21/100*G19</f>
        <v>0</v>
      </c>
      <c r="H21" s="93"/>
      <c r="I21" s="93"/>
      <c r="J21" s="93"/>
    </row>
    <row r="22" customFormat="false" ht="14.4" hidden="false" customHeight="false" outlineLevel="0" collapsed="false">
      <c r="B22" s="89" t="n">
        <v>2000000</v>
      </c>
      <c r="C22" s="90" t="n">
        <v>1.6</v>
      </c>
      <c r="D22" s="91" t="n">
        <f aca="false">ROUND(IF(D15&gt;B21,IF(D15&lt;=B22,(D15*C22/100),0),0),2)</f>
        <v>0</v>
      </c>
      <c r="E22" s="92" t="n">
        <f aca="false">D22/100*E19</f>
        <v>0</v>
      </c>
      <c r="F22" s="92" t="n">
        <f aca="false">D22/100*F19</f>
        <v>0</v>
      </c>
      <c r="G22" s="92" t="n">
        <f aca="false">D22/100*G19</f>
        <v>0</v>
      </c>
      <c r="H22" s="93"/>
      <c r="I22" s="93"/>
      <c r="J22" s="93"/>
    </row>
    <row r="23" customFormat="false" ht="14.4" hidden="false" customHeight="false" outlineLevel="0" collapsed="false">
      <c r="B23" s="89" t="n">
        <v>2500000</v>
      </c>
      <c r="C23" s="90" t="n">
        <v>1.5</v>
      </c>
      <c r="D23" s="91" t="n">
        <f aca="false">ROUND(IF(D15&gt;B22,IF(D15&lt;=B23,(D15*C23/100),0),0),2)</f>
        <v>0</v>
      </c>
      <c r="E23" s="92" t="n">
        <f aca="false">D23/100*E19</f>
        <v>0</v>
      </c>
      <c r="F23" s="92" t="n">
        <f aca="false">D23/100*F19</f>
        <v>0</v>
      </c>
      <c r="G23" s="92" t="n">
        <f aca="false">D23/100*G19</f>
        <v>0</v>
      </c>
      <c r="H23" s="93"/>
      <c r="I23" s="93"/>
      <c r="J23" s="93"/>
    </row>
    <row r="24" customFormat="false" ht="14.4" hidden="false" customHeight="false" outlineLevel="0" collapsed="false">
      <c r="B24" s="89" t="n">
        <v>3000000</v>
      </c>
      <c r="C24" s="90" t="n">
        <v>1.4</v>
      </c>
      <c r="D24" s="91" t="n">
        <f aca="false">ROUND(IF(D15&gt;B23,IF(D15&lt;=B24,(D15*C24/100),0),0),2)</f>
        <v>0</v>
      </c>
      <c r="E24" s="92" t="n">
        <f aca="false">D24/100*E19</f>
        <v>0</v>
      </c>
      <c r="F24" s="92" t="n">
        <f aca="false">D24/100*F19</f>
        <v>0</v>
      </c>
      <c r="G24" s="92" t="n">
        <f aca="false">D24/100*G19</f>
        <v>0</v>
      </c>
      <c r="H24" s="93"/>
      <c r="I24" s="93"/>
      <c r="J24" s="93"/>
    </row>
    <row r="25" customFormat="false" ht="14.4" hidden="false" customHeight="false" outlineLevel="0" collapsed="false">
      <c r="B25" s="89" t="n">
        <v>3500000</v>
      </c>
      <c r="C25" s="94" t="n">
        <v>1.3</v>
      </c>
      <c r="D25" s="91" t="n">
        <f aca="false">ROUND(IF(D15&gt;B24,IF(D15&lt;=B25,(D15*C25/100),0),0),2)</f>
        <v>0</v>
      </c>
      <c r="E25" s="92" t="n">
        <f aca="false">D25/100*E19</f>
        <v>0</v>
      </c>
      <c r="F25" s="92" t="n">
        <f aca="false">D25/100*F19</f>
        <v>0</v>
      </c>
      <c r="G25" s="92" t="n">
        <f aca="false">D25/100*G19</f>
        <v>0</v>
      </c>
      <c r="H25" s="93"/>
      <c r="I25" s="93"/>
      <c r="J25" s="93"/>
    </row>
    <row r="26" customFormat="false" ht="14.4" hidden="false" customHeight="false" outlineLevel="0" collapsed="false">
      <c r="B26" s="89" t="n">
        <v>4000000</v>
      </c>
      <c r="C26" s="94" t="n">
        <v>1.2</v>
      </c>
      <c r="D26" s="91" t="n">
        <f aca="false">ROUND(IF(D15&gt;B25,IF(D15&lt;=B26,(D15*C26/100),0),0),2)</f>
        <v>0</v>
      </c>
      <c r="E26" s="92" t="n">
        <f aca="false">D26/100*E19</f>
        <v>0</v>
      </c>
      <c r="F26" s="92" t="n">
        <f aca="false">D26/100*F19</f>
        <v>0</v>
      </c>
      <c r="G26" s="92" t="n">
        <f aca="false">D26/100*G19</f>
        <v>0</v>
      </c>
      <c r="H26" s="93"/>
      <c r="I26" s="93"/>
      <c r="J26" s="93"/>
    </row>
    <row r="27" customFormat="false" ht="14.4" hidden="false" customHeight="false" outlineLevel="0" collapsed="false">
      <c r="B27" s="89" t="n">
        <v>4500000</v>
      </c>
      <c r="C27" s="94" t="n">
        <v>1.1</v>
      </c>
      <c r="D27" s="91" t="n">
        <f aca="false">ROUND(IF(D15&gt;B26,IF(D15&lt;=B27,(D15*C27/100),0),0),2)</f>
        <v>0</v>
      </c>
      <c r="E27" s="92" t="n">
        <f aca="false">D27/100*E19</f>
        <v>0</v>
      </c>
      <c r="F27" s="92" t="n">
        <f aca="false">D27/100*F19</f>
        <v>0</v>
      </c>
      <c r="G27" s="92" t="n">
        <f aca="false">D27/100*G19</f>
        <v>0</v>
      </c>
      <c r="H27" s="93"/>
      <c r="I27" s="93"/>
      <c r="J27" s="93"/>
    </row>
    <row r="28" customFormat="false" ht="14.4" hidden="false" customHeight="false" outlineLevel="0" collapsed="false">
      <c r="B28" s="89" t="n">
        <v>5000000</v>
      </c>
      <c r="C28" s="94" t="n">
        <v>1</v>
      </c>
      <c r="D28" s="91" t="n">
        <f aca="false">ROUND(IF(D15&gt;B27,IF(D15&lt;=B28,(D15*C28/100),0),0),2)</f>
        <v>0</v>
      </c>
      <c r="E28" s="92" t="n">
        <f aca="false">D28/100*E19</f>
        <v>0</v>
      </c>
      <c r="F28" s="92" t="n">
        <f aca="false">D28/100*F19</f>
        <v>0</v>
      </c>
      <c r="G28" s="92" t="n">
        <f aca="false">D28/100*G19</f>
        <v>0</v>
      </c>
      <c r="H28" s="93"/>
      <c r="I28" s="93"/>
      <c r="J28" s="93"/>
    </row>
    <row r="29" customFormat="false" ht="14.4" hidden="false" customHeight="false" outlineLevel="0" collapsed="false">
      <c r="B29" s="89" t="n">
        <v>6000000</v>
      </c>
      <c r="C29" s="94" t="n">
        <v>0.9</v>
      </c>
      <c r="D29" s="91" t="n">
        <f aca="false">ROUND(IF(D15&gt;B28,IF(D15&lt;=B29,(D15*C29/100),0),0),2)</f>
        <v>52941.28</v>
      </c>
      <c r="E29" s="92" t="n">
        <f aca="false">D29/100*E19</f>
        <v>15882.384</v>
      </c>
      <c r="F29" s="92" t="n">
        <f aca="false">D29/100*F19</f>
        <v>0</v>
      </c>
      <c r="G29" s="92" t="n">
        <f aca="false">D29/100*G19</f>
        <v>18529.448</v>
      </c>
      <c r="H29" s="93"/>
      <c r="I29" s="93"/>
      <c r="J29" s="93"/>
    </row>
    <row r="30" customFormat="false" ht="14.4" hidden="false" customHeight="false" outlineLevel="0" collapsed="false">
      <c r="B30" s="89" t="n">
        <v>7000000</v>
      </c>
      <c r="C30" s="94" t="n">
        <v>0.8</v>
      </c>
      <c r="D30" s="91" t="n">
        <f aca="false">ROUND(IF(D15&gt;B29,IF(D15&lt;=B30,(D15*C30/100),0),0),2)</f>
        <v>0</v>
      </c>
      <c r="E30" s="92" t="n">
        <f aca="false">D30/100*E19</f>
        <v>0</v>
      </c>
      <c r="F30" s="92" t="n">
        <f aca="false">D30/100*F19</f>
        <v>0</v>
      </c>
      <c r="G30" s="92" t="n">
        <f aca="false">D30/100*G19</f>
        <v>0</v>
      </c>
      <c r="H30" s="93"/>
      <c r="I30" s="93"/>
      <c r="J30" s="93"/>
    </row>
    <row r="31" customFormat="false" ht="14.4" hidden="false" customHeight="false" outlineLevel="0" collapsed="false">
      <c r="B31" s="89" t="n">
        <v>8000000</v>
      </c>
      <c r="C31" s="94" t="n">
        <v>0.8</v>
      </c>
      <c r="D31" s="91" t="n">
        <f aca="false">ROUND(IF(D15&gt;B30,IF(D15&lt;=B31,(D15*C31/100),0),0),2)</f>
        <v>0</v>
      </c>
      <c r="E31" s="92" t="n">
        <f aca="false">D31/100*E19</f>
        <v>0</v>
      </c>
      <c r="F31" s="92" t="n">
        <f aca="false">D31/100*F19</f>
        <v>0</v>
      </c>
      <c r="G31" s="92" t="n">
        <f aca="false">D31/100*G19</f>
        <v>0</v>
      </c>
      <c r="H31" s="93"/>
      <c r="I31" s="93"/>
      <c r="J31" s="93"/>
    </row>
    <row r="32" customFormat="false" ht="14.4" hidden="false" customHeight="false" outlineLevel="0" collapsed="false">
      <c r="B32" s="89" t="n">
        <v>9000000</v>
      </c>
      <c r="C32" s="94" t="n">
        <v>0.75</v>
      </c>
      <c r="D32" s="91" t="n">
        <f aca="false">ROUND(IF(D15&gt;B31,IF(D15&lt;=B32,(D15*C32/100),0),0),2)</f>
        <v>0</v>
      </c>
      <c r="E32" s="92" t="n">
        <f aca="false">D32/100*E19</f>
        <v>0</v>
      </c>
      <c r="F32" s="92" t="n">
        <f aca="false">D32/100*F19</f>
        <v>0</v>
      </c>
      <c r="G32" s="92" t="n">
        <f aca="false">D32/100*G19</f>
        <v>0</v>
      </c>
      <c r="H32" s="93"/>
      <c r="I32" s="93"/>
      <c r="J32" s="93"/>
    </row>
    <row r="33" customFormat="false" ht="14.4" hidden="false" customHeight="false" outlineLevel="0" collapsed="false">
      <c r="B33" s="89" t="n">
        <v>10000000</v>
      </c>
      <c r="C33" s="94" t="n">
        <v>0.7</v>
      </c>
      <c r="D33" s="91" t="n">
        <f aca="false">ROUND(IF(D15&gt;B32,IF(D15&lt;=B33,(D15*C33/100),0),0),2)</f>
        <v>0</v>
      </c>
      <c r="E33" s="92" t="n">
        <f aca="false">D33/100*E19</f>
        <v>0</v>
      </c>
      <c r="F33" s="92" t="n">
        <f aca="false">D33/100*F19</f>
        <v>0</v>
      </c>
      <c r="G33" s="92" t="n">
        <f aca="false">D33/100*G19</f>
        <v>0</v>
      </c>
      <c r="H33" s="93"/>
      <c r="I33" s="93"/>
      <c r="J33" s="93"/>
    </row>
    <row r="34" customFormat="false" ht="14.4" hidden="false" customHeight="false" outlineLevel="0" collapsed="false">
      <c r="B34" s="89" t="n">
        <v>11000000</v>
      </c>
      <c r="C34" s="94" t="n">
        <v>0.7</v>
      </c>
      <c r="D34" s="91" t="n">
        <f aca="false">ROUND(IF(D15&gt;B33,IF(D15&lt;=B34,(D15*C34/100),0),0),2)</f>
        <v>0</v>
      </c>
      <c r="E34" s="92" t="n">
        <f aca="false">D34/100*E19</f>
        <v>0</v>
      </c>
      <c r="F34" s="92" t="n">
        <f aca="false">D34/100*F19</f>
        <v>0</v>
      </c>
      <c r="G34" s="92" t="n">
        <f aca="false">D34/100*G19</f>
        <v>0</v>
      </c>
      <c r="H34" s="93"/>
      <c r="I34" s="93"/>
      <c r="J34" s="93"/>
    </row>
    <row r="35" customFormat="false" ht="14.4" hidden="false" customHeight="false" outlineLevel="0" collapsed="false">
      <c r="B35" s="89" t="n">
        <v>12000000</v>
      </c>
      <c r="C35" s="94" t="n">
        <v>0.65</v>
      </c>
      <c r="D35" s="91" t="n">
        <f aca="false">ROUND(IF(D15&gt;B34,IF(D15&lt;=B35,(D15*C35/100),0),0),2)</f>
        <v>0</v>
      </c>
      <c r="E35" s="92" t="n">
        <f aca="false">D35/100*E19</f>
        <v>0</v>
      </c>
      <c r="F35" s="92" t="n">
        <f aca="false">D35/100*F19</f>
        <v>0</v>
      </c>
      <c r="G35" s="92" t="n">
        <f aca="false">D35/100*G19</f>
        <v>0</v>
      </c>
      <c r="H35" s="93"/>
      <c r="I35" s="93"/>
      <c r="J35" s="93"/>
    </row>
    <row r="36" customFormat="false" ht="14.4" hidden="false" customHeight="false" outlineLevel="0" collapsed="false">
      <c r="B36" s="89" t="n">
        <v>13000000</v>
      </c>
      <c r="C36" s="94" t="n">
        <v>0.63</v>
      </c>
      <c r="D36" s="91" t="n">
        <f aca="false">ROUND(IF(D15&gt;B35,IF(D15&lt;=B36,(D15*C36/100),0),0),2)</f>
        <v>0</v>
      </c>
      <c r="E36" s="92" t="n">
        <f aca="false">D36/100*E19</f>
        <v>0</v>
      </c>
      <c r="F36" s="92" t="n">
        <f aca="false">D36/100*F19</f>
        <v>0</v>
      </c>
      <c r="G36" s="92" t="n">
        <f aca="false">D36/100*G19</f>
        <v>0</v>
      </c>
      <c r="H36" s="93"/>
      <c r="I36" s="93"/>
      <c r="J36" s="93"/>
    </row>
    <row r="37" customFormat="false" ht="14.4" hidden="false" customHeight="false" outlineLevel="0" collapsed="false">
      <c r="B37" s="89" t="n">
        <v>14000000</v>
      </c>
      <c r="C37" s="94" t="n">
        <v>0.6</v>
      </c>
      <c r="D37" s="91" t="n">
        <f aca="false">ROUND(IF(D15&gt;B36,IF(D15&lt;=B37,(D15*C37/100),0),0),2)</f>
        <v>0</v>
      </c>
      <c r="E37" s="92" t="n">
        <f aca="false">D37/100*E19</f>
        <v>0</v>
      </c>
      <c r="F37" s="92" t="n">
        <f aca="false">D37/100*F19</f>
        <v>0</v>
      </c>
      <c r="G37" s="92" t="n">
        <f aca="false">D37/100*G19</f>
        <v>0</v>
      </c>
      <c r="H37" s="93"/>
      <c r="I37" s="93"/>
      <c r="J37" s="93"/>
    </row>
    <row r="38" customFormat="false" ht="14.4" hidden="false" customHeight="false" outlineLevel="0" collapsed="false">
      <c r="B38" s="89" t="n">
        <v>15000000</v>
      </c>
      <c r="C38" s="94" t="n">
        <v>0.59</v>
      </c>
      <c r="D38" s="91" t="n">
        <f aca="false">ROUND(IF(D15&gt;B37,IF(D15&lt;=B38,(D15*C38/100),0),0),2)</f>
        <v>0</v>
      </c>
      <c r="E38" s="92" t="n">
        <f aca="false">D38/100*E19</f>
        <v>0</v>
      </c>
      <c r="F38" s="92" t="n">
        <f aca="false">D38/100*F19</f>
        <v>0</v>
      </c>
      <c r="G38" s="92" t="n">
        <f aca="false">D38/100*G19</f>
        <v>0</v>
      </c>
      <c r="H38" s="93"/>
      <c r="I38" s="93"/>
      <c r="J38" s="93"/>
    </row>
    <row r="39" customFormat="false" ht="14.4" hidden="false" customHeight="false" outlineLevel="0" collapsed="false">
      <c r="B39" s="89" t="n">
        <v>16000000</v>
      </c>
      <c r="C39" s="94" t="n">
        <v>0.57</v>
      </c>
      <c r="D39" s="91" t="n">
        <f aca="false">ROUND(IF(D15&gt;B38,IF(D15&lt;=B39,(D15*C39/100),0),0),2)</f>
        <v>0</v>
      </c>
      <c r="E39" s="92" t="n">
        <f aca="false">D39/100*E19</f>
        <v>0</v>
      </c>
      <c r="F39" s="92" t="n">
        <f aca="false">D39/100*F19</f>
        <v>0</v>
      </c>
      <c r="G39" s="92" t="n">
        <f aca="false">D39/100*G19</f>
        <v>0</v>
      </c>
      <c r="H39" s="93"/>
      <c r="I39" s="93"/>
      <c r="J39" s="93"/>
    </row>
    <row r="40" customFormat="false" ht="14.4" hidden="false" customHeight="false" outlineLevel="0" collapsed="false">
      <c r="B40" s="95" t="n">
        <v>17000000</v>
      </c>
      <c r="C40" s="96" t="n">
        <v>0.55</v>
      </c>
      <c r="D40" s="91" t="n">
        <f aca="false">ROUND(IF(D15&gt;B39,IF(D15&lt;=B40,(D15*C40/100),0),0),2)</f>
        <v>0</v>
      </c>
      <c r="E40" s="92" t="n">
        <f aca="false">D40/100*E19</f>
        <v>0</v>
      </c>
      <c r="F40" s="92" t="n">
        <f aca="false">D40/100*F19</f>
        <v>0</v>
      </c>
      <c r="G40" s="92" t="n">
        <f aca="false">D40/100*G19</f>
        <v>0</v>
      </c>
      <c r="H40" s="93"/>
      <c r="I40" s="93"/>
      <c r="J40" s="93"/>
    </row>
    <row r="41" customFormat="false" ht="14.4" hidden="false" customHeight="false" outlineLevel="0" collapsed="false">
      <c r="B41" s="89" t="n">
        <v>18000000</v>
      </c>
      <c r="C41" s="94" t="n">
        <v>0.53</v>
      </c>
      <c r="D41" s="91" t="n">
        <f aca="false">ROUND(IF(D15&gt;B40,IF(D15&lt;=B41,(D15*C41/100),0),0),2)</f>
        <v>0</v>
      </c>
      <c r="E41" s="92" t="n">
        <f aca="false">D41/100*E19</f>
        <v>0</v>
      </c>
      <c r="F41" s="92" t="n">
        <f aca="false">D41/100*F19</f>
        <v>0</v>
      </c>
      <c r="G41" s="92" t="n">
        <f aca="false">D41/100*G19</f>
        <v>0</v>
      </c>
      <c r="H41" s="93"/>
      <c r="I41" s="93"/>
      <c r="J41" s="93"/>
    </row>
    <row r="42" customFormat="false" ht="14.4" hidden="false" customHeight="false" outlineLevel="0" collapsed="false">
      <c r="B42" s="89" t="n">
        <v>20000000</v>
      </c>
      <c r="C42" s="94" t="n">
        <v>0.5</v>
      </c>
      <c r="D42" s="91" t="n">
        <f aca="false">ROUND(IF(D15&gt;B41,IF(D15&lt;=B42,(D15*C42/100),0),0),2)</f>
        <v>0</v>
      </c>
      <c r="E42" s="92" t="n">
        <f aca="false">D42/100*E19</f>
        <v>0</v>
      </c>
      <c r="F42" s="92" t="n">
        <f aca="false">D42/100*F19</f>
        <v>0</v>
      </c>
      <c r="G42" s="92" t="n">
        <f aca="false">D42/100*G19</f>
        <v>0</v>
      </c>
      <c r="H42" s="93"/>
      <c r="I42" s="93"/>
      <c r="J42" s="93"/>
    </row>
    <row r="43" customFormat="false" ht="14.4" hidden="false" customHeight="false" outlineLevel="0" collapsed="false">
      <c r="B43" s="89" t="n">
        <v>23000000</v>
      </c>
      <c r="C43" s="94" t="n">
        <v>0.45</v>
      </c>
      <c r="D43" s="91" t="n">
        <f aca="false">ROUND(IF(D15&gt;B42,IF(D15&lt;=B43,(D15*C43/100),0),0),2)</f>
        <v>0</v>
      </c>
      <c r="E43" s="92" t="n">
        <f aca="false">D43/100*E19</f>
        <v>0</v>
      </c>
      <c r="F43" s="92" t="n">
        <f aca="false">D43/100*F19</f>
        <v>0</v>
      </c>
      <c r="G43" s="92" t="n">
        <f aca="false">D43/100*G19</f>
        <v>0</v>
      </c>
      <c r="H43" s="93"/>
      <c r="I43" s="93"/>
      <c r="J43" s="93"/>
    </row>
    <row r="44" customFormat="false" ht="14.4" hidden="false" customHeight="false" outlineLevel="0" collapsed="false">
      <c r="B44" s="89" t="n">
        <v>25000000</v>
      </c>
      <c r="C44" s="94" t="n">
        <v>0.5</v>
      </c>
      <c r="D44" s="91" t="n">
        <f aca="false">ROUND(IF(D15&gt;B43,IF(D15&lt;=B44,(D15*C44/100),0),0),2)</f>
        <v>0</v>
      </c>
      <c r="E44" s="92" t="n">
        <f aca="false">D44/100*E19</f>
        <v>0</v>
      </c>
      <c r="F44" s="92" t="n">
        <f aca="false">D44/100*F19</f>
        <v>0</v>
      </c>
      <c r="G44" s="92" t="n">
        <f aca="false">D44/100*G19</f>
        <v>0</v>
      </c>
      <c r="H44" s="93"/>
      <c r="I44" s="93"/>
      <c r="J44" s="93"/>
    </row>
    <row r="45" customFormat="false" ht="14.4" hidden="false" customHeight="false" outlineLevel="0" collapsed="false">
      <c r="B45" s="89" t="s">
        <v>94</v>
      </c>
      <c r="C45" s="94" t="s">
        <v>95</v>
      </c>
      <c r="D45" s="93"/>
      <c r="E45" s="92"/>
      <c r="F45" s="92"/>
      <c r="G45" s="92"/>
      <c r="H45" s="93"/>
      <c r="I45" s="93"/>
      <c r="J45" s="93"/>
    </row>
    <row r="46" customFormat="false" ht="14.4" hidden="false" customHeight="false" outlineLevel="0" collapsed="false">
      <c r="B46" s="89" t="s">
        <v>96</v>
      </c>
      <c r="C46" s="94" t="s">
        <v>95</v>
      </c>
      <c r="D46" s="93" t="n">
        <v>150000</v>
      </c>
      <c r="E46" s="92"/>
      <c r="F46" s="92"/>
      <c r="G46" s="92"/>
      <c r="H46" s="93"/>
      <c r="I46" s="93"/>
      <c r="J46" s="93"/>
    </row>
    <row r="47" customFormat="false" ht="14.4" hidden="false" customHeight="false" outlineLevel="0" collapsed="false">
      <c r="B47" s="97"/>
      <c r="C47" s="98"/>
      <c r="D47" s="93"/>
      <c r="E47" s="93"/>
      <c r="F47" s="93"/>
      <c r="G47" s="92"/>
      <c r="H47" s="99"/>
      <c r="I47" s="99"/>
    </row>
    <row r="49" customFormat="false" ht="18.6" hidden="false" customHeight="true" outlineLevel="0" collapsed="false">
      <c r="B49" s="59" t="s">
        <v>97</v>
      </c>
      <c r="C49" s="59"/>
      <c r="D49" s="59"/>
      <c r="E49" s="59"/>
      <c r="F49" s="100" t="n">
        <f aca="false">SUM(E20:J46)</f>
        <v>47811.832</v>
      </c>
      <c r="G49" s="100"/>
      <c r="J49" s="101"/>
    </row>
    <row r="51" customFormat="false" ht="18.6" hidden="false" customHeight="true" outlineLevel="0" collapsed="false">
      <c r="B51" s="59" t="s">
        <v>98</v>
      </c>
      <c r="C51" s="59"/>
      <c r="D51" s="59"/>
      <c r="E51" s="59"/>
      <c r="F51" s="100" t="n">
        <f aca="false">F49</f>
        <v>47811.832</v>
      </c>
      <c r="G51" s="100"/>
    </row>
  </sheetData>
  <mergeCells count="18">
    <mergeCell ref="B1:J3"/>
    <mergeCell ref="B4:C5"/>
    <mergeCell ref="D4:E5"/>
    <mergeCell ref="C6:E6"/>
    <mergeCell ref="C7:E7"/>
    <mergeCell ref="B14:G14"/>
    <mergeCell ref="B15:C15"/>
    <mergeCell ref="E16:G16"/>
    <mergeCell ref="B18:D18"/>
    <mergeCell ref="B19:D19"/>
    <mergeCell ref="H19:J19"/>
    <mergeCell ref="H20:H46"/>
    <mergeCell ref="I20:I46"/>
    <mergeCell ref="J20:J46"/>
    <mergeCell ref="B49:E49"/>
    <mergeCell ref="F49:G49"/>
    <mergeCell ref="B51:E51"/>
    <mergeCell ref="F51:G5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56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F4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D5" activeCellId="0" sqref="D5"/>
    </sheetView>
  </sheetViews>
  <sheetFormatPr defaultColWidth="8.8046875" defaultRowHeight="14.4" zeroHeight="false" outlineLevelRow="0" outlineLevelCol="0"/>
  <cols>
    <col collapsed="false" customWidth="true" hidden="false" outlineLevel="0" max="1" min="1" style="0" width="3.11"/>
    <col collapsed="false" customWidth="true" hidden="false" outlineLevel="0" max="2" min="2" style="0" width="45.11"/>
    <col collapsed="false" customWidth="true" hidden="false" outlineLevel="0" max="3" min="3" style="0" width="20.78"/>
    <col collapsed="false" customWidth="true" hidden="false" outlineLevel="0" max="4" min="4" style="0" width="26.2"/>
    <col collapsed="false" customWidth="true" hidden="false" outlineLevel="0" max="5" min="5" style="0" width="12.56"/>
    <col collapsed="false" customWidth="true" hidden="false" outlineLevel="0" max="6" min="6" style="102" width="11.45"/>
  </cols>
  <sheetData>
    <row r="1" customFormat="false" ht="14.4" hidden="false" customHeight="false" outlineLevel="0" collapsed="false">
      <c r="B1" s="103" t="s">
        <v>99</v>
      </c>
      <c r="C1" s="0" t="str">
        <f aca="false">'КО Итог'!C3</f>
        <v>Каппа Краснодар СМР</v>
      </c>
    </row>
    <row r="3" customFormat="false" ht="14.4" hidden="false" customHeight="false" outlineLevel="0" collapsed="false">
      <c r="B3" s="103" t="s">
        <v>100</v>
      </c>
    </row>
    <row r="4" customFormat="false" ht="14.4" hidden="false" customHeight="false" outlineLevel="0" collapsed="false">
      <c r="B4" s="103"/>
      <c r="C4" s="104" t="s">
        <v>101</v>
      </c>
      <c r="D4" s="104" t="s">
        <v>102</v>
      </c>
      <c r="E4" s="0" t="s">
        <v>103</v>
      </c>
    </row>
    <row r="5" customFormat="false" ht="14.4" hidden="false" customHeight="false" outlineLevel="0" collapsed="false">
      <c r="B5" s="0" t="s">
        <v>104</v>
      </c>
      <c r="C5" s="105" t="n">
        <f aca="false">'КО Итог'!C5</f>
        <v>45670</v>
      </c>
      <c r="D5" s="105"/>
      <c r="E5" s="106" t="s">
        <v>105</v>
      </c>
    </row>
    <row r="6" customFormat="false" ht="14.4" hidden="false" customHeight="false" outlineLevel="0" collapsed="false">
      <c r="B6" s="0" t="s">
        <v>106</v>
      </c>
      <c r="C6" s="105" t="n">
        <f aca="false">'КО Итог'!C6</f>
        <v>45716</v>
      </c>
      <c r="D6" s="105"/>
    </row>
    <row r="7" customFormat="false" ht="14.4" hidden="false" customHeight="false" outlineLevel="0" collapsed="false">
      <c r="B7" s="107" t="s">
        <v>107</v>
      </c>
      <c r="C7" s="108" t="n">
        <f aca="false">C6-C5</f>
        <v>46</v>
      </c>
      <c r="D7" s="108" t="n">
        <f aca="false">D6-D5</f>
        <v>0</v>
      </c>
    </row>
    <row r="8" customFormat="false" ht="14.4" hidden="false" customHeight="false" outlineLevel="0" collapsed="false">
      <c r="B8" s="107" t="s">
        <v>108</v>
      </c>
      <c r="C8" s="109" t="n">
        <f aca="false">C7/30</f>
        <v>1.53333333333333</v>
      </c>
      <c r="D8" s="109" t="n">
        <f aca="false">D7/30</f>
        <v>0</v>
      </c>
      <c r="E8" s="0" t="s">
        <v>109</v>
      </c>
    </row>
    <row r="10" customFormat="false" ht="14.4" hidden="false" customHeight="false" outlineLevel="0" collapsed="false">
      <c r="B10" s="110" t="s">
        <v>110</v>
      </c>
      <c r="C10" s="111" t="s">
        <v>111</v>
      </c>
      <c r="D10" s="112" t="s">
        <v>112</v>
      </c>
      <c r="E10" s="102"/>
      <c r="F10" s="113" t="s">
        <v>113</v>
      </c>
    </row>
    <row r="11" customFormat="false" ht="14.4" hidden="false" customHeight="false" outlineLevel="0" collapsed="false">
      <c r="B11" s="114"/>
      <c r="C11" s="102"/>
      <c r="D11" s="115"/>
      <c r="E11" s="102"/>
      <c r="F11" s="116"/>
    </row>
    <row r="12" customFormat="false" ht="28.8" hidden="false" customHeight="false" outlineLevel="0" collapsed="false">
      <c r="B12" s="117" t="s">
        <v>114</v>
      </c>
      <c r="C12" s="102"/>
      <c r="D12" s="115" t="n">
        <v>-5000</v>
      </c>
      <c r="E12" s="102"/>
      <c r="F12" s="116"/>
    </row>
    <row r="13" customFormat="false" ht="14.4" hidden="false" customHeight="false" outlineLevel="0" collapsed="false">
      <c r="B13" s="117"/>
      <c r="C13" s="102"/>
      <c r="D13" s="115"/>
      <c r="E13" s="102"/>
      <c r="F13" s="116"/>
    </row>
    <row r="14" customFormat="false" ht="86.4" hidden="false" customHeight="false" outlineLevel="0" collapsed="false">
      <c r="B14" s="117" t="s">
        <v>115</v>
      </c>
      <c r="C14" s="102" t="n">
        <v>1000</v>
      </c>
      <c r="D14" s="115" t="n">
        <v>-2000</v>
      </c>
      <c r="E14" s="102" t="s">
        <v>116</v>
      </c>
      <c r="F14" s="116" t="n">
        <f aca="false">C14*C8</f>
        <v>1533.33333333333</v>
      </c>
    </row>
    <row r="15" customFormat="false" ht="14.4" hidden="false" customHeight="false" outlineLevel="0" collapsed="false">
      <c r="B15" s="117"/>
      <c r="C15" s="102"/>
      <c r="D15" s="115"/>
      <c r="E15" s="102"/>
      <c r="F15" s="116"/>
    </row>
    <row r="16" customFormat="false" ht="28.8" hidden="false" customHeight="false" outlineLevel="0" collapsed="false">
      <c r="B16" s="117" t="s">
        <v>117</v>
      </c>
      <c r="C16" s="102"/>
      <c r="D16" s="115"/>
      <c r="E16" s="102"/>
      <c r="F16" s="116"/>
    </row>
    <row r="17" customFormat="false" ht="14.4" hidden="false" customHeight="false" outlineLevel="0" collapsed="false">
      <c r="B17" s="117"/>
      <c r="C17" s="102"/>
      <c r="D17" s="115"/>
      <c r="E17" s="102"/>
      <c r="F17" s="116"/>
    </row>
    <row r="18" customFormat="false" ht="86.4" hidden="false" customHeight="false" outlineLevel="0" collapsed="false">
      <c r="B18" s="118" t="s">
        <v>118</v>
      </c>
      <c r="C18" s="102" t="n">
        <v>6000</v>
      </c>
      <c r="D18" s="115" t="n">
        <f aca="false">-C18*2</f>
        <v>-12000</v>
      </c>
      <c r="E18" s="102" t="s">
        <v>116</v>
      </c>
      <c r="F18" s="116" t="n">
        <f aca="false">C18*C8</f>
        <v>9200</v>
      </c>
    </row>
    <row r="19" customFormat="false" ht="14.4" hidden="false" customHeight="false" outlineLevel="0" collapsed="false">
      <c r="B19" s="117"/>
      <c r="C19" s="102"/>
      <c r="D19" s="115"/>
      <c r="E19" s="102"/>
      <c r="F19" s="116"/>
    </row>
    <row r="20" customFormat="false" ht="28.8" hidden="false" customHeight="false" outlineLevel="0" collapsed="false">
      <c r="B20" s="117" t="s">
        <v>119</v>
      </c>
      <c r="C20" s="102"/>
      <c r="D20" s="115"/>
      <c r="E20" s="102"/>
      <c r="F20" s="116"/>
    </row>
    <row r="21" customFormat="false" ht="14.4" hidden="false" customHeight="false" outlineLevel="0" collapsed="false">
      <c r="B21" s="117"/>
      <c r="C21" s="102"/>
      <c r="D21" s="115"/>
      <c r="E21" s="102"/>
      <c r="F21" s="116"/>
    </row>
    <row r="22" customFormat="false" ht="28.8" hidden="false" customHeight="false" outlineLevel="0" collapsed="false">
      <c r="B22" s="117" t="s">
        <v>120</v>
      </c>
      <c r="C22" s="102"/>
      <c r="D22" s="115"/>
      <c r="E22" s="102"/>
      <c r="F22" s="116"/>
    </row>
    <row r="23" customFormat="false" ht="14.4" hidden="false" customHeight="false" outlineLevel="0" collapsed="false">
      <c r="B23" s="117"/>
      <c r="C23" s="102"/>
      <c r="D23" s="115"/>
      <c r="E23" s="102"/>
      <c r="F23" s="116"/>
    </row>
    <row r="24" customFormat="false" ht="43.2" hidden="false" customHeight="false" outlineLevel="0" collapsed="false">
      <c r="B24" s="119" t="s">
        <v>121</v>
      </c>
      <c r="C24" s="102"/>
      <c r="D24" s="115"/>
      <c r="E24" s="102"/>
      <c r="F24" s="116"/>
    </row>
    <row r="25" customFormat="false" ht="14.4" hidden="false" customHeight="false" outlineLevel="0" collapsed="false">
      <c r="B25" s="119"/>
      <c r="C25" s="102"/>
      <c r="D25" s="115"/>
      <c r="E25" s="102"/>
      <c r="F25" s="116"/>
    </row>
    <row r="26" customFormat="false" ht="43.2" hidden="false" customHeight="false" outlineLevel="0" collapsed="false">
      <c r="B26" s="119" t="s">
        <v>122</v>
      </c>
      <c r="C26" s="102"/>
      <c r="D26" s="115"/>
      <c r="E26" s="102"/>
      <c r="F26" s="116"/>
    </row>
    <row r="27" customFormat="false" ht="14.4" hidden="false" customHeight="false" outlineLevel="0" collapsed="false">
      <c r="B27" s="117"/>
      <c r="C27" s="102"/>
      <c r="D27" s="115"/>
      <c r="E27" s="102"/>
      <c r="F27" s="116"/>
    </row>
    <row r="28" customFormat="false" ht="14.4" hidden="false" customHeight="false" outlineLevel="0" collapsed="false">
      <c r="B28" s="117" t="s">
        <v>123</v>
      </c>
      <c r="C28" s="102" t="n">
        <v>3000</v>
      </c>
      <c r="D28" s="115" t="n">
        <f aca="false">-C28*2</f>
        <v>-6000</v>
      </c>
      <c r="E28" s="102" t="s">
        <v>116</v>
      </c>
      <c r="F28" s="116" t="n">
        <f aca="false">C28*C8</f>
        <v>4600</v>
      </c>
    </row>
    <row r="29" customFormat="false" ht="14.4" hidden="false" customHeight="false" outlineLevel="0" collapsed="false">
      <c r="B29" s="117"/>
      <c r="C29" s="102"/>
      <c r="D29" s="115"/>
      <c r="E29" s="102"/>
      <c r="F29" s="116"/>
    </row>
    <row r="30" customFormat="false" ht="43.2" hidden="false" customHeight="false" outlineLevel="0" collapsed="false">
      <c r="B30" s="117" t="s">
        <v>124</v>
      </c>
      <c r="C30" s="102" t="n">
        <v>5000</v>
      </c>
      <c r="D30" s="115" t="n">
        <f aca="false">-C30*2</f>
        <v>-10000</v>
      </c>
      <c r="E30" s="102" t="s">
        <v>116</v>
      </c>
      <c r="F30" s="116" t="n">
        <f aca="false">C30*C8</f>
        <v>7666.66666666667</v>
      </c>
    </row>
    <row r="31" customFormat="false" ht="14.4" hidden="false" customHeight="false" outlineLevel="0" collapsed="false">
      <c r="B31" s="117"/>
      <c r="C31" s="102"/>
      <c r="D31" s="115"/>
      <c r="E31" s="102"/>
      <c r="F31" s="116"/>
    </row>
    <row r="32" customFormat="false" ht="43.2" hidden="false" customHeight="false" outlineLevel="0" collapsed="false">
      <c r="B32" s="119" t="s">
        <v>125</v>
      </c>
      <c r="C32" s="102"/>
      <c r="D32" s="115"/>
      <c r="E32" s="102"/>
      <c r="F32" s="116"/>
    </row>
    <row r="33" customFormat="false" ht="14.4" hidden="false" customHeight="false" outlineLevel="0" collapsed="false">
      <c r="B33" s="117"/>
      <c r="C33" s="102"/>
      <c r="D33" s="115"/>
      <c r="E33" s="102"/>
      <c r="F33" s="116"/>
    </row>
    <row r="34" customFormat="false" ht="28.8" hidden="false" customHeight="false" outlineLevel="0" collapsed="false">
      <c r="B34" s="117" t="s">
        <v>126</v>
      </c>
      <c r="C34" s="102" t="n">
        <v>1000</v>
      </c>
      <c r="D34" s="115" t="n">
        <f aca="false">-C34*2</f>
        <v>-2000</v>
      </c>
      <c r="E34" s="102" t="s">
        <v>116</v>
      </c>
      <c r="F34" s="116" t="n">
        <f aca="false">C34*C8</f>
        <v>1533.33333333333</v>
      </c>
    </row>
    <row r="35" customFormat="false" ht="14.4" hidden="false" customHeight="false" outlineLevel="0" collapsed="false">
      <c r="B35" s="117"/>
      <c r="C35" s="102"/>
      <c r="D35" s="115"/>
      <c r="E35" s="102"/>
      <c r="F35" s="116"/>
    </row>
    <row r="36" customFormat="false" ht="43.2" hidden="false" customHeight="false" outlineLevel="0" collapsed="false">
      <c r="B36" s="120" t="s">
        <v>127</v>
      </c>
      <c r="C36" s="102" t="n">
        <v>3000</v>
      </c>
      <c r="D36" s="115" t="n">
        <f aca="false">-C36*2</f>
        <v>-6000</v>
      </c>
      <c r="E36" s="102" t="s">
        <v>116</v>
      </c>
      <c r="F36" s="116" t="n">
        <f aca="false">C36*C8</f>
        <v>4600</v>
      </c>
    </row>
    <row r="37" customFormat="false" ht="14.4" hidden="false" customHeight="false" outlineLevel="0" collapsed="false">
      <c r="B37" s="117"/>
      <c r="C37" s="102"/>
      <c r="D37" s="115"/>
      <c r="E37" s="102"/>
      <c r="F37" s="116"/>
    </row>
    <row r="38" customFormat="false" ht="43.2" hidden="false" customHeight="false" outlineLevel="0" collapsed="false">
      <c r="B38" s="117" t="s">
        <v>128</v>
      </c>
      <c r="C38" s="102"/>
      <c r="D38" s="115"/>
      <c r="E38" s="102"/>
      <c r="F38" s="116"/>
    </row>
    <row r="39" customFormat="false" ht="14.4" hidden="false" customHeight="false" outlineLevel="0" collapsed="false">
      <c r="B39" s="117"/>
      <c r="C39" s="102"/>
      <c r="D39" s="115"/>
      <c r="E39" s="102"/>
      <c r="F39" s="116"/>
    </row>
    <row r="40" customFormat="false" ht="28.8" hidden="false" customHeight="false" outlineLevel="0" collapsed="false">
      <c r="B40" s="117" t="s">
        <v>129</v>
      </c>
      <c r="C40" s="102" t="n">
        <v>3000</v>
      </c>
      <c r="D40" s="115" t="n">
        <f aca="false">-C40*2</f>
        <v>-6000</v>
      </c>
      <c r="E40" s="102" t="n">
        <f aca="false">-D40*2</f>
        <v>12000</v>
      </c>
      <c r="F40" s="116" t="n">
        <f aca="false">C40*C8</f>
        <v>4600</v>
      </c>
    </row>
    <row r="41" customFormat="false" ht="14.4" hidden="false" customHeight="false" outlineLevel="0" collapsed="false">
      <c r="B41" s="117"/>
      <c r="C41" s="102"/>
      <c r="D41" s="115"/>
      <c r="E41" s="102"/>
      <c r="F41" s="116"/>
    </row>
    <row r="42" customFormat="false" ht="43.2" hidden="false" customHeight="false" outlineLevel="0" collapsed="false">
      <c r="B42" s="117" t="s">
        <v>130</v>
      </c>
      <c r="C42" s="102"/>
      <c r="D42" s="115"/>
      <c r="E42" s="102"/>
      <c r="F42" s="116"/>
    </row>
    <row r="43" customFormat="false" ht="14.4" hidden="false" customHeight="false" outlineLevel="0" collapsed="false">
      <c r="B43" s="117"/>
      <c r="C43" s="102"/>
      <c r="D43" s="115"/>
      <c r="E43" s="102"/>
      <c r="F43" s="116"/>
    </row>
    <row r="44" customFormat="false" ht="14.4" hidden="false" customHeight="false" outlineLevel="0" collapsed="false">
      <c r="B44" s="117" t="s">
        <v>131</v>
      </c>
      <c r="C44" s="102"/>
      <c r="D44" s="115"/>
      <c r="E44" s="102"/>
      <c r="F44" s="116"/>
    </row>
    <row r="45" customFormat="false" ht="14.4" hidden="false" customHeight="false" outlineLevel="0" collapsed="false">
      <c r="B45" s="121" t="s">
        <v>132</v>
      </c>
      <c r="C45" s="122" t="n">
        <f aca="false">SUM(C12:C44)</f>
        <v>22000</v>
      </c>
      <c r="D45" s="123" t="n">
        <f aca="false">SUM(D12:D44)</f>
        <v>-49000</v>
      </c>
      <c r="E45" s="122"/>
      <c r="F45" s="124" t="n">
        <f aca="false">MROUND((F14+F18+F28+F30+F34+F36+F40),100)</f>
        <v>33700</v>
      </c>
    </row>
    <row r="46" customFormat="false" ht="28.8" hidden="false" customHeight="false" outlineLevel="0" collapsed="false">
      <c r="B46" s="121" t="s">
        <v>133</v>
      </c>
      <c r="C46" s="122"/>
      <c r="D46" s="123"/>
      <c r="E46" s="122"/>
      <c r="F46" s="124" t="n">
        <f aca="false">IF(C7&gt;=D7,F45,0)</f>
        <v>33700</v>
      </c>
    </row>
    <row r="47" customFormat="false" ht="14.4" hidden="false" customHeight="false" outlineLevel="0" collapsed="false">
      <c r="B47" s="121" t="s">
        <v>134</v>
      </c>
      <c r="C47" s="122"/>
      <c r="D47" s="123"/>
      <c r="E47" s="122"/>
      <c r="F47" s="124" t="n">
        <f aca="false">IF(E5="Да",C7*800,0)</f>
        <v>36800</v>
      </c>
    </row>
    <row r="48" customFormat="false" ht="14.4" hidden="false" customHeight="false" outlineLevel="0" collapsed="false">
      <c r="B48" s="121" t="s">
        <v>135</v>
      </c>
      <c r="C48" s="122"/>
      <c r="D48" s="123"/>
      <c r="E48" s="122"/>
      <c r="F48" s="124" t="n">
        <f aca="false">SUM(F45:F47)</f>
        <v>104200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73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G40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ColWidth="8.8046875" defaultRowHeight="14.4" zeroHeight="false" outlineLevelRow="1" outlineLevelCol="0"/>
  <cols>
    <col collapsed="false" customWidth="true" hidden="false" outlineLevel="0" max="1" min="1" style="0" width="2.89"/>
    <col collapsed="false" customWidth="true" hidden="false" outlineLevel="0" max="2" min="2" style="0" width="7.67"/>
    <col collapsed="false" customWidth="true" hidden="false" outlineLevel="0" max="3" min="3" style="125" width="60.56"/>
    <col collapsed="false" customWidth="true" hidden="false" outlineLevel="0" max="4" min="4" style="0" width="25.33"/>
    <col collapsed="false" customWidth="true" hidden="false" outlineLevel="0" max="5" min="5" style="0" width="25.89"/>
    <col collapsed="false" customWidth="true" hidden="false" outlineLevel="0" max="6" min="6" style="0" width="43.44"/>
    <col collapsed="false" customWidth="true" hidden="false" outlineLevel="0" max="7" min="7" style="0" width="28.33"/>
    <col collapsed="false" customWidth="true" hidden="false" outlineLevel="0" max="8" min="8" style="0" width="16.89"/>
    <col collapsed="false" customWidth="true" hidden="false" outlineLevel="0" max="9" min="9" style="0" width="12.66"/>
  </cols>
  <sheetData>
    <row r="1" customFormat="false" ht="18" hidden="false" customHeight="false" outlineLevel="0" collapsed="false">
      <c r="C1" s="126" t="s">
        <v>136</v>
      </c>
      <c r="D1" s="126"/>
      <c r="E1" s="126"/>
    </row>
    <row r="2" customFormat="false" ht="28.8" hidden="false" customHeight="false" outlineLevel="0" collapsed="false">
      <c r="B2" s="127" t="s">
        <v>137</v>
      </c>
      <c r="C2" s="128" t="str">
        <f aca="false">'КО Итог'!C3</f>
        <v>Каппа Краснодар СМР</v>
      </c>
      <c r="D2" s="129" t="s">
        <v>138</v>
      </c>
      <c r="E2" s="130" t="n">
        <f aca="false">1368748.82</f>
        <v>1368748.82</v>
      </c>
    </row>
    <row r="3" customFormat="false" ht="14.4" hidden="false" customHeight="false" outlineLevel="0" collapsed="false">
      <c r="B3" s="131"/>
      <c r="C3" s="128"/>
      <c r="D3" s="132"/>
      <c r="E3" s="133"/>
    </row>
    <row r="4" s="134" customFormat="true" ht="14.4" hidden="false" customHeight="false" outlineLevel="0" collapsed="false">
      <c r="B4" s="135"/>
      <c r="C4" s="136"/>
      <c r="D4" s="137"/>
      <c r="E4" s="138"/>
    </row>
    <row r="5" customFormat="false" ht="28.8" hidden="false" customHeight="false" outlineLevel="0" collapsed="false">
      <c r="B5" s="139"/>
      <c r="C5" s="140" t="s">
        <v>139</v>
      </c>
      <c r="D5" s="141"/>
      <c r="E5" s="142"/>
      <c r="F5" s="143" t="s">
        <v>140</v>
      </c>
    </row>
    <row r="6" customFormat="false" ht="29.4" hidden="false" customHeight="false" outlineLevel="0" collapsed="false">
      <c r="C6" s="144"/>
      <c r="D6" s="145"/>
      <c r="E6" s="145"/>
      <c r="F6" s="146"/>
      <c r="G6" s="125" t="s">
        <v>141</v>
      </c>
    </row>
    <row r="7" customFormat="false" ht="28.8" hidden="false" customHeight="true" outlineLevel="0" collapsed="false">
      <c r="B7" s="147" t="s">
        <v>142</v>
      </c>
      <c r="C7" s="147"/>
      <c r="D7" s="148" t="s">
        <v>143</v>
      </c>
      <c r="E7" s="149" t="s">
        <v>144</v>
      </c>
      <c r="F7" s="149" t="s">
        <v>145</v>
      </c>
      <c r="G7" s="106" t="s">
        <v>146</v>
      </c>
    </row>
    <row r="8" customFormat="false" ht="14.4" hidden="false" customHeight="false" outlineLevel="0" collapsed="false">
      <c r="B8" s="150"/>
      <c r="C8" s="151" t="n">
        <f aca="false">E2</f>
        <v>1368748.82</v>
      </c>
      <c r="D8" s="152" t="n">
        <v>0.02</v>
      </c>
      <c r="E8" s="153" t="n">
        <f aca="false">C8*D8</f>
        <v>27374.9764</v>
      </c>
      <c r="F8" s="153" t="n">
        <f aca="false">IF(G7="Да",E8*1.3-E8,0)</f>
        <v>8212.49292</v>
      </c>
    </row>
    <row r="9" customFormat="false" ht="14.4" hidden="false" customHeight="false" outlineLevel="0" collapsed="false">
      <c r="B9" s="154"/>
      <c r="C9" s="155"/>
      <c r="D9" s="156" t="s">
        <v>147</v>
      </c>
      <c r="E9" s="157" t="n">
        <f aca="false">SUM(E8:E8)</f>
        <v>27374.9764</v>
      </c>
      <c r="F9" s="157" t="n">
        <f aca="false">SUM(F7:F8)</f>
        <v>8212.49292</v>
      </c>
      <c r="G9" s="102"/>
    </row>
    <row r="10" customFormat="false" ht="14.4" hidden="false" customHeight="false" outlineLevel="0" collapsed="false">
      <c r="B10" s="158"/>
      <c r="C10" s="102"/>
      <c r="D10" s="159" t="s">
        <v>148</v>
      </c>
      <c r="E10" s="160" t="n">
        <f aca="false">SUM(E9:F9)</f>
        <v>35587.46932</v>
      </c>
      <c r="F10" s="160"/>
      <c r="G10" s="102"/>
    </row>
    <row r="11" customFormat="false" ht="18" hidden="false" customHeight="false" outlineLevel="0" collapsed="false">
      <c r="C11" s="144"/>
      <c r="D11" s="145"/>
      <c r="E11" s="145"/>
    </row>
    <row r="12" customFormat="false" ht="14.4" hidden="false" customHeight="false" outlineLevel="1" collapsed="false">
      <c r="C12" s="161" t="s">
        <v>149</v>
      </c>
      <c r="D12" s="162" t="s">
        <v>150</v>
      </c>
      <c r="E12" s="162" t="s">
        <v>151</v>
      </c>
      <c r="F12" s="162" t="s">
        <v>145</v>
      </c>
    </row>
    <row r="13" customFormat="false" ht="43.2" hidden="false" customHeight="false" outlineLevel="1" collapsed="false">
      <c r="C13" s="163" t="s">
        <v>152</v>
      </c>
      <c r="D13" s="164"/>
      <c r="E13" s="165" t="n">
        <f aca="false">$E$8*D13</f>
        <v>0</v>
      </c>
      <c r="F13" s="165" t="n">
        <f aca="false">$F$8*D13</f>
        <v>0</v>
      </c>
    </row>
    <row r="14" customFormat="false" ht="28.8" hidden="false" customHeight="false" outlineLevel="1" collapsed="false">
      <c r="C14" s="163" t="s">
        <v>153</v>
      </c>
      <c r="D14" s="166"/>
      <c r="E14" s="165" t="n">
        <f aca="false">$E$8*D14</f>
        <v>0</v>
      </c>
      <c r="F14" s="165" t="n">
        <f aca="false">$F$8*D14</f>
        <v>0</v>
      </c>
    </row>
    <row r="15" customFormat="false" ht="28.8" hidden="false" customHeight="false" outlineLevel="1" collapsed="false">
      <c r="C15" s="163" t="s">
        <v>154</v>
      </c>
      <c r="D15" s="166" t="n">
        <v>0.1</v>
      </c>
      <c r="E15" s="165" t="n">
        <f aca="false">$E$8*D15</f>
        <v>2737.49764</v>
      </c>
      <c r="F15" s="165" t="n">
        <f aca="false">$F$8*D15</f>
        <v>821.249292</v>
      </c>
    </row>
    <row r="16" customFormat="false" ht="28.8" hidden="false" customHeight="false" outlineLevel="1" collapsed="false">
      <c r="C16" s="163" t="s">
        <v>155</v>
      </c>
      <c r="D16" s="166" t="n">
        <v>0.1</v>
      </c>
      <c r="E16" s="165" t="n">
        <f aca="false">$E$8*D16</f>
        <v>2737.49764</v>
      </c>
      <c r="F16" s="165" t="n">
        <f aca="false">$F$8*D16</f>
        <v>821.249292</v>
      </c>
    </row>
    <row r="17" customFormat="false" ht="28.8" hidden="false" customHeight="false" outlineLevel="1" collapsed="false">
      <c r="C17" s="163" t="s">
        <v>156</v>
      </c>
      <c r="D17" s="166" t="n">
        <v>0.1</v>
      </c>
      <c r="E17" s="165" t="n">
        <f aca="false">$E$8*D17</f>
        <v>2737.49764</v>
      </c>
      <c r="F17" s="165" t="n">
        <f aca="false">$F$8*D17</f>
        <v>821.249292</v>
      </c>
    </row>
    <row r="18" customFormat="false" ht="14.4" hidden="false" customHeight="false" outlineLevel="1" collapsed="false">
      <c r="C18" s="167" t="s">
        <v>157</v>
      </c>
      <c r="D18" s="166" t="n">
        <v>0.1</v>
      </c>
      <c r="E18" s="165" t="n">
        <f aca="false">$E$8*D18</f>
        <v>2737.49764</v>
      </c>
      <c r="F18" s="165" t="n">
        <f aca="false">$F$8*D18</f>
        <v>821.249292</v>
      </c>
    </row>
    <row r="19" customFormat="false" ht="28.8" hidden="false" customHeight="false" outlineLevel="1" collapsed="false">
      <c r="C19" s="167" t="s">
        <v>158</v>
      </c>
      <c r="D19" s="166"/>
      <c r="E19" s="165" t="n">
        <f aca="false">$E$8*D19</f>
        <v>0</v>
      </c>
      <c r="F19" s="165" t="n">
        <f aca="false">$F$8*D19</f>
        <v>0</v>
      </c>
    </row>
    <row r="20" customFormat="false" ht="14.4" hidden="false" customHeight="false" outlineLevel="1" collapsed="false">
      <c r="C20" s="167" t="s">
        <v>159</v>
      </c>
      <c r="D20" s="166" t="n">
        <v>0.05</v>
      </c>
      <c r="E20" s="165" t="n">
        <f aca="false">$E$8*D20</f>
        <v>1368.74882</v>
      </c>
      <c r="F20" s="165" t="n">
        <f aca="false">$F$8*D20</f>
        <v>410.624646</v>
      </c>
    </row>
    <row r="21" customFormat="false" ht="14.4" hidden="false" customHeight="false" outlineLevel="1" collapsed="false">
      <c r="C21" s="163" t="s">
        <v>160</v>
      </c>
      <c r="D21" s="166" t="n">
        <v>0.2</v>
      </c>
      <c r="E21" s="165" t="n">
        <f aca="false">$E$8*D21</f>
        <v>5474.99528</v>
      </c>
      <c r="F21" s="165" t="n">
        <f aca="false">$F$8*D21</f>
        <v>1642.498584</v>
      </c>
    </row>
    <row r="22" customFormat="false" ht="14.4" hidden="false" customHeight="false" outlineLevel="1" collapsed="false">
      <c r="C22" s="168" t="s">
        <v>161</v>
      </c>
      <c r="D22" s="162" t="n">
        <f aca="false">SUM(D13:D21)</f>
        <v>0.65</v>
      </c>
      <c r="E22" s="169" t="n">
        <f aca="false">SUM(E13:E21)</f>
        <v>17793.73466</v>
      </c>
      <c r="F22" s="169" t="n">
        <f aca="false">SUM(F13:F21)</f>
        <v>5338.120398</v>
      </c>
    </row>
    <row r="23" customFormat="false" ht="14.4" hidden="false" customHeight="true" outlineLevel="1" collapsed="false">
      <c r="C23" s="170" t="s">
        <v>162</v>
      </c>
      <c r="D23" s="170"/>
      <c r="E23" s="171" t="n">
        <f aca="false">SUM(E22:F22)</f>
        <v>23131.855058</v>
      </c>
      <c r="F23" s="171"/>
    </row>
    <row r="24" customFormat="false" ht="14.4" hidden="false" customHeight="false" outlineLevel="0" collapsed="false">
      <c r="D24" s="172"/>
      <c r="E24" s="173"/>
    </row>
    <row r="25" customFormat="false" ht="14.4" hidden="false" customHeight="false" outlineLevel="0" collapsed="false">
      <c r="B25" s="174" t="s">
        <v>163</v>
      </c>
      <c r="C25" s="175" t="s">
        <v>164</v>
      </c>
      <c r="D25" s="176"/>
    </row>
    <row r="26" customFormat="false" ht="14.4" hidden="false" customHeight="false" outlineLevel="0" collapsed="false">
      <c r="B26" s="127" t="s">
        <v>165</v>
      </c>
      <c r="C26" s="177" t="s">
        <v>166</v>
      </c>
      <c r="D26" s="129" t="s">
        <v>167</v>
      </c>
    </row>
    <row r="27" customFormat="false" ht="14.4" hidden="false" customHeight="false" outlineLevel="0" collapsed="false">
      <c r="B27" s="127"/>
      <c r="C27" s="178"/>
      <c r="D27" s="179"/>
    </row>
    <row r="28" customFormat="false" ht="14.4" hidden="false" customHeight="false" outlineLevel="0" collapsed="false">
      <c r="B28" s="127"/>
      <c r="C28" s="178"/>
      <c r="D28" s="179"/>
    </row>
    <row r="29" customFormat="false" ht="14.4" hidden="false" customHeight="false" outlineLevel="0" collapsed="false">
      <c r="B29" s="97"/>
      <c r="C29" s="178"/>
      <c r="D29" s="179"/>
    </row>
    <row r="30" customFormat="false" ht="14.4" hidden="false" customHeight="false" outlineLevel="0" collapsed="false">
      <c r="B30" s="97"/>
      <c r="C30" s="178"/>
      <c r="D30" s="179"/>
    </row>
    <row r="31" customFormat="false" ht="14.4" hidden="false" customHeight="false" outlineLevel="0" collapsed="false">
      <c r="B31" s="180"/>
      <c r="C31" s="181" t="s">
        <v>168</v>
      </c>
      <c r="D31" s="182" t="n">
        <f aca="false">SUM(D29:D30)</f>
        <v>0</v>
      </c>
    </row>
    <row r="32" customFormat="false" ht="14.4" hidden="false" customHeight="false" outlineLevel="0" collapsed="false">
      <c r="D32" s="172"/>
    </row>
    <row r="33" customFormat="false" ht="14.4" hidden="true" customHeight="false" outlineLevel="1" collapsed="false">
      <c r="C33" s="161" t="s">
        <v>169</v>
      </c>
      <c r="D33" s="162" t="s">
        <v>150</v>
      </c>
      <c r="E33" s="162" t="s">
        <v>151</v>
      </c>
    </row>
    <row r="34" customFormat="false" ht="28.8" hidden="true" customHeight="false" outlineLevel="1" collapsed="false">
      <c r="C34" s="163" t="s">
        <v>156</v>
      </c>
      <c r="D34" s="166" t="n">
        <v>0.1</v>
      </c>
      <c r="E34" s="179" t="e">
        <f aca="false">#REF!*D34</f>
        <v>#REF!</v>
      </c>
    </row>
    <row r="35" customFormat="false" ht="14.4" hidden="true" customHeight="false" outlineLevel="1" collapsed="false">
      <c r="C35" s="163" t="s">
        <v>170</v>
      </c>
      <c r="D35" s="166" t="n">
        <v>0.1</v>
      </c>
      <c r="E35" s="179" t="e">
        <f aca="false">#REF!*D35</f>
        <v>#REF!</v>
      </c>
    </row>
    <row r="36" customFormat="false" ht="14.4" hidden="true" customHeight="false" outlineLevel="1" collapsed="false">
      <c r="C36" s="163" t="s">
        <v>171</v>
      </c>
      <c r="D36" s="166" t="n">
        <v>0.4</v>
      </c>
      <c r="E36" s="179" t="e">
        <f aca="false">#REF!*D36</f>
        <v>#REF!</v>
      </c>
    </row>
    <row r="37" customFormat="false" ht="14.4" hidden="true" customHeight="false" outlineLevel="1" collapsed="false">
      <c r="C37" s="163" t="s">
        <v>159</v>
      </c>
      <c r="D37" s="166" t="n">
        <v>0.2</v>
      </c>
      <c r="E37" s="179" t="e">
        <f aca="false">#REF!*D37</f>
        <v>#REF!</v>
      </c>
    </row>
    <row r="38" customFormat="false" ht="14.4" hidden="true" customHeight="false" outlineLevel="1" collapsed="false">
      <c r="C38" s="163" t="s">
        <v>160</v>
      </c>
      <c r="D38" s="166" t="n">
        <v>0.2</v>
      </c>
      <c r="E38" s="179" t="e">
        <f aca="false">#REF!*D38</f>
        <v>#REF!</v>
      </c>
    </row>
    <row r="39" customFormat="false" ht="14.4" hidden="true" customHeight="true" outlineLevel="1" collapsed="false">
      <c r="C39" s="168" t="s">
        <v>172</v>
      </c>
      <c r="D39" s="168"/>
      <c r="E39" s="183" t="e">
        <f aca="false">SUM(E34:E38)</f>
        <v>#REF!</v>
      </c>
    </row>
    <row r="40" customFormat="false" ht="18" hidden="false" customHeight="false" outlineLevel="0" collapsed="false">
      <c r="C40" s="144"/>
      <c r="D40" s="145"/>
      <c r="E40" s="145"/>
    </row>
  </sheetData>
  <mergeCells count="5">
    <mergeCell ref="C1:E1"/>
    <mergeCell ref="B7:C7"/>
    <mergeCell ref="E10:F10"/>
    <mergeCell ref="C23:D23"/>
    <mergeCell ref="C39:D39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45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H5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C10" activeCellId="0" sqref="C10"/>
    </sheetView>
  </sheetViews>
  <sheetFormatPr defaultColWidth="8.8046875" defaultRowHeight="14.4" zeroHeight="false" outlineLevelRow="1" outlineLevelCol="0"/>
  <cols>
    <col collapsed="false" customWidth="true" hidden="false" outlineLevel="0" max="1" min="1" style="0" width="2.89"/>
    <col collapsed="false" customWidth="true" hidden="false" outlineLevel="0" max="2" min="2" style="0" width="7.67"/>
    <col collapsed="false" customWidth="true" hidden="false" outlineLevel="0" max="3" min="3" style="125" width="60.56"/>
    <col collapsed="false" customWidth="true" hidden="false" outlineLevel="0" max="4" min="4" style="0" width="25.33"/>
    <col collapsed="false" customWidth="true" hidden="false" outlineLevel="0" max="5" min="5" style="0" width="25.89"/>
    <col collapsed="false" customWidth="true" hidden="false" outlineLevel="0" max="6" min="6" style="0" width="43.44"/>
    <col collapsed="false" customWidth="true" hidden="false" outlineLevel="0" max="7" min="7" style="0" width="28.33"/>
    <col collapsed="false" customWidth="true" hidden="false" outlineLevel="0" max="8" min="8" style="0" width="16.89"/>
    <col collapsed="false" customWidth="true" hidden="false" outlineLevel="0" max="9" min="9" style="0" width="12.66"/>
  </cols>
  <sheetData>
    <row r="1" customFormat="false" ht="18" hidden="false" customHeight="false" outlineLevel="0" collapsed="false">
      <c r="C1" s="126" t="s">
        <v>173</v>
      </c>
      <c r="D1" s="126"/>
      <c r="E1" s="126"/>
    </row>
    <row r="2" customFormat="false" ht="28.8" hidden="false" customHeight="false" outlineLevel="0" collapsed="false">
      <c r="B2" s="127" t="s">
        <v>137</v>
      </c>
      <c r="C2" s="184" t="str">
        <f aca="false">'КО Итог'!C3</f>
        <v>Каппа Краснодар СМР</v>
      </c>
      <c r="D2" s="129" t="s">
        <v>138</v>
      </c>
      <c r="E2" s="130" t="n">
        <v>613293.88</v>
      </c>
    </row>
    <row r="3" s="134" customFormat="true" ht="14.4" hidden="false" customHeight="false" outlineLevel="0" collapsed="false">
      <c r="B3" s="135"/>
      <c r="C3" s="136"/>
      <c r="D3" s="137"/>
      <c r="E3" s="138"/>
    </row>
    <row r="4" s="134" customFormat="true" ht="14.4" hidden="false" customHeight="false" outlineLevel="0" collapsed="false">
      <c r="B4" s="135"/>
      <c r="C4" s="136"/>
      <c r="D4" s="137"/>
      <c r="E4" s="138"/>
    </row>
    <row r="5" customFormat="false" ht="28.8" hidden="false" customHeight="false" outlineLevel="0" collapsed="false">
      <c r="B5" s="139"/>
      <c r="C5" s="140" t="s">
        <v>139</v>
      </c>
      <c r="D5" s="141"/>
      <c r="E5" s="142"/>
      <c r="F5" s="185" t="s">
        <v>140</v>
      </c>
    </row>
    <row r="6" customFormat="false" ht="13.5" hidden="false" customHeight="true" outlineLevel="0" collapsed="false">
      <c r="C6" s="144"/>
      <c r="D6" s="145"/>
      <c r="E6" s="145"/>
      <c r="F6" s="146"/>
      <c r="H6" s="0" t="s">
        <v>174</v>
      </c>
    </row>
    <row r="7" customFormat="false" ht="43.2" hidden="false" customHeight="true" outlineLevel="0" collapsed="false">
      <c r="B7" s="147" t="s">
        <v>175</v>
      </c>
      <c r="C7" s="147"/>
      <c r="D7" s="148" t="s">
        <v>143</v>
      </c>
      <c r="E7" s="149" t="s">
        <v>144</v>
      </c>
      <c r="F7" s="149" t="s">
        <v>176</v>
      </c>
      <c r="G7" s="149" t="s">
        <v>177</v>
      </c>
      <c r="H7" s="106" t="s">
        <v>178</v>
      </c>
    </row>
    <row r="8" customFormat="false" ht="14.4" hidden="false" customHeight="false" outlineLevel="0" collapsed="false">
      <c r="B8" s="150" t="s">
        <v>179</v>
      </c>
      <c r="C8" s="151" t="n">
        <v>500000</v>
      </c>
      <c r="D8" s="152" t="n">
        <v>0.025</v>
      </c>
      <c r="E8" s="153" t="n">
        <f aca="false">IF(E2&lt;500000,E2*D8,0)</f>
        <v>0</v>
      </c>
      <c r="F8" s="153" t="n">
        <f aca="false">E8/100*30</f>
        <v>0</v>
      </c>
      <c r="G8" s="153" t="n">
        <f aca="false">E8/100*20</f>
        <v>0</v>
      </c>
    </row>
    <row r="9" customFormat="false" ht="14.4" hidden="false" customHeight="false" outlineLevel="0" collapsed="false">
      <c r="B9" s="186" t="s">
        <v>179</v>
      </c>
      <c r="C9" s="187" t="n">
        <v>1000000</v>
      </c>
      <c r="D9" s="188" t="n">
        <v>0.02</v>
      </c>
      <c r="E9" s="153" t="n">
        <f aca="false">ROUND(IF(E2&gt;=C8,IF(E2&lt;C9,(E2*D9),0),0),2)</f>
        <v>12265.88</v>
      </c>
      <c r="F9" s="153" t="n">
        <f aca="false">E9/100*30</f>
        <v>3679.764</v>
      </c>
      <c r="G9" s="153" t="n">
        <f aca="false">E9/100*20</f>
        <v>2453.176</v>
      </c>
    </row>
    <row r="10" customFormat="false" ht="14.4" hidden="false" customHeight="false" outlineLevel="0" collapsed="false">
      <c r="B10" s="186" t="s">
        <v>179</v>
      </c>
      <c r="C10" s="187" t="n">
        <v>2000000</v>
      </c>
      <c r="D10" s="188" t="n">
        <v>0.02</v>
      </c>
      <c r="E10" s="153" t="n">
        <f aca="false">ROUND(IF(E2&gt;=C9,IF(E2&lt;C10,(E2*D10),0),0),2)</f>
        <v>0</v>
      </c>
      <c r="F10" s="153" t="n">
        <f aca="false">E10/100*30</f>
        <v>0</v>
      </c>
      <c r="G10" s="153" t="n">
        <f aca="false">E10/100*20</f>
        <v>0</v>
      </c>
    </row>
    <row r="11" customFormat="false" ht="14.4" hidden="false" customHeight="false" outlineLevel="0" collapsed="false">
      <c r="B11" s="186" t="s">
        <v>179</v>
      </c>
      <c r="C11" s="187" t="n">
        <v>5000000</v>
      </c>
      <c r="D11" s="188" t="n">
        <v>0.018</v>
      </c>
      <c r="E11" s="153" t="n">
        <f aca="false">ROUND(IF(E2&gt;=C10,IF(E2&lt;C11,(E2*D11),0),0),2)</f>
        <v>0</v>
      </c>
      <c r="F11" s="153" t="n">
        <f aca="false">E11/100*30</f>
        <v>0</v>
      </c>
      <c r="G11" s="153" t="n">
        <f aca="false">E11/100*20</f>
        <v>0</v>
      </c>
    </row>
    <row r="12" customFormat="false" ht="14.4" hidden="false" customHeight="false" outlineLevel="0" collapsed="false">
      <c r="B12" s="186" t="s">
        <v>179</v>
      </c>
      <c r="C12" s="187" t="n">
        <v>10000000</v>
      </c>
      <c r="D12" s="188" t="n">
        <v>0.012</v>
      </c>
      <c r="E12" s="153" t="n">
        <f aca="false">ROUND(IF(E2&gt;=C11,IF(23&lt;C12,(E2*D12),0),0),2)</f>
        <v>0</v>
      </c>
      <c r="F12" s="153" t="n">
        <f aca="false">E12/100*30</f>
        <v>0</v>
      </c>
      <c r="G12" s="153" t="n">
        <f aca="false">E12/100*20</f>
        <v>0</v>
      </c>
    </row>
    <row r="13" customFormat="false" ht="14.4" hidden="false" customHeight="false" outlineLevel="0" collapsed="false">
      <c r="B13" s="189"/>
      <c r="C13" s="190" t="s">
        <v>180</v>
      </c>
      <c r="D13" s="191" t="s">
        <v>181</v>
      </c>
      <c r="E13" s="153"/>
      <c r="F13" s="153" t="n">
        <f aca="false">E13/100*30</f>
        <v>0</v>
      </c>
      <c r="G13" s="153"/>
    </row>
    <row r="14" customFormat="false" ht="14.4" hidden="false" customHeight="false" outlineLevel="0" collapsed="false">
      <c r="B14" s="154"/>
      <c r="C14" s="155"/>
      <c r="D14" s="156" t="s">
        <v>147</v>
      </c>
      <c r="E14" s="157" t="n">
        <f aca="false">SUM(E8:E13)</f>
        <v>12265.88</v>
      </c>
      <c r="F14" s="157" t="n">
        <f aca="false">SUM(F8:F13)</f>
        <v>3679.764</v>
      </c>
      <c r="G14" s="157" t="n">
        <f aca="false">IF(H7="Да",SUM(G$8:G$13),0)</f>
        <v>0</v>
      </c>
    </row>
    <row r="15" customFormat="false" ht="14.4" hidden="false" customHeight="false" outlineLevel="0" collapsed="false">
      <c r="B15" s="158"/>
      <c r="C15" s="102"/>
      <c r="D15" s="192" t="s">
        <v>148</v>
      </c>
      <c r="E15" s="193"/>
      <c r="F15" s="193"/>
      <c r="G15" s="102"/>
    </row>
    <row r="16" customFormat="false" ht="18" hidden="false" customHeight="false" outlineLevel="0" collapsed="false">
      <c r="C16" s="144"/>
      <c r="D16" s="145"/>
      <c r="E16" s="145"/>
    </row>
    <row r="17" customFormat="false" ht="14.4" hidden="false" customHeight="false" outlineLevel="1" collapsed="false">
      <c r="C17" s="161" t="s">
        <v>149</v>
      </c>
      <c r="D17" s="162" t="s">
        <v>150</v>
      </c>
      <c r="E17" s="162" t="s">
        <v>151</v>
      </c>
      <c r="F17" s="162" t="s">
        <v>145</v>
      </c>
    </row>
    <row r="18" customFormat="false" ht="43.2" hidden="false" customHeight="false" outlineLevel="1" collapsed="false">
      <c r="C18" s="163" t="s">
        <v>152</v>
      </c>
      <c r="D18" s="164" t="n">
        <v>0.1</v>
      </c>
      <c r="E18" s="194" t="n">
        <f aca="false">D18*$E$14</f>
        <v>1226.588</v>
      </c>
      <c r="F18" s="194" t="n">
        <f aca="false">D18*$F$14</f>
        <v>367.9764</v>
      </c>
    </row>
    <row r="19" customFormat="false" ht="28.8" hidden="false" customHeight="false" outlineLevel="1" collapsed="false">
      <c r="C19" s="163" t="s">
        <v>153</v>
      </c>
      <c r="D19" s="166" t="n">
        <v>0.15</v>
      </c>
      <c r="E19" s="194" t="n">
        <f aca="false">D19*$E$14</f>
        <v>1839.882</v>
      </c>
      <c r="F19" s="194" t="n">
        <f aca="false">D19*$F$14</f>
        <v>551.9646</v>
      </c>
    </row>
    <row r="20" customFormat="false" ht="28.8" hidden="false" customHeight="false" outlineLevel="1" collapsed="false">
      <c r="C20" s="163" t="s">
        <v>154</v>
      </c>
      <c r="D20" s="166" t="n">
        <v>0.1</v>
      </c>
      <c r="E20" s="194" t="n">
        <f aca="false">D20*$E$14</f>
        <v>1226.588</v>
      </c>
      <c r="F20" s="194" t="n">
        <f aca="false">D20*$F$14</f>
        <v>367.9764</v>
      </c>
    </row>
    <row r="21" customFormat="false" ht="28.8" hidden="false" customHeight="false" outlineLevel="1" collapsed="false">
      <c r="C21" s="163" t="s">
        <v>155</v>
      </c>
      <c r="D21" s="166" t="n">
        <v>0.1</v>
      </c>
      <c r="E21" s="194" t="n">
        <f aca="false">D21*$E$14</f>
        <v>1226.588</v>
      </c>
      <c r="F21" s="194" t="n">
        <f aca="false">D21*$F$14</f>
        <v>367.9764</v>
      </c>
    </row>
    <row r="22" customFormat="false" ht="28.8" hidden="false" customHeight="false" outlineLevel="1" collapsed="false">
      <c r="C22" s="163" t="s">
        <v>156</v>
      </c>
      <c r="D22" s="166" t="n">
        <v>0.1</v>
      </c>
      <c r="E22" s="194" t="n">
        <f aca="false">D22*$E$14</f>
        <v>1226.588</v>
      </c>
      <c r="F22" s="194" t="n">
        <f aca="false">D22*$F$14</f>
        <v>367.9764</v>
      </c>
    </row>
    <row r="23" customFormat="false" ht="14.4" hidden="false" customHeight="false" outlineLevel="1" collapsed="false">
      <c r="C23" s="167" t="s">
        <v>157</v>
      </c>
      <c r="D23" s="166" t="n">
        <v>0.1</v>
      </c>
      <c r="E23" s="194" t="n">
        <f aca="false">D23*$E$14</f>
        <v>1226.588</v>
      </c>
      <c r="F23" s="194" t="n">
        <f aca="false">D23*$F$14</f>
        <v>367.9764</v>
      </c>
    </row>
    <row r="24" customFormat="false" ht="28.8" hidden="false" customHeight="false" outlineLevel="1" collapsed="false">
      <c r="C24" s="167" t="s">
        <v>158</v>
      </c>
      <c r="D24" s="166" t="n">
        <v>0.1</v>
      </c>
      <c r="E24" s="194" t="n">
        <f aca="false">D24*$E$14</f>
        <v>1226.588</v>
      </c>
      <c r="F24" s="194" t="n">
        <f aca="false">D24*$F$14</f>
        <v>367.9764</v>
      </c>
    </row>
    <row r="25" customFormat="false" ht="14.4" hidden="false" customHeight="false" outlineLevel="1" collapsed="false">
      <c r="C25" s="167" t="s">
        <v>159</v>
      </c>
      <c r="D25" s="166" t="n">
        <v>0.05</v>
      </c>
      <c r="E25" s="194" t="n">
        <f aca="false">D25*$E$14</f>
        <v>613.294</v>
      </c>
      <c r="F25" s="194" t="n">
        <f aca="false">D25*$F$14</f>
        <v>183.9882</v>
      </c>
    </row>
    <row r="26" customFormat="false" ht="14.4" hidden="false" customHeight="false" outlineLevel="1" collapsed="false">
      <c r="C26" s="163" t="s">
        <v>160</v>
      </c>
      <c r="D26" s="166" t="n">
        <v>0.2</v>
      </c>
      <c r="E26" s="194" t="n">
        <f aca="false">D26*$E$14</f>
        <v>2453.176</v>
      </c>
      <c r="F26" s="194" t="n">
        <f aca="false">D26*$F$14</f>
        <v>735.9528</v>
      </c>
    </row>
    <row r="27" customFormat="false" ht="14.4" hidden="false" customHeight="false" outlineLevel="1" collapsed="false">
      <c r="C27" s="168" t="s">
        <v>161</v>
      </c>
      <c r="D27" s="162" t="n">
        <f aca="false">SUM(D18:D26)</f>
        <v>1</v>
      </c>
      <c r="E27" s="183" t="n">
        <f aca="false">SUM(E18:E26)</f>
        <v>12265.88</v>
      </c>
      <c r="F27" s="183" t="n">
        <f aca="false">SUM(F18:F26)</f>
        <v>3679.764</v>
      </c>
    </row>
    <row r="28" customFormat="false" ht="14.4" hidden="false" customHeight="true" outlineLevel="1" collapsed="false">
      <c r="C28" s="195" t="s">
        <v>162</v>
      </c>
      <c r="D28" s="195"/>
      <c r="E28" s="196" t="n">
        <f aca="false">SUM(E27:F27)+G14</f>
        <v>15945.644</v>
      </c>
      <c r="F28" s="196"/>
    </row>
    <row r="29" customFormat="false" ht="14.4" hidden="false" customHeight="false" outlineLevel="0" collapsed="false">
      <c r="D29" s="172"/>
      <c r="E29" s="173"/>
    </row>
    <row r="30" customFormat="false" ht="14.4" hidden="false" customHeight="false" outlineLevel="0" collapsed="false">
      <c r="B30" s="174" t="s">
        <v>163</v>
      </c>
      <c r="C30" s="175" t="s">
        <v>182</v>
      </c>
      <c r="D30" s="176"/>
    </row>
    <row r="31" customFormat="false" ht="14.4" hidden="false" customHeight="false" outlineLevel="0" collapsed="false">
      <c r="B31" s="127" t="s">
        <v>165</v>
      </c>
      <c r="C31" s="197" t="s">
        <v>166</v>
      </c>
      <c r="D31" s="129" t="s">
        <v>167</v>
      </c>
    </row>
    <row r="32" customFormat="false" ht="14.4" hidden="false" customHeight="false" outlineLevel="0" collapsed="false">
      <c r="B32" s="127"/>
      <c r="C32" s="178"/>
      <c r="D32" s="179"/>
    </row>
    <row r="33" customFormat="false" ht="14.4" hidden="false" customHeight="false" outlineLevel="0" collapsed="false">
      <c r="B33" s="127"/>
      <c r="C33" s="178"/>
      <c r="D33" s="179"/>
    </row>
    <row r="34" customFormat="false" ht="14.4" hidden="false" customHeight="false" outlineLevel="0" collapsed="false">
      <c r="B34" s="97"/>
      <c r="C34" s="178"/>
      <c r="D34" s="179"/>
    </row>
    <row r="35" customFormat="false" ht="14.4" hidden="false" customHeight="false" outlineLevel="0" collapsed="false">
      <c r="B35" s="97"/>
      <c r="C35" s="178"/>
      <c r="D35" s="179"/>
    </row>
    <row r="36" customFormat="false" ht="14.4" hidden="false" customHeight="false" outlineLevel="0" collapsed="false">
      <c r="B36" s="180"/>
      <c r="C36" s="181" t="s">
        <v>168</v>
      </c>
      <c r="D36" s="182" t="n">
        <f aca="false">SUM(D34:D35)</f>
        <v>0</v>
      </c>
    </row>
    <row r="37" customFormat="false" ht="14.4" hidden="false" customHeight="false" outlineLevel="0" collapsed="false">
      <c r="D37" s="172"/>
    </row>
    <row r="38" customFormat="false" ht="14.4" hidden="true" customHeight="false" outlineLevel="1" collapsed="false">
      <c r="C38" s="161" t="s">
        <v>169</v>
      </c>
      <c r="D38" s="162" t="s">
        <v>150</v>
      </c>
      <c r="E38" s="162" t="s">
        <v>151</v>
      </c>
    </row>
    <row r="39" customFormat="false" ht="28.8" hidden="true" customHeight="false" outlineLevel="1" collapsed="false">
      <c r="C39" s="163" t="s">
        <v>156</v>
      </c>
      <c r="D39" s="166" t="n">
        <v>0.1</v>
      </c>
      <c r="E39" s="179" t="e">
        <f aca="false">#REF!*D39</f>
        <v>#REF!</v>
      </c>
    </row>
    <row r="40" customFormat="false" ht="14.4" hidden="true" customHeight="false" outlineLevel="1" collapsed="false">
      <c r="C40" s="163" t="s">
        <v>170</v>
      </c>
      <c r="D40" s="166" t="n">
        <v>0.1</v>
      </c>
      <c r="E40" s="179" t="e">
        <f aca="false">#REF!*D40</f>
        <v>#REF!</v>
      </c>
    </row>
    <row r="41" customFormat="false" ht="14.4" hidden="true" customHeight="false" outlineLevel="1" collapsed="false">
      <c r="C41" s="163" t="s">
        <v>171</v>
      </c>
      <c r="D41" s="166" t="n">
        <v>0.4</v>
      </c>
      <c r="E41" s="179" t="e">
        <f aca="false">#REF!*D41</f>
        <v>#REF!</v>
      </c>
    </row>
    <row r="42" customFormat="false" ht="14.4" hidden="true" customHeight="false" outlineLevel="1" collapsed="false">
      <c r="C42" s="163" t="s">
        <v>159</v>
      </c>
      <c r="D42" s="166" t="n">
        <v>0.2</v>
      </c>
      <c r="E42" s="179" t="e">
        <f aca="false">#REF!*D42</f>
        <v>#REF!</v>
      </c>
    </row>
    <row r="43" customFormat="false" ht="14.4" hidden="true" customHeight="false" outlineLevel="1" collapsed="false">
      <c r="C43" s="163" t="s">
        <v>160</v>
      </c>
      <c r="D43" s="166" t="n">
        <v>0.2</v>
      </c>
      <c r="E43" s="179" t="e">
        <f aca="false">#REF!*D43</f>
        <v>#REF!</v>
      </c>
    </row>
    <row r="44" customFormat="false" ht="14.4" hidden="true" customHeight="true" outlineLevel="1" collapsed="false">
      <c r="C44" s="168" t="s">
        <v>172</v>
      </c>
      <c r="D44" s="168"/>
      <c r="E44" s="183" t="e">
        <f aca="false">SUM(E39:E43)</f>
        <v>#REF!</v>
      </c>
    </row>
    <row r="45" customFormat="false" ht="18" hidden="false" customHeight="false" outlineLevel="0" collapsed="false">
      <c r="C45" s="144"/>
      <c r="D45" s="145"/>
      <c r="E45" s="145"/>
    </row>
    <row r="48" customFormat="false" ht="28.8" hidden="false" customHeight="false" outlineLevel="0" collapsed="false">
      <c r="B48" s="139" t="s">
        <v>183</v>
      </c>
      <c r="C48" s="140" t="s">
        <v>184</v>
      </c>
      <c r="D48" s="141"/>
      <c r="E48" s="142"/>
    </row>
    <row r="49" customFormat="false" ht="14.4" hidden="false" customHeight="true" outlineLevel="0" collapsed="false">
      <c r="B49" s="197" t="str">
        <f aca="false">'КО Итог'!C3</f>
        <v>Каппа Краснодар СМР</v>
      </c>
      <c r="C49" s="197"/>
      <c r="D49" s="129" t="s">
        <v>185</v>
      </c>
      <c r="E49" s="198"/>
    </row>
    <row r="50" customFormat="false" ht="14.4" hidden="false" customHeight="false" outlineLevel="0" collapsed="false">
      <c r="B50" s="197"/>
      <c r="C50" s="197"/>
      <c r="D50" s="129" t="s">
        <v>186</v>
      </c>
      <c r="E50" s="196" t="n">
        <v>20</v>
      </c>
    </row>
    <row r="51" customFormat="false" ht="14.4" hidden="false" customHeight="false" outlineLevel="0" collapsed="false">
      <c r="B51" s="197"/>
      <c r="C51" s="197"/>
      <c r="D51" s="129" t="s">
        <v>187</v>
      </c>
      <c r="E51" s="196" t="n">
        <f aca="false">E49*E50</f>
        <v>0</v>
      </c>
    </row>
  </sheetData>
  <mergeCells count="7">
    <mergeCell ref="C1:E1"/>
    <mergeCell ref="B7:C7"/>
    <mergeCell ref="E15:F15"/>
    <mergeCell ref="C28:D28"/>
    <mergeCell ref="E28:F28"/>
    <mergeCell ref="C44:D44"/>
    <mergeCell ref="B49:C5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34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Roman,Обычный"&amp;12&amp;Kffffff&amp;A</oddHeader>
    <oddFooter>&amp;C&amp;"Times New Roman,Обычный"&amp;12&amp;KffffffСтраница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50"/>
  <sheetViews>
    <sheetView showFormulas="false" showGridLines="true" showRowColHeaders="true" showZeros="true" rightToLeft="false" tabSelected="false" showOutlineSymbols="true" defaultGridColor="true" view="normal" topLeftCell="A13" colorId="64" zoomScale="90" zoomScaleNormal="90" zoomScalePageLayoutView="100" workbookViewId="0">
      <selection pane="topLeft" activeCell="E49" activeCellId="0" sqref="E49"/>
    </sheetView>
  </sheetViews>
  <sheetFormatPr defaultColWidth="8.8046875" defaultRowHeight="14.4" zeroHeight="false" outlineLevelRow="0" outlineLevelCol="0"/>
  <cols>
    <col collapsed="false" customWidth="true" hidden="false" outlineLevel="0" max="1" min="1" style="0" width="2.89"/>
    <col collapsed="false" customWidth="true" hidden="false" outlineLevel="0" max="2" min="2" style="0" width="23.11"/>
    <col collapsed="false" customWidth="true" hidden="false" outlineLevel="0" max="3" min="3" style="0" width="25.33"/>
    <col collapsed="false" customWidth="true" hidden="false" outlineLevel="0" max="4" min="4" style="0" width="26.56"/>
    <col collapsed="false" customWidth="true" hidden="false" outlineLevel="0" max="5" min="5" style="0" width="16"/>
    <col collapsed="false" customWidth="true" hidden="false" outlineLevel="0" max="6" min="6" style="0" width="19.99"/>
    <col collapsed="false" customWidth="true" hidden="false" outlineLevel="0" max="7" min="7" style="0" width="15.88"/>
    <col collapsed="false" customWidth="true" hidden="false" outlineLevel="0" max="8" min="8" style="0" width="17.67"/>
    <col collapsed="false" customWidth="true" hidden="false" outlineLevel="0" max="9" min="9" style="0" width="21.33"/>
    <col collapsed="false" customWidth="true" hidden="false" outlineLevel="0" max="10" min="10" style="0" width="15"/>
    <col collapsed="false" customWidth="true" hidden="false" outlineLevel="0" max="11" min="11" style="0" width="28.33"/>
  </cols>
  <sheetData>
    <row r="1" customFormat="false" ht="18" hidden="false" customHeight="false" outlineLevel="0" collapsed="false">
      <c r="B1" s="199" t="s">
        <v>188</v>
      </c>
      <c r="C1" s="199"/>
      <c r="D1" s="199"/>
    </row>
    <row r="2" customFormat="false" ht="14.4" hidden="false" customHeight="false" outlineLevel="0" collapsed="false">
      <c r="D2" s="200" t="s">
        <v>50</v>
      </c>
      <c r="E2" s="200"/>
      <c r="F2" s="180" t="s">
        <v>189</v>
      </c>
      <c r="G2" s="180" t="s">
        <v>190</v>
      </c>
      <c r="H2" s="180" t="s">
        <v>191</v>
      </c>
      <c r="I2" s="180" t="s">
        <v>192</v>
      </c>
    </row>
    <row r="3" customFormat="false" ht="14.4" hidden="false" customHeight="false" outlineLevel="0" collapsed="false">
      <c r="D3" s="201" t="s">
        <v>193</v>
      </c>
      <c r="E3" s="202" t="n">
        <v>1000000</v>
      </c>
      <c r="F3" s="203" t="s">
        <v>194</v>
      </c>
      <c r="G3" s="203"/>
      <c r="H3" s="203"/>
      <c r="I3" s="203"/>
    </row>
    <row r="4" customFormat="false" ht="14.4" hidden="false" customHeight="true" outlineLevel="0" collapsed="false">
      <c r="D4" s="204"/>
      <c r="E4" s="205" t="n">
        <v>1500000</v>
      </c>
      <c r="F4" s="206" t="n">
        <f aca="false">ROUND(IF(C48&gt;=1000000,IF(C48&lt;=1499999,0.1,0),0),2)</f>
        <v>0</v>
      </c>
      <c r="G4" s="207" t="n">
        <f aca="false">E4/100*F4</f>
        <v>0</v>
      </c>
      <c r="H4" s="207" t="n">
        <f aca="false">G4*1.2</f>
        <v>0</v>
      </c>
      <c r="I4" s="207" t="n">
        <f aca="false">G4*1.5</f>
        <v>0</v>
      </c>
      <c r="J4" s="208"/>
    </row>
    <row r="5" customFormat="false" ht="14.4" hidden="false" customHeight="false" outlineLevel="0" collapsed="false">
      <c r="D5" s="204"/>
      <c r="E5" s="205" t="n">
        <v>2000000</v>
      </c>
      <c r="F5" s="206" t="n">
        <f aca="false">ROUND(IF(C48&gt;=1500000,IF(C48&lt;=2999999,0.1,0),0),2)</f>
        <v>0</v>
      </c>
      <c r="G5" s="207" t="n">
        <f aca="false">E5/100*F5</f>
        <v>0</v>
      </c>
      <c r="H5" s="207" t="n">
        <f aca="false">G5*1.2</f>
        <v>0</v>
      </c>
      <c r="I5" s="207" t="n">
        <f aca="false">G5*1.5</f>
        <v>0</v>
      </c>
      <c r="J5" s="208"/>
    </row>
    <row r="6" customFormat="false" ht="14.4" hidden="false" customHeight="false" outlineLevel="0" collapsed="false">
      <c r="D6" s="204"/>
      <c r="E6" s="205" t="n">
        <v>2500000</v>
      </c>
      <c r="F6" s="206" t="n">
        <f aca="false">ROUND(IF(C48&gt;=2000000,IF(C48&lt;=1299999,0.1,0),0),2)</f>
        <v>0</v>
      </c>
      <c r="G6" s="207" t="n">
        <f aca="false">E6/100*F6</f>
        <v>0</v>
      </c>
      <c r="H6" s="207" t="n">
        <f aca="false">G6*1.2</f>
        <v>0</v>
      </c>
      <c r="I6" s="207" t="n">
        <f aca="false">G6*1.5</f>
        <v>0</v>
      </c>
      <c r="J6" s="208"/>
    </row>
    <row r="7" customFormat="false" ht="14.4" hidden="false" customHeight="false" outlineLevel="0" collapsed="false">
      <c r="D7" s="201" t="s">
        <v>179</v>
      </c>
      <c r="E7" s="202" t="n">
        <v>3000000</v>
      </c>
      <c r="F7" s="209" t="n">
        <f aca="false">ROUND(IF(C42&gt;=1500000,IF(C43&lt;=2999999,0.1,0),0),2)</f>
        <v>0</v>
      </c>
      <c r="G7" s="210" t="n">
        <f aca="false">E7/100*F7</f>
        <v>0</v>
      </c>
      <c r="H7" s="207" t="n">
        <f aca="false">G7*1.2</f>
        <v>0</v>
      </c>
      <c r="I7" s="207" t="n">
        <f aca="false">G7*1.5</f>
        <v>0</v>
      </c>
      <c r="J7" s="208"/>
    </row>
    <row r="8" customFormat="false" ht="14.4" hidden="false" customHeight="false" outlineLevel="0" collapsed="false">
      <c r="D8" s="204"/>
      <c r="E8" s="205" t="n">
        <v>3500000</v>
      </c>
      <c r="F8" s="211" t="n">
        <f aca="false">ROUND(IF(C48&gt;=3000000,IF(C48&lt;=3499999,0.2,0),0),2)</f>
        <v>0</v>
      </c>
      <c r="G8" s="211" t="n">
        <f aca="false">E8/100*F8</f>
        <v>0</v>
      </c>
      <c r="H8" s="207" t="n">
        <f aca="false">G8*1.2</f>
        <v>0</v>
      </c>
      <c r="I8" s="207" t="n">
        <f aca="false">G8*1.5</f>
        <v>0</v>
      </c>
      <c r="J8" s="208"/>
    </row>
    <row r="9" customFormat="false" ht="14.4" hidden="false" customHeight="false" outlineLevel="0" collapsed="false">
      <c r="D9" s="204"/>
      <c r="E9" s="205" t="n">
        <v>4000000</v>
      </c>
      <c r="F9" s="211" t="n">
        <f aca="false">ROUND(IF(C48&gt;=3500000,IF(C48&lt;=3999999,0.2,0),0),2)</f>
        <v>0</v>
      </c>
      <c r="G9" s="211" t="n">
        <f aca="false">E9/100*F9</f>
        <v>0</v>
      </c>
      <c r="H9" s="207" t="n">
        <f aca="false">G9*1.2</f>
        <v>0</v>
      </c>
      <c r="I9" s="207" t="n">
        <f aca="false">G9*1.5</f>
        <v>0</v>
      </c>
      <c r="J9" s="208"/>
    </row>
    <row r="10" customFormat="false" ht="14.4" hidden="false" customHeight="false" outlineLevel="0" collapsed="false">
      <c r="D10" s="204"/>
      <c r="E10" s="205" t="n">
        <v>4500000</v>
      </c>
      <c r="F10" s="211" t="n">
        <f aca="false">ROUND(IF(C48&gt;=4000000,IF(C48&lt;=4499999,0.2,0),0),2)</f>
        <v>0</v>
      </c>
      <c r="G10" s="211" t="n">
        <f aca="false">E10/100*F10</f>
        <v>0</v>
      </c>
      <c r="H10" s="207" t="n">
        <f aca="false">G10*1.2</f>
        <v>0</v>
      </c>
      <c r="I10" s="207" t="n">
        <f aca="false">G10*1.5</f>
        <v>0</v>
      </c>
      <c r="J10" s="208"/>
    </row>
    <row r="11" customFormat="false" ht="14.4" hidden="false" customHeight="false" outlineLevel="0" collapsed="false">
      <c r="D11" s="201" t="s">
        <v>179</v>
      </c>
      <c r="E11" s="202" t="n">
        <v>5000000</v>
      </c>
      <c r="F11" s="212" t="n">
        <f aca="false">ROUND(IF(C48&gt;=4500000,IF(C48&lt;=4999999,0.2,0),0),2)</f>
        <v>0</v>
      </c>
      <c r="G11" s="212" t="n">
        <f aca="false">E11/100*F11</f>
        <v>0</v>
      </c>
      <c r="H11" s="207" t="n">
        <f aca="false">G11*1.2</f>
        <v>0</v>
      </c>
      <c r="I11" s="207" t="n">
        <f aca="false">G11*1.5</f>
        <v>0</v>
      </c>
      <c r="J11" s="208"/>
    </row>
    <row r="12" customFormat="false" ht="14.4" hidden="false" customHeight="false" outlineLevel="0" collapsed="false">
      <c r="D12" s="204"/>
      <c r="E12" s="205" t="n">
        <v>6000000</v>
      </c>
      <c r="F12" s="211" t="n">
        <f aca="false">ROUND(IF(C48&gt;=5000000,IF(C48&lt;=5999999,0.19,0),0),2)</f>
        <v>0.19</v>
      </c>
      <c r="G12" s="211" t="n">
        <f aca="false">E12/100*F12</f>
        <v>11400</v>
      </c>
      <c r="H12" s="207" t="n">
        <f aca="false">G12*1.2</f>
        <v>13680</v>
      </c>
      <c r="I12" s="207" t="n">
        <f aca="false">G12*1.5</f>
        <v>17100</v>
      </c>
      <c r="J12" s="208"/>
    </row>
    <row r="13" customFormat="false" ht="14.4" hidden="false" customHeight="false" outlineLevel="0" collapsed="false">
      <c r="D13" s="204"/>
      <c r="E13" s="205" t="n">
        <v>7000000</v>
      </c>
      <c r="F13" s="211" t="n">
        <f aca="false">ROUND(IF(C48&gt;=6000000,IF(C48&lt;=6999999,0.18,0),0),2)</f>
        <v>0</v>
      </c>
      <c r="G13" s="211" t="n">
        <f aca="false">E13/100*F13</f>
        <v>0</v>
      </c>
      <c r="H13" s="207" t="n">
        <f aca="false">G13*1.2</f>
        <v>0</v>
      </c>
      <c r="I13" s="207" t="n">
        <f aca="false">G13*1.5</f>
        <v>0</v>
      </c>
      <c r="J13" s="208"/>
    </row>
    <row r="14" customFormat="false" ht="14.4" hidden="false" customHeight="false" outlineLevel="0" collapsed="false">
      <c r="D14" s="204"/>
      <c r="E14" s="205" t="n">
        <v>8000000</v>
      </c>
      <c r="F14" s="211" t="n">
        <f aca="false">ROUND(IF(C48&gt;=7000000,IF(C48&lt;=7999999,0.17,0),0),2)</f>
        <v>0</v>
      </c>
      <c r="G14" s="211" t="n">
        <f aca="false">E14/100*F14</f>
        <v>0</v>
      </c>
      <c r="H14" s="207" t="n">
        <f aca="false">G14*1.2</f>
        <v>0</v>
      </c>
      <c r="I14" s="207" t="n">
        <f aca="false">G14*1.5</f>
        <v>0</v>
      </c>
      <c r="J14" s="208"/>
    </row>
    <row r="15" customFormat="false" ht="14.4" hidden="false" customHeight="false" outlineLevel="0" collapsed="false">
      <c r="D15" s="204"/>
      <c r="E15" s="205" t="n">
        <v>9000000</v>
      </c>
      <c r="F15" s="211" t="n">
        <f aca="false">ROUND(IF(C48&gt;=8000000,IF(C48&lt;=8999999,0.16,0),0),2)</f>
        <v>0</v>
      </c>
      <c r="G15" s="211" t="n">
        <f aca="false">E15/100*F15</f>
        <v>0</v>
      </c>
      <c r="H15" s="207" t="n">
        <f aca="false">G15*1.2</f>
        <v>0</v>
      </c>
      <c r="I15" s="207" t="n">
        <f aca="false">G15*1.5</f>
        <v>0</v>
      </c>
      <c r="J15" s="208"/>
    </row>
    <row r="16" customFormat="false" ht="14.4" hidden="false" customHeight="false" outlineLevel="0" collapsed="false">
      <c r="D16" s="201" t="s">
        <v>179</v>
      </c>
      <c r="E16" s="202" t="n">
        <v>10000000</v>
      </c>
      <c r="F16" s="212" t="n">
        <f aca="false">ROUND(IF(C48&gt;=9000000,IF(C48&lt;=9999999,0.15,0),0),2)</f>
        <v>0</v>
      </c>
      <c r="G16" s="212" t="n">
        <f aca="false">E16/100*F16</f>
        <v>0</v>
      </c>
      <c r="H16" s="207" t="n">
        <f aca="false">G16*1.2</f>
        <v>0</v>
      </c>
      <c r="I16" s="207" t="n">
        <f aca="false">G16*1.5</f>
        <v>0</v>
      </c>
      <c r="J16" s="208"/>
    </row>
    <row r="17" customFormat="false" ht="14.4" hidden="false" customHeight="false" outlineLevel="0" collapsed="false">
      <c r="D17" s="204"/>
      <c r="E17" s="205" t="n">
        <v>11000000</v>
      </c>
      <c r="F17" s="211" t="n">
        <f aca="false">ROUND(IF(C48&gt;=10000000,IF(C48&lt;=10999999,0.14,0),0),2)</f>
        <v>0</v>
      </c>
      <c r="G17" s="211" t="n">
        <f aca="false">E17/100*F17</f>
        <v>0</v>
      </c>
      <c r="H17" s="207" t="n">
        <f aca="false">G17*1.2</f>
        <v>0</v>
      </c>
      <c r="I17" s="207" t="n">
        <f aca="false">G17*1.5</f>
        <v>0</v>
      </c>
      <c r="J17" s="208"/>
    </row>
    <row r="18" customFormat="false" ht="14.4" hidden="false" customHeight="false" outlineLevel="0" collapsed="false">
      <c r="D18" s="204"/>
      <c r="E18" s="205" t="n">
        <v>12000000</v>
      </c>
      <c r="F18" s="211" t="n">
        <f aca="false">ROUND(IF(C48&gt;=11000000,IF(C48&lt;=11999999,0.13,0),0),2)</f>
        <v>0</v>
      </c>
      <c r="G18" s="211" t="n">
        <f aca="false">E18/100*F18</f>
        <v>0</v>
      </c>
      <c r="H18" s="207" t="n">
        <f aca="false">G18*1.2</f>
        <v>0</v>
      </c>
      <c r="I18" s="207" t="n">
        <f aca="false">G18*1.5</f>
        <v>0</v>
      </c>
      <c r="J18" s="208"/>
    </row>
    <row r="19" customFormat="false" ht="14.4" hidden="false" customHeight="false" outlineLevel="0" collapsed="false">
      <c r="D19" s="204"/>
      <c r="E19" s="205" t="n">
        <v>14000000</v>
      </c>
      <c r="F19" s="211" t="n">
        <f aca="false">ROUND(IF(C48&gt;=12000000,IF(C48&lt;=13999999,0.12,0),0),2)</f>
        <v>0</v>
      </c>
      <c r="G19" s="211" t="n">
        <f aca="false">E19/100*F19</f>
        <v>0</v>
      </c>
      <c r="H19" s="207" t="n">
        <f aca="false">G19*1.2</f>
        <v>0</v>
      </c>
      <c r="I19" s="207" t="n">
        <f aca="false">G19*1.5</f>
        <v>0</v>
      </c>
      <c r="J19" s="208"/>
    </row>
    <row r="20" customFormat="false" ht="14.4" hidden="false" customHeight="false" outlineLevel="0" collapsed="false">
      <c r="D20" s="204"/>
      <c r="E20" s="205" t="n">
        <v>16000000</v>
      </c>
      <c r="F20" s="211" t="n">
        <f aca="false">ROUND(IF(C48&gt;=14000000,IF(C48&lt;=15999999,0.11,0),0),2)</f>
        <v>0</v>
      </c>
      <c r="G20" s="211" t="n">
        <f aca="false">E20/100*F20</f>
        <v>0</v>
      </c>
      <c r="H20" s="207" t="n">
        <f aca="false">G20*1.2</f>
        <v>0</v>
      </c>
      <c r="I20" s="207" t="n">
        <f aca="false">G20*1.5</f>
        <v>0</v>
      </c>
      <c r="J20" s="208"/>
    </row>
    <row r="21" customFormat="false" ht="14.4" hidden="false" customHeight="false" outlineLevel="0" collapsed="false">
      <c r="D21" s="204"/>
      <c r="E21" s="205" t="n">
        <v>18000000</v>
      </c>
      <c r="F21" s="211" t="n">
        <f aca="false">ROUND(IF(C48&gt;=16000000,IF(C48&lt;=17999999,0.11,0),0),2)</f>
        <v>0</v>
      </c>
      <c r="G21" s="211" t="n">
        <f aca="false">E21/100*F21</f>
        <v>0</v>
      </c>
      <c r="H21" s="207" t="n">
        <f aca="false">G21*1.2</f>
        <v>0</v>
      </c>
      <c r="I21" s="207" t="n">
        <f aca="false">G21*1.5</f>
        <v>0</v>
      </c>
      <c r="J21" s="208"/>
    </row>
    <row r="22" customFormat="false" ht="14.4" hidden="false" customHeight="false" outlineLevel="0" collapsed="false">
      <c r="D22" s="204"/>
      <c r="E22" s="205" t="n">
        <v>20000000</v>
      </c>
      <c r="F22" s="211" t="n">
        <f aca="false">ROUND(IF(C48&gt;=18000000,IF(C48&lt;=19999999,0.1,0),0),2)</f>
        <v>0</v>
      </c>
      <c r="G22" s="211" t="n">
        <f aca="false">E22/100*F22</f>
        <v>0</v>
      </c>
      <c r="H22" s="207" t="n">
        <f aca="false">G22*1.2</f>
        <v>0</v>
      </c>
      <c r="I22" s="207" t="n">
        <f aca="false">G22*1.5</f>
        <v>0</v>
      </c>
      <c r="J22" s="208"/>
    </row>
    <row r="23" customFormat="false" ht="14.4" hidden="false" customHeight="false" outlineLevel="0" collapsed="false">
      <c r="D23" s="204"/>
      <c r="E23" s="205" t="n">
        <v>23000000</v>
      </c>
      <c r="F23" s="211" t="n">
        <f aca="false">ROUND(IF(C48&gt;=20000000,IF(C48&lt;=22999999,0.1,0),0),2)</f>
        <v>0</v>
      </c>
      <c r="G23" s="211" t="n">
        <f aca="false">E23/100*F23</f>
        <v>0</v>
      </c>
      <c r="H23" s="207" t="n">
        <f aca="false">G23*1.2</f>
        <v>0</v>
      </c>
      <c r="I23" s="207" t="n">
        <f aca="false">G23*1.5</f>
        <v>0</v>
      </c>
      <c r="J23" s="208"/>
    </row>
    <row r="24" customFormat="false" ht="14.4" hidden="false" customHeight="false" outlineLevel="0" collapsed="false">
      <c r="D24" s="204" t="s">
        <v>179</v>
      </c>
      <c r="E24" s="205" t="n">
        <v>25000000</v>
      </c>
      <c r="F24" s="211" t="n">
        <f aca="false">ROUND(IF(C48&gt;=23000000,IF(C48&lt;=24999999,0.1,0),0),2)</f>
        <v>0</v>
      </c>
      <c r="G24" s="211" t="n">
        <f aca="false">E24/100*F24</f>
        <v>0</v>
      </c>
      <c r="H24" s="207" t="n">
        <f aca="false">G24*1.2</f>
        <v>0</v>
      </c>
      <c r="I24" s="207" t="n">
        <f aca="false">G24*1.5</f>
        <v>0</v>
      </c>
      <c r="J24" s="208"/>
    </row>
    <row r="25" customFormat="false" ht="14.4" hidden="false" customHeight="false" outlineLevel="0" collapsed="false">
      <c r="D25" s="204" t="s">
        <v>195</v>
      </c>
      <c r="E25" s="205" t="n">
        <v>25000000</v>
      </c>
      <c r="F25" s="211" t="s">
        <v>95</v>
      </c>
      <c r="G25" s="211" t="n">
        <v>30000</v>
      </c>
      <c r="H25" s="207" t="n">
        <f aca="false">G25*1.2</f>
        <v>36000</v>
      </c>
      <c r="I25" s="207" t="n">
        <f aca="false">G25*1.5</f>
        <v>45000</v>
      </c>
      <c r="J25" s="208"/>
    </row>
    <row r="26" customFormat="false" ht="14.4" hidden="false" customHeight="false" outlineLevel="0" collapsed="false">
      <c r="D26" s="204" t="s">
        <v>195</v>
      </c>
      <c r="E26" s="205" t="n">
        <v>50000000</v>
      </c>
      <c r="F26" s="211" t="s">
        <v>95</v>
      </c>
      <c r="G26" s="211" t="n">
        <v>45000</v>
      </c>
      <c r="H26" s="207" t="n">
        <f aca="false">G26*1.2</f>
        <v>54000</v>
      </c>
      <c r="I26" s="207" t="n">
        <f aca="false">G26*1.5</f>
        <v>67500</v>
      </c>
      <c r="J26" s="208"/>
    </row>
    <row r="27" customFormat="false" ht="14.4" hidden="false" customHeight="false" outlineLevel="0" collapsed="false">
      <c r="G27" s="102"/>
      <c r="H27" s="102"/>
    </row>
    <row r="28" customFormat="false" ht="18" hidden="false" customHeight="false" outlineLevel="0" collapsed="false">
      <c r="B28" s="213" t="s">
        <v>196</v>
      </c>
      <c r="C28" s="214"/>
      <c r="D28" s="214"/>
      <c r="E28" s="214"/>
      <c r="F28" s="214"/>
      <c r="G28" s="214"/>
      <c r="H28" s="214"/>
      <c r="I28" s="214"/>
    </row>
    <row r="29" customFormat="false" ht="15.6" hidden="false" customHeight="false" outlineLevel="0" collapsed="false">
      <c r="B29" s="215"/>
      <c r="C29" s="215"/>
      <c r="D29" s="215"/>
    </row>
    <row r="30" customFormat="false" ht="28.8" hidden="false" customHeight="false" outlineLevel="0" collapsed="false">
      <c r="B30" s="81" t="s">
        <v>197</v>
      </c>
      <c r="C30" s="127" t="s">
        <v>198</v>
      </c>
      <c r="D30" s="127" t="s">
        <v>199</v>
      </c>
      <c r="E30" s="127"/>
      <c r="F30" s="127"/>
      <c r="G30" s="127"/>
      <c r="H30" s="127"/>
      <c r="I30" s="127"/>
      <c r="J30" s="127" t="s">
        <v>200</v>
      </c>
    </row>
    <row r="31" customFormat="false" ht="14.4" hidden="false" customHeight="false" outlineLevel="0" collapsed="false">
      <c r="B31" s="216" t="n">
        <v>0.1</v>
      </c>
      <c r="C31" s="97" t="s">
        <v>201</v>
      </c>
      <c r="D31" s="217" t="s">
        <v>202</v>
      </c>
      <c r="E31" s="217"/>
      <c r="F31" s="217"/>
      <c r="G31" s="217"/>
      <c r="H31" s="217"/>
      <c r="I31" s="217"/>
      <c r="J31" s="97"/>
    </row>
    <row r="32" customFormat="false" ht="14.4" hidden="false" customHeight="false" outlineLevel="0" collapsed="false">
      <c r="B32" s="216" t="n">
        <v>0.1</v>
      </c>
      <c r="C32" s="97" t="s">
        <v>203</v>
      </c>
      <c r="D32" s="217" t="s">
        <v>204</v>
      </c>
      <c r="E32" s="217"/>
      <c r="F32" s="217"/>
      <c r="G32" s="217"/>
      <c r="H32" s="217"/>
      <c r="I32" s="217"/>
      <c r="J32" s="97"/>
    </row>
    <row r="33" customFormat="false" ht="28.8" hidden="false" customHeight="false" outlineLevel="0" collapsed="false">
      <c r="B33" s="216" t="n">
        <v>0.2</v>
      </c>
      <c r="C33" s="163" t="s">
        <v>205</v>
      </c>
      <c r="D33" s="217" t="s">
        <v>206</v>
      </c>
      <c r="E33" s="217"/>
      <c r="F33" s="217"/>
      <c r="G33" s="217"/>
      <c r="H33" s="217"/>
      <c r="I33" s="217"/>
      <c r="J33" s="97"/>
    </row>
    <row r="34" customFormat="false" ht="14.4" hidden="false" customHeight="false" outlineLevel="0" collapsed="false">
      <c r="B34" s="216" t="n">
        <v>0.6</v>
      </c>
      <c r="C34" s="97" t="s">
        <v>207</v>
      </c>
      <c r="D34" s="217" t="s">
        <v>208</v>
      </c>
      <c r="E34" s="217"/>
      <c r="F34" s="217"/>
      <c r="G34" s="217"/>
      <c r="H34" s="217"/>
      <c r="I34" s="217"/>
      <c r="J34" s="97"/>
    </row>
    <row r="36" customFormat="false" ht="14.4" hidden="false" customHeight="false" outlineLevel="0" collapsed="false">
      <c r="B36" s="218" t="s">
        <v>209</v>
      </c>
    </row>
    <row r="38" customFormat="false" ht="15.6" hidden="false" customHeight="false" outlineLevel="0" collapsed="false">
      <c r="B38" s="215" t="s">
        <v>210</v>
      </c>
    </row>
    <row r="39" customFormat="false" ht="4.5" hidden="false" customHeight="true" outlineLevel="0" collapsed="false"/>
    <row r="40" customFormat="false" ht="15.6" hidden="false" customHeight="false" outlineLevel="0" collapsed="false">
      <c r="B40" s="215" t="s">
        <v>211</v>
      </c>
      <c r="C40" s="215"/>
    </row>
    <row r="41" customFormat="false" ht="35.25" hidden="false" customHeight="true" outlineLevel="0" collapsed="false">
      <c r="B41" s="219" t="s">
        <v>212</v>
      </c>
      <c r="C41" s="219"/>
      <c r="D41" s="102" t="n">
        <v>10000</v>
      </c>
    </row>
    <row r="42" customFormat="false" ht="33" hidden="false" customHeight="true" outlineLevel="0" collapsed="false">
      <c r="B42" s="219" t="s">
        <v>213</v>
      </c>
      <c r="C42" s="219"/>
      <c r="D42" s="102" t="n">
        <v>20000</v>
      </c>
    </row>
    <row r="43" customFormat="false" ht="14.4" hidden="false" customHeight="true" outlineLevel="0" collapsed="false">
      <c r="B43" s="219" t="s">
        <v>214</v>
      </c>
      <c r="C43" s="219"/>
      <c r="D43" s="102" t="n">
        <v>20000</v>
      </c>
    </row>
    <row r="44" customFormat="false" ht="14.4" hidden="false" customHeight="true" outlineLevel="0" collapsed="false">
      <c r="B44" s="219" t="s">
        <v>215</v>
      </c>
      <c r="C44" s="219"/>
      <c r="D44" s="102" t="n">
        <v>30000</v>
      </c>
    </row>
    <row r="46" customFormat="false" ht="15.6" hidden="false" customHeight="false" outlineLevel="0" collapsed="false">
      <c r="B46" s="215" t="s">
        <v>3</v>
      </c>
    </row>
    <row r="47" customFormat="false" ht="36" hidden="false" customHeight="true" outlineLevel="0" collapsed="false">
      <c r="A47" s="220" t="s">
        <v>137</v>
      </c>
      <c r="B47" s="220"/>
      <c r="C47" s="221" t="s">
        <v>216</v>
      </c>
      <c r="D47" s="221" t="s">
        <v>217</v>
      </c>
      <c r="E47" s="222" t="s">
        <v>218</v>
      </c>
      <c r="F47" s="223"/>
      <c r="G47" s="223"/>
      <c r="H47" s="223"/>
    </row>
    <row r="48" customFormat="false" ht="18" hidden="false" customHeight="false" outlineLevel="0" collapsed="false">
      <c r="A48" s="224" t="str">
        <f aca="false">'КО Итог'!C3</f>
        <v>Каппа Краснодар СМР</v>
      </c>
      <c r="B48" s="224"/>
      <c r="C48" s="225" t="n">
        <f aca="false">'КО Итог'!C12:D12</f>
        <v>5882364.07</v>
      </c>
      <c r="D48" s="225" t="n">
        <f aca="false">C48/100*SUM(F4:F24)*E48</f>
        <v>13411.7900796</v>
      </c>
      <c r="E48" s="226" t="n">
        <v>1.2</v>
      </c>
      <c r="G48" s="102"/>
    </row>
    <row r="49" customFormat="false" ht="14.4" hidden="false" customHeight="false" outlineLevel="0" collapsed="false">
      <c r="A49" s="227"/>
      <c r="B49" s="228"/>
      <c r="C49" s="102"/>
      <c r="E49" s="229"/>
      <c r="G49" s="230"/>
      <c r="H49" s="102"/>
      <c r="I49" s="102"/>
    </row>
    <row r="50" customFormat="false" ht="18" hidden="false" customHeight="false" outlineLevel="0" collapsed="false">
      <c r="A50" s="224" t="str">
        <f aca="false">A48</f>
        <v>Каппа Краснодар СМР</v>
      </c>
      <c r="B50" s="224"/>
      <c r="C50" s="231" t="n">
        <f aca="false">C48</f>
        <v>5882364.07</v>
      </c>
      <c r="D50" s="231" t="n">
        <f aca="false">MROUND((D48),50)</f>
        <v>13400</v>
      </c>
      <c r="E50" s="232" t="n">
        <f aca="false">E48</f>
        <v>1.2</v>
      </c>
      <c r="G50" s="233"/>
      <c r="H50" s="234"/>
      <c r="I50" s="234"/>
    </row>
  </sheetData>
  <mergeCells count="15">
    <mergeCell ref="B1:D1"/>
    <mergeCell ref="D2:E2"/>
    <mergeCell ref="F3:I3"/>
    <mergeCell ref="D30:I30"/>
    <mergeCell ref="D31:I31"/>
    <mergeCell ref="D32:I32"/>
    <mergeCell ref="D33:I33"/>
    <mergeCell ref="D34:I34"/>
    <mergeCell ref="B41:C41"/>
    <mergeCell ref="B42:C42"/>
    <mergeCell ref="B43:C43"/>
    <mergeCell ref="B44:C44"/>
    <mergeCell ref="A47:B47"/>
    <mergeCell ref="A48:B48"/>
    <mergeCell ref="A50:B50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47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C15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ColWidth="8.8046875" defaultRowHeight="14.4" zeroHeight="false" outlineLevelRow="0" outlineLevelCol="0"/>
  <cols>
    <col collapsed="false" customWidth="true" hidden="false" outlineLevel="0" max="2" min="2" style="0" width="36.45"/>
    <col collapsed="false" customWidth="true" hidden="false" outlineLevel="0" max="3" min="3" style="0" width="17.56"/>
  </cols>
  <sheetData>
    <row r="2" customFormat="false" ht="18" hidden="false" customHeight="false" outlineLevel="0" collapsed="false">
      <c r="B2" s="57" t="s">
        <v>219</v>
      </c>
      <c r="C2" s="3"/>
    </row>
    <row r="3" customFormat="false" ht="18" hidden="false" customHeight="false" outlineLevel="0" collapsed="false">
      <c r="B3" s="2" t="s">
        <v>220</v>
      </c>
      <c r="C3" s="4" t="n">
        <f aca="false">'КО Итог'!C32</f>
        <v>5882364.07</v>
      </c>
    </row>
    <row r="4" customFormat="false" ht="18" hidden="false" customHeight="false" outlineLevel="0" collapsed="false">
      <c r="B4" s="2" t="s">
        <v>221</v>
      </c>
      <c r="C4" s="4" t="n">
        <f aca="false">'КО Итог'!D29+'КО Итог'!E29+'КО Итог'!F29+'КО Итог'!G29+'КО Итог'!J29+'КО Итог'!K29</f>
        <v>2956165.59404255</v>
      </c>
    </row>
    <row r="5" customFormat="false" ht="18" hidden="false" customHeight="false" outlineLevel="0" collapsed="false">
      <c r="B5" s="2" t="s">
        <v>222</v>
      </c>
      <c r="C5" s="4" t="n">
        <f aca="false">'КО Итог'!C33</f>
        <v>780267.035</v>
      </c>
    </row>
    <row r="6" customFormat="false" ht="18" hidden="false" customHeight="false" outlineLevel="0" collapsed="false">
      <c r="B6" s="2" t="s">
        <v>223</v>
      </c>
      <c r="C6" s="4" t="n">
        <f aca="false">C3-C4-C5</f>
        <v>2145931.44095745</v>
      </c>
    </row>
    <row r="7" customFormat="false" ht="18" hidden="false" customHeight="false" outlineLevel="0" collapsed="false">
      <c r="B7" s="2" t="s">
        <v>224</v>
      </c>
      <c r="C7" s="4" t="n">
        <f aca="false">C6/(C3/100)</f>
        <v>36.4807654783164</v>
      </c>
    </row>
    <row r="8" customFormat="false" ht="18" hidden="false" customHeight="false" outlineLevel="0" collapsed="false">
      <c r="B8" s="2"/>
      <c r="C8" s="3"/>
    </row>
    <row r="9" customFormat="false" ht="18" hidden="false" customHeight="false" outlineLevel="0" collapsed="false">
      <c r="B9" s="2" t="s">
        <v>225</v>
      </c>
      <c r="C9" s="235"/>
    </row>
    <row r="10" customFormat="false" ht="18" hidden="false" customHeight="false" outlineLevel="0" collapsed="false">
      <c r="B10" s="2" t="s">
        <v>226</v>
      </c>
      <c r="C10" s="4" t="n">
        <f aca="false">'КО Итог'!F29+'КО Итог'!G29+'КО Итог'!J29+'КО Итог'!K29</f>
        <v>1852655.73404255</v>
      </c>
    </row>
    <row r="11" customFormat="false" ht="18" hidden="false" customHeight="false" outlineLevel="0" collapsed="false">
      <c r="B11" s="2" t="s">
        <v>227</v>
      </c>
      <c r="C11" s="4" t="n">
        <f aca="false">C10</f>
        <v>1852655.73404255</v>
      </c>
    </row>
    <row r="12" customFormat="false" ht="18" hidden="false" customHeight="false" outlineLevel="0" collapsed="false">
      <c r="B12" s="2"/>
      <c r="C12" s="3"/>
    </row>
    <row r="13" customFormat="false" ht="18" hidden="false" customHeight="false" outlineLevel="0" collapsed="false">
      <c r="B13" s="2" t="s">
        <v>228</v>
      </c>
      <c r="C13" s="235"/>
    </row>
    <row r="14" customFormat="false" ht="18" hidden="false" customHeight="false" outlineLevel="0" collapsed="false">
      <c r="B14" s="2" t="s">
        <v>229</v>
      </c>
      <c r="C14" s="4" t="n">
        <f aca="false">'КО Итог'!D29+'КО Итог'!E29</f>
        <v>1103509.86</v>
      </c>
    </row>
    <row r="15" customFormat="false" ht="18" hidden="false" customHeight="false" outlineLevel="0" collapsed="false">
      <c r="B15" s="2" t="s">
        <v>227</v>
      </c>
      <c r="C15" s="4" t="n">
        <f aca="false">C13-C14</f>
        <v>-1103509.86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32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ColWidth="8.47265625" defaultRowHeight="14.4" zeroHeight="false" outlineLevelRow="4" outlineLevelCol="0"/>
  <cols>
    <col collapsed="false" customWidth="true" hidden="false" outlineLevel="0" max="1" min="1" style="236" width="7"/>
    <col collapsed="false" customWidth="true" hidden="false" outlineLevel="0" max="2" min="2" style="236" width="1.44"/>
    <col collapsed="false" customWidth="true" hidden="false" outlineLevel="0" max="3" min="3" style="236" width="33.79"/>
    <col collapsed="false" customWidth="true" hidden="false" outlineLevel="0" max="4" min="4" style="236" width="32.56"/>
    <col collapsed="false" customWidth="true" hidden="false" outlineLevel="0" max="5" min="5" style="236" width="12.66"/>
    <col collapsed="false" customWidth="true" hidden="false" outlineLevel="0" max="6" min="6" style="236" width="11.64"/>
    <col collapsed="false" customWidth="true" hidden="false" outlineLevel="0" max="7" min="7" style="236" width="12.66"/>
    <col collapsed="false" customWidth="true" hidden="false" outlineLevel="0" max="8" min="8" style="236" width="11.64"/>
  </cols>
  <sheetData>
    <row r="1" s="236" customFormat="true" ht="10.05" hidden="false" customHeight="true" outlineLevel="0" collapsed="false"/>
    <row r="2" customFormat="false" ht="10.95" hidden="false" customHeight="true" outlineLevel="1" collapsed="false">
      <c r="A2" s="237" t="s">
        <v>230</v>
      </c>
      <c r="B2" s="237" t="s">
        <v>231</v>
      </c>
      <c r="C2" s="237"/>
      <c r="E2" s="238" t="n">
        <v>45548</v>
      </c>
    </row>
    <row r="3" s="236" customFormat="true" ht="10.05" hidden="false" customHeight="true" outlineLevel="0" collapsed="false"/>
    <row r="4" customFormat="false" ht="13.05" hidden="false" customHeight="true" outlineLevel="0" collapsed="false">
      <c r="A4" s="239" t="s">
        <v>232</v>
      </c>
      <c r="B4" s="239"/>
      <c r="C4" s="239"/>
      <c r="D4" s="239"/>
      <c r="E4" s="240" t="s">
        <v>47</v>
      </c>
      <c r="F4" s="240"/>
      <c r="G4" s="240"/>
      <c r="H4" s="240"/>
    </row>
    <row r="5" customFormat="false" ht="13.05" hidden="false" customHeight="true" outlineLevel="0" collapsed="false">
      <c r="A5" s="239" t="s">
        <v>233</v>
      </c>
      <c r="B5" s="239"/>
      <c r="C5" s="239"/>
      <c r="D5" s="239"/>
      <c r="E5" s="240"/>
      <c r="F5" s="240"/>
      <c r="G5" s="240"/>
      <c r="H5" s="240"/>
    </row>
    <row r="6" customFormat="false" ht="13.05" hidden="false" customHeight="true" outlineLevel="0" collapsed="false">
      <c r="A6" s="239" t="s">
        <v>234</v>
      </c>
      <c r="B6" s="239"/>
      <c r="C6" s="239"/>
      <c r="D6" s="239"/>
      <c r="E6" s="240"/>
      <c r="F6" s="240"/>
      <c r="G6" s="240"/>
      <c r="H6" s="240"/>
    </row>
    <row r="7" customFormat="false" ht="13.05" hidden="false" customHeight="true" outlineLevel="0" collapsed="false">
      <c r="A7" s="239" t="s">
        <v>235</v>
      </c>
      <c r="B7" s="239"/>
      <c r="C7" s="239"/>
      <c r="D7" s="239"/>
      <c r="E7" s="240" t="s">
        <v>236</v>
      </c>
      <c r="F7" s="240"/>
      <c r="G7" s="240" t="s">
        <v>237</v>
      </c>
      <c r="H7" s="240"/>
    </row>
    <row r="8" customFormat="false" ht="25.95" hidden="false" customHeight="true" outlineLevel="0" collapsed="false">
      <c r="A8" s="239" t="s">
        <v>238</v>
      </c>
      <c r="B8" s="239"/>
      <c r="C8" s="239"/>
      <c r="D8" s="239"/>
      <c r="E8" s="239" t="s">
        <v>236</v>
      </c>
      <c r="F8" s="239" t="s">
        <v>239</v>
      </c>
      <c r="G8" s="239" t="s">
        <v>237</v>
      </c>
      <c r="H8" s="239" t="s">
        <v>240</v>
      </c>
    </row>
    <row r="9" customFormat="false" ht="13.05" hidden="false" customHeight="true" outlineLevel="0" collapsed="false">
      <c r="A9" s="241" t="s">
        <v>241</v>
      </c>
      <c r="B9" s="241"/>
      <c r="C9" s="241"/>
      <c r="D9" s="241"/>
      <c r="E9" s="242" t="n">
        <v>2695333.95</v>
      </c>
      <c r="F9" s="242" t="n">
        <v>304157.61</v>
      </c>
      <c r="G9" s="242" t="n">
        <v>2308961.88</v>
      </c>
      <c r="H9" s="242" t="n">
        <v>306914.21</v>
      </c>
    </row>
    <row r="10" customFormat="false" ht="12" hidden="false" customHeight="true" outlineLevel="1" collapsed="false">
      <c r="A10" s="243" t="s">
        <v>242</v>
      </c>
      <c r="B10" s="243"/>
      <c r="C10" s="243"/>
      <c r="D10" s="243"/>
      <c r="E10" s="244" t="n">
        <v>2695333.95</v>
      </c>
      <c r="F10" s="244" t="n">
        <v>304157.61</v>
      </c>
      <c r="G10" s="244" t="n">
        <v>2308961.88</v>
      </c>
      <c r="H10" s="244" t="n">
        <v>306914.21</v>
      </c>
    </row>
    <row r="11" customFormat="false" ht="12" hidden="false" customHeight="true" outlineLevel="2" collapsed="false">
      <c r="A11" s="245" t="s">
        <v>40</v>
      </c>
      <c r="B11" s="245"/>
      <c r="C11" s="245"/>
      <c r="D11" s="245"/>
      <c r="E11" s="246" t="n">
        <v>204792.57</v>
      </c>
      <c r="F11" s="246" t="n">
        <v>34132.1</v>
      </c>
      <c r="G11" s="246" t="n">
        <v>204792.5</v>
      </c>
      <c r="H11" s="246" t="n">
        <v>34132.13</v>
      </c>
    </row>
    <row r="12" customFormat="false" ht="12" hidden="false" customHeight="true" outlineLevel="3" collapsed="false">
      <c r="A12" s="247" t="s">
        <v>243</v>
      </c>
      <c r="B12" s="247"/>
      <c r="C12" s="247"/>
      <c r="D12" s="247"/>
      <c r="E12" s="248" t="n">
        <v>6930</v>
      </c>
      <c r="F12" s="248" t="n">
        <v>1155</v>
      </c>
      <c r="G12" s="248" t="n">
        <v>6930</v>
      </c>
      <c r="H12" s="248" t="n">
        <v>1155</v>
      </c>
    </row>
    <row r="13" s="236" customFormat="true" ht="12" hidden="true" customHeight="true" outlineLevel="4" collapsed="false">
      <c r="A13" s="247" t="s">
        <v>244</v>
      </c>
      <c r="B13" s="247"/>
      <c r="C13" s="247"/>
      <c r="D13" s="247"/>
      <c r="E13" s="249"/>
      <c r="F13" s="249"/>
      <c r="G13" s="248" t="n">
        <v>6930</v>
      </c>
      <c r="H13" s="248" t="n">
        <v>1155</v>
      </c>
    </row>
    <row r="14" s="236" customFormat="true" ht="12" hidden="true" customHeight="true" outlineLevel="4" collapsed="false">
      <c r="A14" s="247" t="s">
        <v>245</v>
      </c>
      <c r="B14" s="247"/>
      <c r="C14" s="247"/>
      <c r="D14" s="247"/>
      <c r="E14" s="248" t="n">
        <v>6930</v>
      </c>
      <c r="F14" s="248" t="n">
        <v>1155</v>
      </c>
      <c r="G14" s="249"/>
      <c r="H14" s="249"/>
    </row>
    <row r="15" customFormat="false" ht="12" hidden="false" customHeight="true" outlineLevel="3" collapsed="true">
      <c r="A15" s="247" t="s">
        <v>246</v>
      </c>
      <c r="B15" s="247"/>
      <c r="C15" s="247"/>
      <c r="D15" s="247"/>
      <c r="E15" s="248" t="n">
        <v>40402.8</v>
      </c>
      <c r="F15" s="248" t="n">
        <v>6733.8</v>
      </c>
      <c r="G15" s="248" t="n">
        <v>40402.8</v>
      </c>
      <c r="H15" s="248" t="n">
        <v>6733.8</v>
      </c>
    </row>
    <row r="16" s="236" customFormat="true" ht="12" hidden="true" customHeight="true" outlineLevel="4" collapsed="false">
      <c r="A16" s="247" t="s">
        <v>247</v>
      </c>
      <c r="B16" s="247"/>
      <c r="C16" s="247"/>
      <c r="D16" s="247"/>
      <c r="E16" s="248" t="n">
        <v>40402.8</v>
      </c>
      <c r="F16" s="248" t="n">
        <v>6733.8</v>
      </c>
      <c r="G16" s="249"/>
      <c r="H16" s="249"/>
    </row>
    <row r="17" s="236" customFormat="true" ht="12" hidden="true" customHeight="true" outlineLevel="4" collapsed="false">
      <c r="A17" s="247" t="s">
        <v>248</v>
      </c>
      <c r="B17" s="247"/>
      <c r="C17" s="247"/>
      <c r="D17" s="247"/>
      <c r="E17" s="249"/>
      <c r="F17" s="249"/>
      <c r="G17" s="248" t="n">
        <v>40402.8</v>
      </c>
      <c r="H17" s="248" t="n">
        <v>6733.8</v>
      </c>
    </row>
    <row r="18" customFormat="false" ht="12" hidden="false" customHeight="true" outlineLevel="3" collapsed="true">
      <c r="A18" s="247" t="s">
        <v>249</v>
      </c>
      <c r="B18" s="247"/>
      <c r="C18" s="247"/>
      <c r="D18" s="247"/>
      <c r="E18" s="248" t="n">
        <v>153596.07</v>
      </c>
      <c r="F18" s="248" t="n">
        <v>25599.35</v>
      </c>
      <c r="G18" s="248" t="n">
        <v>153596</v>
      </c>
      <c r="H18" s="248" t="n">
        <v>25599.38</v>
      </c>
    </row>
    <row r="19" s="236" customFormat="true" ht="12" hidden="true" customHeight="true" outlineLevel="4" collapsed="false">
      <c r="A19" s="247" t="s">
        <v>250</v>
      </c>
      <c r="B19" s="247"/>
      <c r="C19" s="247"/>
      <c r="D19" s="247"/>
      <c r="E19" s="249"/>
      <c r="F19" s="249"/>
      <c r="G19" s="248" t="n">
        <v>67492.26</v>
      </c>
      <c r="H19" s="248" t="n">
        <v>11248.73</v>
      </c>
    </row>
    <row r="20" s="236" customFormat="true" ht="12" hidden="true" customHeight="true" outlineLevel="4" collapsed="false">
      <c r="A20" s="247" t="s">
        <v>251</v>
      </c>
      <c r="B20" s="247"/>
      <c r="C20" s="247"/>
      <c r="D20" s="247"/>
      <c r="E20" s="249"/>
      <c r="F20" s="249"/>
      <c r="G20" s="248" t="n">
        <v>86103.74</v>
      </c>
      <c r="H20" s="248" t="n">
        <v>14350.65</v>
      </c>
    </row>
    <row r="21" s="236" customFormat="true" ht="12" hidden="true" customHeight="true" outlineLevel="4" collapsed="false">
      <c r="A21" s="247" t="s">
        <v>252</v>
      </c>
      <c r="B21" s="247"/>
      <c r="C21" s="247"/>
      <c r="D21" s="247"/>
      <c r="E21" s="248" t="n">
        <v>67492.26</v>
      </c>
      <c r="F21" s="248" t="n">
        <v>11248.71</v>
      </c>
      <c r="G21" s="249"/>
      <c r="H21" s="249"/>
    </row>
    <row r="22" s="236" customFormat="true" ht="12" hidden="true" customHeight="true" outlineLevel="4" collapsed="false">
      <c r="A22" s="247" t="s">
        <v>253</v>
      </c>
      <c r="B22" s="247"/>
      <c r="C22" s="247"/>
      <c r="D22" s="247"/>
      <c r="E22" s="248" t="n">
        <v>86103.81</v>
      </c>
      <c r="F22" s="248" t="n">
        <v>14350.64</v>
      </c>
      <c r="G22" s="249"/>
      <c r="H22" s="249"/>
    </row>
    <row r="23" customFormat="false" ht="12" hidden="false" customHeight="true" outlineLevel="3" collapsed="true">
      <c r="A23" s="247" t="s">
        <v>254</v>
      </c>
      <c r="B23" s="247"/>
      <c r="C23" s="247"/>
      <c r="D23" s="247"/>
      <c r="E23" s="248" t="n">
        <v>3863.7</v>
      </c>
      <c r="F23" s="250" t="n">
        <v>643.95</v>
      </c>
      <c r="G23" s="248" t="n">
        <v>3863.7</v>
      </c>
      <c r="H23" s="250" t="n">
        <v>643.95</v>
      </c>
    </row>
    <row r="24" s="236" customFormat="true" ht="12" hidden="true" customHeight="true" outlineLevel="4" collapsed="false">
      <c r="A24" s="247" t="s">
        <v>255</v>
      </c>
      <c r="B24" s="247"/>
      <c r="C24" s="247"/>
      <c r="D24" s="247"/>
      <c r="E24" s="248" t="n">
        <v>3863.7</v>
      </c>
      <c r="F24" s="250" t="n">
        <v>643.95</v>
      </c>
      <c r="G24" s="249"/>
      <c r="H24" s="249"/>
    </row>
    <row r="25" s="236" customFormat="true" ht="12" hidden="true" customHeight="true" outlineLevel="4" collapsed="false">
      <c r="A25" s="247" t="s">
        <v>256</v>
      </c>
      <c r="B25" s="247"/>
      <c r="C25" s="247"/>
      <c r="D25" s="247"/>
      <c r="E25" s="249"/>
      <c r="F25" s="249"/>
      <c r="G25" s="248" t="n">
        <v>3863.7</v>
      </c>
      <c r="H25" s="250" t="n">
        <v>643.95</v>
      </c>
    </row>
    <row r="26" customFormat="false" ht="12" hidden="false" customHeight="true" outlineLevel="2" collapsed="false">
      <c r="A26" s="245" t="s">
        <v>257</v>
      </c>
      <c r="B26" s="245"/>
      <c r="C26" s="245"/>
      <c r="D26" s="245"/>
      <c r="E26" s="251"/>
      <c r="F26" s="246" t="n">
        <v>2722.23</v>
      </c>
      <c r="G26" s="251"/>
      <c r="H26" s="246" t="n">
        <v>2722.23</v>
      </c>
    </row>
    <row r="27" customFormat="false" ht="12" hidden="false" customHeight="true" outlineLevel="3" collapsed="false">
      <c r="A27" s="247" t="s">
        <v>258</v>
      </c>
      <c r="B27" s="247"/>
      <c r="C27" s="247"/>
      <c r="D27" s="247"/>
      <c r="E27" s="249"/>
      <c r="F27" s="248" t="n">
        <v>2722.23</v>
      </c>
      <c r="G27" s="249"/>
      <c r="H27" s="248" t="n">
        <v>2722.23</v>
      </c>
    </row>
    <row r="28" s="236" customFormat="true" ht="12" hidden="true" customHeight="true" outlineLevel="4" collapsed="false">
      <c r="A28" s="247" t="s">
        <v>259</v>
      </c>
      <c r="B28" s="247"/>
      <c r="C28" s="247"/>
      <c r="D28" s="247"/>
      <c r="E28" s="249"/>
      <c r="F28" s="249"/>
      <c r="G28" s="248" t="n">
        <v>16333.41</v>
      </c>
      <c r="H28" s="248" t="n">
        <v>2722.23</v>
      </c>
    </row>
    <row r="29" s="236" customFormat="true" ht="12" hidden="true" customHeight="true" outlineLevel="4" collapsed="false">
      <c r="A29" s="247" t="s">
        <v>260</v>
      </c>
      <c r="B29" s="247"/>
      <c r="C29" s="247"/>
      <c r="D29" s="247"/>
      <c r="E29" s="248" t="n">
        <v>-16333.41</v>
      </c>
      <c r="F29" s="249"/>
      <c r="G29" s="248" t="n">
        <v>-16333.41</v>
      </c>
      <c r="H29" s="249"/>
    </row>
    <row r="30" s="236" customFormat="true" ht="12" hidden="true" customHeight="true" outlineLevel="4" collapsed="false">
      <c r="A30" s="247" t="s">
        <v>261</v>
      </c>
      <c r="B30" s="247"/>
      <c r="C30" s="247"/>
      <c r="D30" s="247"/>
      <c r="E30" s="248" t="n">
        <v>16333.41</v>
      </c>
      <c r="F30" s="248" t="n">
        <v>2722.23</v>
      </c>
      <c r="G30" s="249"/>
      <c r="H30" s="249"/>
    </row>
    <row r="31" customFormat="false" ht="12" hidden="false" customHeight="true" outlineLevel="2" collapsed="false">
      <c r="A31" s="245" t="s">
        <v>41</v>
      </c>
      <c r="B31" s="245"/>
      <c r="C31" s="245"/>
      <c r="D31" s="245"/>
      <c r="E31" s="246" t="n">
        <v>139000</v>
      </c>
      <c r="F31" s="246" t="n">
        <v>23166.68</v>
      </c>
      <c r="G31" s="246" t="n">
        <v>139000</v>
      </c>
      <c r="H31" s="246" t="n">
        <v>23166.66</v>
      </c>
    </row>
    <row r="32" customFormat="false" ht="12" hidden="false" customHeight="true" outlineLevel="3" collapsed="false">
      <c r="A32" s="247" t="s">
        <v>262</v>
      </c>
      <c r="B32" s="247"/>
      <c r="C32" s="247"/>
      <c r="D32" s="247"/>
      <c r="E32" s="248" t="n">
        <v>69000</v>
      </c>
      <c r="F32" s="248" t="n">
        <v>11499.99</v>
      </c>
      <c r="G32" s="248" t="n">
        <v>69000</v>
      </c>
      <c r="H32" s="248" t="n">
        <v>11499.99</v>
      </c>
    </row>
    <row r="33" s="236" customFormat="true" ht="12" hidden="true" customHeight="true" outlineLevel="4" collapsed="false">
      <c r="A33" s="247" t="s">
        <v>263</v>
      </c>
      <c r="B33" s="247"/>
      <c r="C33" s="247"/>
      <c r="D33" s="247"/>
      <c r="E33" s="248" t="n">
        <v>23000</v>
      </c>
      <c r="F33" s="248" t="n">
        <v>3833.33</v>
      </c>
      <c r="G33" s="249"/>
      <c r="H33" s="249"/>
    </row>
    <row r="34" s="236" customFormat="true" ht="12" hidden="true" customHeight="true" outlineLevel="4" collapsed="false">
      <c r="A34" s="247" t="s">
        <v>264</v>
      </c>
      <c r="B34" s="247"/>
      <c r="C34" s="247"/>
      <c r="D34" s="247"/>
      <c r="E34" s="248" t="n">
        <v>23000</v>
      </c>
      <c r="F34" s="248" t="n">
        <v>3833.33</v>
      </c>
      <c r="G34" s="249"/>
      <c r="H34" s="249"/>
    </row>
    <row r="35" s="236" customFormat="true" ht="12" hidden="true" customHeight="true" outlineLevel="4" collapsed="false">
      <c r="A35" s="247" t="s">
        <v>265</v>
      </c>
      <c r="B35" s="247"/>
      <c r="C35" s="247"/>
      <c r="D35" s="247"/>
      <c r="E35" s="248" t="n">
        <v>23000</v>
      </c>
      <c r="F35" s="248" t="n">
        <v>3833.33</v>
      </c>
      <c r="G35" s="249"/>
      <c r="H35" s="249"/>
    </row>
    <row r="36" s="236" customFormat="true" ht="12" hidden="true" customHeight="true" outlineLevel="4" collapsed="false">
      <c r="A36" s="247" t="s">
        <v>266</v>
      </c>
      <c r="B36" s="247"/>
      <c r="C36" s="247"/>
      <c r="D36" s="247"/>
      <c r="E36" s="249"/>
      <c r="F36" s="249"/>
      <c r="G36" s="248" t="n">
        <v>23000</v>
      </c>
      <c r="H36" s="248" t="n">
        <v>3833.33</v>
      </c>
    </row>
    <row r="37" s="236" customFormat="true" ht="12" hidden="true" customHeight="true" outlineLevel="4" collapsed="false">
      <c r="A37" s="247" t="s">
        <v>267</v>
      </c>
      <c r="B37" s="247"/>
      <c r="C37" s="247"/>
      <c r="D37" s="247"/>
      <c r="E37" s="249"/>
      <c r="F37" s="249"/>
      <c r="G37" s="248" t="n">
        <v>23000</v>
      </c>
      <c r="H37" s="248" t="n">
        <v>3833.33</v>
      </c>
    </row>
    <row r="38" s="236" customFormat="true" ht="12" hidden="true" customHeight="true" outlineLevel="4" collapsed="false">
      <c r="A38" s="247" t="s">
        <v>268</v>
      </c>
      <c r="B38" s="247"/>
      <c r="C38" s="247"/>
      <c r="D38" s="247"/>
      <c r="E38" s="249"/>
      <c r="F38" s="249"/>
      <c r="G38" s="248" t="n">
        <v>23000</v>
      </c>
      <c r="H38" s="248" t="n">
        <v>3833.33</v>
      </c>
    </row>
    <row r="39" customFormat="false" ht="12" hidden="false" customHeight="true" outlineLevel="3" collapsed="true">
      <c r="A39" s="247" t="s">
        <v>269</v>
      </c>
      <c r="B39" s="247"/>
      <c r="C39" s="247"/>
      <c r="D39" s="247"/>
      <c r="E39" s="248" t="n">
        <v>70000</v>
      </c>
      <c r="F39" s="248" t="n">
        <v>11666.69</v>
      </c>
      <c r="G39" s="248" t="n">
        <v>70000</v>
      </c>
      <c r="H39" s="248" t="n">
        <v>11666.67</v>
      </c>
    </row>
    <row r="40" s="236" customFormat="true" ht="12" hidden="true" customHeight="true" outlineLevel="4" collapsed="false">
      <c r="A40" s="247" t="s">
        <v>270</v>
      </c>
      <c r="B40" s="247"/>
      <c r="C40" s="247"/>
      <c r="D40" s="247"/>
      <c r="E40" s="249"/>
      <c r="F40" s="249"/>
      <c r="G40" s="248" t="n">
        <v>30000</v>
      </c>
      <c r="H40" s="248" t="n">
        <v>5000</v>
      </c>
    </row>
    <row r="41" s="236" customFormat="true" ht="12" hidden="true" customHeight="true" outlineLevel="4" collapsed="false">
      <c r="A41" s="247" t="s">
        <v>271</v>
      </c>
      <c r="B41" s="247"/>
      <c r="C41" s="247"/>
      <c r="D41" s="247"/>
      <c r="E41" s="249"/>
      <c r="F41" s="249"/>
      <c r="G41" s="248" t="n">
        <v>40000</v>
      </c>
      <c r="H41" s="248" t="n">
        <v>6666.67</v>
      </c>
    </row>
    <row r="42" s="236" customFormat="true" ht="12" hidden="true" customHeight="true" outlineLevel="4" collapsed="false">
      <c r="A42" s="247" t="s">
        <v>272</v>
      </c>
      <c r="B42" s="247"/>
      <c r="C42" s="247"/>
      <c r="D42" s="247"/>
      <c r="E42" s="248" t="n">
        <v>10000</v>
      </c>
      <c r="F42" s="248" t="n">
        <v>1666.67</v>
      </c>
      <c r="G42" s="249"/>
      <c r="H42" s="249"/>
    </row>
    <row r="43" s="236" customFormat="true" ht="12" hidden="true" customHeight="true" outlineLevel="4" collapsed="false">
      <c r="A43" s="247" t="s">
        <v>273</v>
      </c>
      <c r="B43" s="247"/>
      <c r="C43" s="247"/>
      <c r="D43" s="247"/>
      <c r="E43" s="248" t="n">
        <v>10000</v>
      </c>
      <c r="F43" s="248" t="n">
        <v>1666.67</v>
      </c>
      <c r="G43" s="249"/>
      <c r="H43" s="249"/>
    </row>
    <row r="44" s="236" customFormat="true" ht="12" hidden="true" customHeight="true" outlineLevel="4" collapsed="false">
      <c r="A44" s="247" t="s">
        <v>274</v>
      </c>
      <c r="B44" s="247"/>
      <c r="C44" s="247"/>
      <c r="D44" s="247"/>
      <c r="E44" s="248" t="n">
        <v>10000</v>
      </c>
      <c r="F44" s="248" t="n">
        <v>1666.67</v>
      </c>
      <c r="G44" s="249"/>
      <c r="H44" s="249"/>
    </row>
    <row r="45" s="236" customFormat="true" ht="12" hidden="true" customHeight="true" outlineLevel="4" collapsed="false">
      <c r="A45" s="247" t="s">
        <v>275</v>
      </c>
      <c r="B45" s="247"/>
      <c r="C45" s="247"/>
      <c r="D45" s="247"/>
      <c r="E45" s="248" t="n">
        <v>10000</v>
      </c>
      <c r="F45" s="248" t="n">
        <v>1666.67</v>
      </c>
      <c r="G45" s="249"/>
      <c r="H45" s="249"/>
    </row>
    <row r="46" s="236" customFormat="true" ht="12" hidden="true" customHeight="true" outlineLevel="4" collapsed="false">
      <c r="A46" s="247" t="s">
        <v>276</v>
      </c>
      <c r="B46" s="247"/>
      <c r="C46" s="247"/>
      <c r="D46" s="247"/>
      <c r="E46" s="248" t="n">
        <v>10000</v>
      </c>
      <c r="F46" s="248" t="n">
        <v>1666.67</v>
      </c>
      <c r="G46" s="249"/>
      <c r="H46" s="249"/>
    </row>
    <row r="47" s="236" customFormat="true" ht="12" hidden="true" customHeight="true" outlineLevel="4" collapsed="false">
      <c r="A47" s="247" t="s">
        <v>277</v>
      </c>
      <c r="B47" s="247"/>
      <c r="C47" s="247"/>
      <c r="D47" s="247"/>
      <c r="E47" s="248" t="n">
        <v>10000</v>
      </c>
      <c r="F47" s="248" t="n">
        <v>1666.67</v>
      </c>
      <c r="G47" s="249"/>
      <c r="H47" s="249"/>
    </row>
    <row r="48" s="236" customFormat="true" ht="12" hidden="true" customHeight="true" outlineLevel="4" collapsed="false">
      <c r="A48" s="247" t="s">
        <v>278</v>
      </c>
      <c r="B48" s="247"/>
      <c r="C48" s="247"/>
      <c r="D48" s="247"/>
      <c r="E48" s="248" t="n">
        <v>10000</v>
      </c>
      <c r="F48" s="248" t="n">
        <v>1666.67</v>
      </c>
      <c r="G48" s="249"/>
      <c r="H48" s="249"/>
    </row>
    <row r="49" customFormat="false" ht="12" hidden="false" customHeight="true" outlineLevel="2" collapsed="false">
      <c r="A49" s="245" t="s">
        <v>279</v>
      </c>
      <c r="B49" s="245"/>
      <c r="C49" s="245"/>
      <c r="D49" s="245"/>
      <c r="E49" s="246" t="n">
        <v>15552.66</v>
      </c>
      <c r="F49" s="251"/>
      <c r="G49" s="246" t="n">
        <v>15552.66</v>
      </c>
      <c r="H49" s="251"/>
    </row>
    <row r="50" customFormat="false" ht="12" hidden="false" customHeight="true" outlineLevel="3" collapsed="false">
      <c r="A50" s="247" t="s">
        <v>280</v>
      </c>
      <c r="B50" s="247"/>
      <c r="C50" s="247"/>
      <c r="D50" s="247"/>
      <c r="E50" s="248" t="n">
        <v>15552.66</v>
      </c>
      <c r="F50" s="249"/>
      <c r="G50" s="248" t="n">
        <v>15552.66</v>
      </c>
      <c r="H50" s="249"/>
    </row>
    <row r="51" s="236" customFormat="true" ht="12" hidden="true" customHeight="true" outlineLevel="4" collapsed="false">
      <c r="A51" s="247" t="s">
        <v>281</v>
      </c>
      <c r="B51" s="247"/>
      <c r="C51" s="247"/>
      <c r="D51" s="247"/>
      <c r="E51" s="250" t="n">
        <v>248.86</v>
      </c>
      <c r="F51" s="249"/>
      <c r="G51" s="250" t="n">
        <v>248.86</v>
      </c>
      <c r="H51" s="249"/>
    </row>
    <row r="52" s="236" customFormat="true" ht="12" hidden="true" customHeight="true" outlineLevel="4" collapsed="false">
      <c r="A52" s="247" t="s">
        <v>282</v>
      </c>
      <c r="B52" s="247"/>
      <c r="C52" s="247"/>
      <c r="D52" s="247"/>
      <c r="E52" s="250" t="n">
        <v>252.58</v>
      </c>
      <c r="F52" s="249"/>
      <c r="G52" s="250" t="n">
        <v>252.58</v>
      </c>
      <c r="H52" s="249"/>
    </row>
    <row r="53" s="236" customFormat="true" ht="12" hidden="true" customHeight="true" outlineLevel="4" collapsed="false">
      <c r="A53" s="247" t="s">
        <v>283</v>
      </c>
      <c r="B53" s="247"/>
      <c r="C53" s="247"/>
      <c r="D53" s="247"/>
      <c r="E53" s="248" t="n">
        <v>7650.72</v>
      </c>
      <c r="F53" s="249"/>
      <c r="G53" s="248" t="n">
        <v>7650.72</v>
      </c>
      <c r="H53" s="249"/>
    </row>
    <row r="54" s="236" customFormat="true" ht="12" hidden="true" customHeight="true" outlineLevel="4" collapsed="false">
      <c r="A54" s="247" t="s">
        <v>284</v>
      </c>
      <c r="B54" s="247"/>
      <c r="C54" s="247"/>
      <c r="D54" s="247"/>
      <c r="E54" s="248" t="n">
        <v>7155.06</v>
      </c>
      <c r="F54" s="249"/>
      <c r="G54" s="248" t="n">
        <v>7155.06</v>
      </c>
      <c r="H54" s="249"/>
    </row>
    <row r="55" s="236" customFormat="true" ht="12" hidden="true" customHeight="true" outlineLevel="4" collapsed="false">
      <c r="A55" s="247" t="s">
        <v>285</v>
      </c>
      <c r="B55" s="247"/>
      <c r="C55" s="247"/>
      <c r="D55" s="247"/>
      <c r="E55" s="250" t="n">
        <v>245.44</v>
      </c>
      <c r="F55" s="249"/>
      <c r="G55" s="250" t="n">
        <v>245.44</v>
      </c>
      <c r="H55" s="249"/>
    </row>
    <row r="56" customFormat="false" ht="12" hidden="false" customHeight="true" outlineLevel="2" collapsed="false">
      <c r="A56" s="245" t="s">
        <v>286</v>
      </c>
      <c r="B56" s="245"/>
      <c r="C56" s="245"/>
      <c r="D56" s="245"/>
      <c r="E56" s="246" t="n">
        <v>100391.07</v>
      </c>
      <c r="F56" s="246" t="n">
        <v>16731.87</v>
      </c>
      <c r="G56" s="246" t="n">
        <v>100391.07</v>
      </c>
      <c r="H56" s="246" t="n">
        <v>16731.9</v>
      </c>
    </row>
    <row r="57" customFormat="false" ht="12" hidden="false" customHeight="true" outlineLevel="3" collapsed="false">
      <c r="A57" s="247" t="s">
        <v>287</v>
      </c>
      <c r="B57" s="247"/>
      <c r="C57" s="247"/>
      <c r="D57" s="247"/>
      <c r="E57" s="250" t="n">
        <v>400</v>
      </c>
      <c r="F57" s="250" t="n">
        <v>66.67</v>
      </c>
      <c r="G57" s="250" t="n">
        <v>400</v>
      </c>
      <c r="H57" s="250" t="n">
        <v>66.67</v>
      </c>
    </row>
    <row r="58" s="236" customFormat="true" ht="12" hidden="true" customHeight="true" outlineLevel="4" collapsed="false">
      <c r="A58" s="247" t="s">
        <v>288</v>
      </c>
      <c r="B58" s="247"/>
      <c r="C58" s="247"/>
      <c r="D58" s="247"/>
      <c r="E58" s="249"/>
      <c r="F58" s="249"/>
      <c r="G58" s="250" t="n">
        <v>400</v>
      </c>
      <c r="H58" s="250" t="n">
        <v>66.67</v>
      </c>
    </row>
    <row r="59" s="236" customFormat="true" ht="12" hidden="true" customHeight="true" outlineLevel="4" collapsed="false">
      <c r="A59" s="247" t="s">
        <v>289</v>
      </c>
      <c r="B59" s="247"/>
      <c r="C59" s="247"/>
      <c r="D59" s="247"/>
      <c r="E59" s="250" t="n">
        <v>400</v>
      </c>
      <c r="F59" s="250" t="n">
        <v>66.67</v>
      </c>
      <c r="G59" s="249"/>
      <c r="H59" s="249"/>
    </row>
    <row r="60" customFormat="false" ht="12" hidden="false" customHeight="true" outlineLevel="3" collapsed="true">
      <c r="A60" s="247" t="s">
        <v>290</v>
      </c>
      <c r="B60" s="247"/>
      <c r="C60" s="247"/>
      <c r="D60" s="247"/>
      <c r="E60" s="248" t="n">
        <v>2500</v>
      </c>
      <c r="F60" s="250" t="n">
        <v>416.67</v>
      </c>
      <c r="G60" s="248" t="n">
        <v>2500</v>
      </c>
      <c r="H60" s="250" t="n">
        <v>416.67</v>
      </c>
    </row>
    <row r="61" s="236" customFormat="true" ht="12" hidden="true" customHeight="true" outlineLevel="4" collapsed="false">
      <c r="A61" s="247" t="s">
        <v>291</v>
      </c>
      <c r="B61" s="247"/>
      <c r="C61" s="247"/>
      <c r="D61" s="247"/>
      <c r="E61" s="248" t="n">
        <v>2500</v>
      </c>
      <c r="F61" s="250" t="n">
        <v>416.67</v>
      </c>
      <c r="G61" s="249"/>
      <c r="H61" s="249"/>
    </row>
    <row r="62" s="236" customFormat="true" ht="12" hidden="true" customHeight="true" outlineLevel="4" collapsed="false">
      <c r="A62" s="247" t="s">
        <v>292</v>
      </c>
      <c r="B62" s="247"/>
      <c r="C62" s="247"/>
      <c r="D62" s="247"/>
      <c r="E62" s="249"/>
      <c r="F62" s="249"/>
      <c r="G62" s="248" t="n">
        <v>2500</v>
      </c>
      <c r="H62" s="250" t="n">
        <v>416.67</v>
      </c>
    </row>
    <row r="63" customFormat="false" ht="12" hidden="false" customHeight="true" outlineLevel="3" collapsed="true">
      <c r="A63" s="247" t="s">
        <v>293</v>
      </c>
      <c r="B63" s="247"/>
      <c r="C63" s="247"/>
      <c r="D63" s="247"/>
      <c r="E63" s="248" t="n">
        <v>7500</v>
      </c>
      <c r="F63" s="248" t="n">
        <v>1250.01</v>
      </c>
      <c r="G63" s="248" t="n">
        <v>7500</v>
      </c>
      <c r="H63" s="248" t="n">
        <v>1250.01</v>
      </c>
    </row>
    <row r="64" s="236" customFormat="true" ht="12" hidden="true" customHeight="true" outlineLevel="4" collapsed="false">
      <c r="A64" s="247" t="s">
        <v>294</v>
      </c>
      <c r="B64" s="247"/>
      <c r="C64" s="247"/>
      <c r="D64" s="247"/>
      <c r="E64" s="249"/>
      <c r="F64" s="249"/>
      <c r="G64" s="248" t="n">
        <v>2500</v>
      </c>
      <c r="H64" s="250" t="n">
        <v>416.67</v>
      </c>
    </row>
    <row r="65" s="236" customFormat="true" ht="12" hidden="true" customHeight="true" outlineLevel="4" collapsed="false">
      <c r="A65" s="247" t="s">
        <v>295</v>
      </c>
      <c r="B65" s="247"/>
      <c r="C65" s="247"/>
      <c r="D65" s="247"/>
      <c r="E65" s="249"/>
      <c r="F65" s="249"/>
      <c r="G65" s="248" t="n">
        <v>2500</v>
      </c>
      <c r="H65" s="250" t="n">
        <v>416.67</v>
      </c>
    </row>
    <row r="66" s="236" customFormat="true" ht="12" hidden="true" customHeight="true" outlineLevel="4" collapsed="false">
      <c r="A66" s="247" t="s">
        <v>296</v>
      </c>
      <c r="B66" s="247"/>
      <c r="C66" s="247"/>
      <c r="D66" s="247"/>
      <c r="E66" s="249"/>
      <c r="F66" s="249"/>
      <c r="G66" s="248" t="n">
        <v>2500</v>
      </c>
      <c r="H66" s="250" t="n">
        <v>416.67</v>
      </c>
    </row>
    <row r="67" s="236" customFormat="true" ht="12" hidden="true" customHeight="true" outlineLevel="4" collapsed="false">
      <c r="A67" s="247" t="s">
        <v>297</v>
      </c>
      <c r="B67" s="247"/>
      <c r="C67" s="247"/>
      <c r="D67" s="247"/>
      <c r="E67" s="248" t="n">
        <v>2500</v>
      </c>
      <c r="F67" s="250" t="n">
        <v>416.67</v>
      </c>
      <c r="G67" s="249"/>
      <c r="H67" s="249"/>
    </row>
    <row r="68" s="236" customFormat="true" ht="12" hidden="true" customHeight="true" outlineLevel="4" collapsed="false">
      <c r="A68" s="247" t="s">
        <v>298</v>
      </c>
      <c r="B68" s="247"/>
      <c r="C68" s="247"/>
      <c r="D68" s="247"/>
      <c r="E68" s="248" t="n">
        <v>2500</v>
      </c>
      <c r="F68" s="250" t="n">
        <v>416.67</v>
      </c>
      <c r="G68" s="249"/>
      <c r="H68" s="249"/>
    </row>
    <row r="69" s="236" customFormat="true" ht="12" hidden="true" customHeight="true" outlineLevel="4" collapsed="false">
      <c r="A69" s="247" t="s">
        <v>299</v>
      </c>
      <c r="B69" s="247"/>
      <c r="C69" s="247"/>
      <c r="D69" s="247"/>
      <c r="E69" s="248" t="n">
        <v>2500</v>
      </c>
      <c r="F69" s="250" t="n">
        <v>416.67</v>
      </c>
      <c r="G69" s="249"/>
      <c r="H69" s="249"/>
    </row>
    <row r="70" customFormat="false" ht="12" hidden="false" customHeight="true" outlineLevel="3" collapsed="true">
      <c r="A70" s="247" t="s">
        <v>300</v>
      </c>
      <c r="B70" s="247"/>
      <c r="C70" s="247"/>
      <c r="D70" s="247"/>
      <c r="E70" s="248" t="n">
        <v>9100</v>
      </c>
      <c r="F70" s="248" t="n">
        <v>1516.67</v>
      </c>
      <c r="G70" s="248" t="n">
        <v>9100</v>
      </c>
      <c r="H70" s="248" t="n">
        <v>1516.67</v>
      </c>
    </row>
    <row r="71" s="236" customFormat="true" ht="12" hidden="true" customHeight="true" outlineLevel="4" collapsed="false">
      <c r="A71" s="247" t="s">
        <v>301</v>
      </c>
      <c r="B71" s="247"/>
      <c r="C71" s="247"/>
      <c r="D71" s="247"/>
      <c r="E71" s="248" t="n">
        <v>4900</v>
      </c>
      <c r="F71" s="250" t="n">
        <v>816.67</v>
      </c>
      <c r="G71" s="249"/>
      <c r="H71" s="249"/>
    </row>
    <row r="72" s="236" customFormat="true" ht="12" hidden="true" customHeight="true" outlineLevel="4" collapsed="false">
      <c r="A72" s="247" t="s">
        <v>302</v>
      </c>
      <c r="B72" s="247"/>
      <c r="C72" s="247"/>
      <c r="D72" s="247"/>
      <c r="E72" s="248" t="n">
        <v>4200</v>
      </c>
      <c r="F72" s="250" t="n">
        <v>700</v>
      </c>
      <c r="G72" s="249"/>
      <c r="H72" s="249"/>
    </row>
    <row r="73" s="236" customFormat="true" ht="12" hidden="true" customHeight="true" outlineLevel="4" collapsed="false">
      <c r="A73" s="247" t="s">
        <v>303</v>
      </c>
      <c r="B73" s="247"/>
      <c r="C73" s="247"/>
      <c r="D73" s="247"/>
      <c r="E73" s="249"/>
      <c r="F73" s="249"/>
      <c r="G73" s="248" t="n">
        <v>4200</v>
      </c>
      <c r="H73" s="250" t="n">
        <v>700</v>
      </c>
    </row>
    <row r="74" s="236" customFormat="true" ht="12" hidden="true" customHeight="true" outlineLevel="4" collapsed="false">
      <c r="A74" s="247" t="s">
        <v>304</v>
      </c>
      <c r="B74" s="247"/>
      <c r="C74" s="247"/>
      <c r="D74" s="247"/>
      <c r="E74" s="249"/>
      <c r="F74" s="249"/>
      <c r="G74" s="248" t="n">
        <v>4900</v>
      </c>
      <c r="H74" s="250" t="n">
        <v>816.67</v>
      </c>
    </row>
    <row r="75" customFormat="false" ht="12" hidden="false" customHeight="true" outlineLevel="3" collapsed="true">
      <c r="A75" s="247" t="s">
        <v>305</v>
      </c>
      <c r="B75" s="247"/>
      <c r="C75" s="247"/>
      <c r="D75" s="247"/>
      <c r="E75" s="248" t="n">
        <v>46291.08</v>
      </c>
      <c r="F75" s="248" t="n">
        <v>7715.18</v>
      </c>
      <c r="G75" s="248" t="n">
        <v>46291.08</v>
      </c>
      <c r="H75" s="248" t="n">
        <v>7715.18</v>
      </c>
    </row>
    <row r="76" s="236" customFormat="true" ht="12" hidden="true" customHeight="true" outlineLevel="4" collapsed="false">
      <c r="A76" s="247" t="s">
        <v>306</v>
      </c>
      <c r="B76" s="247"/>
      <c r="C76" s="247"/>
      <c r="D76" s="247"/>
      <c r="E76" s="249"/>
      <c r="F76" s="249"/>
      <c r="G76" s="248" t="n">
        <v>13450.02</v>
      </c>
      <c r="H76" s="248" t="n">
        <v>2241.67</v>
      </c>
    </row>
    <row r="77" s="236" customFormat="true" ht="12" hidden="true" customHeight="true" outlineLevel="4" collapsed="false">
      <c r="A77" s="247" t="s">
        <v>307</v>
      </c>
      <c r="B77" s="247"/>
      <c r="C77" s="247"/>
      <c r="D77" s="247"/>
      <c r="E77" s="249"/>
      <c r="F77" s="249"/>
      <c r="G77" s="248" t="n">
        <v>2740.02</v>
      </c>
      <c r="H77" s="250" t="n">
        <v>456.67</v>
      </c>
    </row>
    <row r="78" s="236" customFormat="true" ht="12" hidden="true" customHeight="true" outlineLevel="4" collapsed="false">
      <c r="A78" s="247" t="s">
        <v>308</v>
      </c>
      <c r="B78" s="247"/>
      <c r="C78" s="247"/>
      <c r="D78" s="247"/>
      <c r="E78" s="249"/>
      <c r="F78" s="249"/>
      <c r="G78" s="248" t="n">
        <v>3300</v>
      </c>
      <c r="H78" s="250" t="n">
        <v>550</v>
      </c>
    </row>
    <row r="79" s="236" customFormat="true" ht="12" hidden="true" customHeight="true" outlineLevel="4" collapsed="false">
      <c r="A79" s="247" t="s">
        <v>309</v>
      </c>
      <c r="B79" s="247"/>
      <c r="C79" s="247"/>
      <c r="D79" s="247"/>
      <c r="E79" s="249"/>
      <c r="F79" s="249"/>
      <c r="G79" s="248" t="n">
        <v>5299.98</v>
      </c>
      <c r="H79" s="250" t="n">
        <v>883.33</v>
      </c>
    </row>
    <row r="80" s="236" customFormat="true" ht="12" hidden="true" customHeight="true" outlineLevel="4" collapsed="false">
      <c r="A80" s="247" t="s">
        <v>310</v>
      </c>
      <c r="B80" s="247"/>
      <c r="C80" s="247"/>
      <c r="D80" s="247"/>
      <c r="E80" s="249"/>
      <c r="F80" s="249"/>
      <c r="G80" s="248" t="n">
        <v>3600</v>
      </c>
      <c r="H80" s="250" t="n">
        <v>600</v>
      </c>
    </row>
    <row r="81" s="236" customFormat="true" ht="12" hidden="true" customHeight="true" outlineLevel="4" collapsed="false">
      <c r="A81" s="247" t="s">
        <v>311</v>
      </c>
      <c r="B81" s="247"/>
      <c r="C81" s="247"/>
      <c r="D81" s="247"/>
      <c r="E81" s="249"/>
      <c r="F81" s="249"/>
      <c r="G81" s="248" t="n">
        <v>3600</v>
      </c>
      <c r="H81" s="250" t="n">
        <v>600</v>
      </c>
    </row>
    <row r="82" s="236" customFormat="true" ht="12" hidden="true" customHeight="true" outlineLevel="4" collapsed="false">
      <c r="A82" s="247" t="s">
        <v>312</v>
      </c>
      <c r="B82" s="247"/>
      <c r="C82" s="247"/>
      <c r="D82" s="247"/>
      <c r="E82" s="249"/>
      <c r="F82" s="249"/>
      <c r="G82" s="248" t="n">
        <v>2401.02</v>
      </c>
      <c r="H82" s="250" t="n">
        <v>400.17</v>
      </c>
    </row>
    <row r="83" s="236" customFormat="true" ht="12" hidden="true" customHeight="true" outlineLevel="4" collapsed="false">
      <c r="A83" s="247" t="s">
        <v>313</v>
      </c>
      <c r="B83" s="247"/>
      <c r="C83" s="247"/>
      <c r="D83" s="247"/>
      <c r="E83" s="249"/>
      <c r="F83" s="249"/>
      <c r="G83" s="248" t="n">
        <v>9400.02</v>
      </c>
      <c r="H83" s="248" t="n">
        <v>1566.67</v>
      </c>
    </row>
    <row r="84" s="236" customFormat="true" ht="12" hidden="true" customHeight="true" outlineLevel="4" collapsed="false">
      <c r="A84" s="247" t="s">
        <v>314</v>
      </c>
      <c r="B84" s="247"/>
      <c r="C84" s="247"/>
      <c r="D84" s="247"/>
      <c r="E84" s="249"/>
      <c r="F84" s="249"/>
      <c r="G84" s="248" t="n">
        <v>2500.02</v>
      </c>
      <c r="H84" s="250" t="n">
        <v>416.67</v>
      </c>
    </row>
    <row r="85" s="236" customFormat="true" ht="12" hidden="true" customHeight="true" outlineLevel="4" collapsed="false">
      <c r="A85" s="247" t="s">
        <v>315</v>
      </c>
      <c r="B85" s="247"/>
      <c r="C85" s="247"/>
      <c r="D85" s="247"/>
      <c r="E85" s="248" t="n">
        <v>2740.02</v>
      </c>
      <c r="F85" s="250" t="n">
        <v>456.67</v>
      </c>
      <c r="G85" s="249"/>
      <c r="H85" s="249"/>
    </row>
    <row r="86" s="236" customFormat="true" ht="12" hidden="true" customHeight="true" outlineLevel="4" collapsed="false">
      <c r="A86" s="247" t="s">
        <v>316</v>
      </c>
      <c r="B86" s="247"/>
      <c r="C86" s="247"/>
      <c r="D86" s="247"/>
      <c r="E86" s="248" t="n">
        <v>3300</v>
      </c>
      <c r="F86" s="250" t="n">
        <v>550</v>
      </c>
      <c r="G86" s="249"/>
      <c r="H86" s="249"/>
    </row>
    <row r="87" s="236" customFormat="true" ht="12" hidden="true" customHeight="true" outlineLevel="4" collapsed="false">
      <c r="A87" s="247" t="s">
        <v>317</v>
      </c>
      <c r="B87" s="247"/>
      <c r="C87" s="247"/>
      <c r="D87" s="247"/>
      <c r="E87" s="248" t="n">
        <v>5299.98</v>
      </c>
      <c r="F87" s="250" t="n">
        <v>883.33</v>
      </c>
      <c r="G87" s="249"/>
      <c r="H87" s="249"/>
    </row>
    <row r="88" s="236" customFormat="true" ht="12" hidden="true" customHeight="true" outlineLevel="4" collapsed="false">
      <c r="A88" s="247" t="s">
        <v>318</v>
      </c>
      <c r="B88" s="247"/>
      <c r="C88" s="247"/>
      <c r="D88" s="247"/>
      <c r="E88" s="248" t="n">
        <v>13450.02</v>
      </c>
      <c r="F88" s="248" t="n">
        <v>2241.67</v>
      </c>
      <c r="G88" s="249"/>
      <c r="H88" s="249"/>
    </row>
    <row r="89" s="236" customFormat="true" ht="12" hidden="true" customHeight="true" outlineLevel="4" collapsed="false">
      <c r="A89" s="247" t="s">
        <v>319</v>
      </c>
      <c r="B89" s="247"/>
      <c r="C89" s="247"/>
      <c r="D89" s="247"/>
      <c r="E89" s="248" t="n">
        <v>3600</v>
      </c>
      <c r="F89" s="250" t="n">
        <v>600</v>
      </c>
      <c r="G89" s="249"/>
      <c r="H89" s="249"/>
    </row>
    <row r="90" s="236" customFormat="true" ht="12" hidden="true" customHeight="true" outlineLevel="4" collapsed="false">
      <c r="A90" s="247" t="s">
        <v>320</v>
      </c>
      <c r="B90" s="247"/>
      <c r="C90" s="247"/>
      <c r="D90" s="247"/>
      <c r="E90" s="248" t="n">
        <v>3600</v>
      </c>
      <c r="F90" s="250" t="n">
        <v>600</v>
      </c>
      <c r="G90" s="249"/>
      <c r="H90" s="249"/>
    </row>
    <row r="91" s="236" customFormat="true" ht="12" hidden="true" customHeight="true" outlineLevel="4" collapsed="false">
      <c r="A91" s="247" t="s">
        <v>321</v>
      </c>
      <c r="B91" s="247"/>
      <c r="C91" s="247"/>
      <c r="D91" s="247"/>
      <c r="E91" s="248" t="n">
        <v>9400.02</v>
      </c>
      <c r="F91" s="248" t="n">
        <v>1566.67</v>
      </c>
      <c r="G91" s="249"/>
      <c r="H91" s="249"/>
    </row>
    <row r="92" s="236" customFormat="true" ht="12" hidden="true" customHeight="true" outlineLevel="4" collapsed="false">
      <c r="A92" s="247" t="s">
        <v>322</v>
      </c>
      <c r="B92" s="247"/>
      <c r="C92" s="247"/>
      <c r="D92" s="247"/>
      <c r="E92" s="248" t="n">
        <v>2401.02</v>
      </c>
      <c r="F92" s="250" t="n">
        <v>400.17</v>
      </c>
      <c r="G92" s="249"/>
      <c r="H92" s="249"/>
    </row>
    <row r="93" s="236" customFormat="true" ht="12" hidden="true" customHeight="true" outlineLevel="4" collapsed="false">
      <c r="A93" s="247" t="s">
        <v>323</v>
      </c>
      <c r="B93" s="247"/>
      <c r="C93" s="247"/>
      <c r="D93" s="247"/>
      <c r="E93" s="248" t="n">
        <v>2500.02</v>
      </c>
      <c r="F93" s="250" t="n">
        <v>416.67</v>
      </c>
      <c r="G93" s="249"/>
      <c r="H93" s="249"/>
    </row>
    <row r="94" customFormat="false" ht="12" hidden="false" customHeight="true" outlineLevel="3" collapsed="true">
      <c r="A94" s="247" t="s">
        <v>249</v>
      </c>
      <c r="B94" s="247"/>
      <c r="C94" s="247"/>
      <c r="D94" s="247"/>
      <c r="E94" s="248" t="n">
        <v>18600</v>
      </c>
      <c r="F94" s="248" t="n">
        <v>3100</v>
      </c>
      <c r="G94" s="248" t="n">
        <v>18600</v>
      </c>
      <c r="H94" s="248" t="n">
        <v>3100</v>
      </c>
    </row>
    <row r="95" s="236" customFormat="true" ht="12" hidden="true" customHeight="true" outlineLevel="4" collapsed="false">
      <c r="A95" s="247" t="s">
        <v>252</v>
      </c>
      <c r="B95" s="247"/>
      <c r="C95" s="247"/>
      <c r="D95" s="247"/>
      <c r="E95" s="248" t="n">
        <v>6300</v>
      </c>
      <c r="F95" s="248" t="n">
        <v>1050</v>
      </c>
      <c r="G95" s="249"/>
      <c r="H95" s="249"/>
    </row>
    <row r="96" s="236" customFormat="true" ht="12" hidden="true" customHeight="true" outlineLevel="4" collapsed="false">
      <c r="A96" s="247" t="s">
        <v>253</v>
      </c>
      <c r="B96" s="247"/>
      <c r="C96" s="247"/>
      <c r="D96" s="247"/>
      <c r="E96" s="248" t="n">
        <v>12300</v>
      </c>
      <c r="F96" s="248" t="n">
        <v>2050</v>
      </c>
      <c r="G96" s="249"/>
      <c r="H96" s="249"/>
    </row>
    <row r="97" s="236" customFormat="true" ht="12" hidden="true" customHeight="true" outlineLevel="4" collapsed="false">
      <c r="A97" s="247" t="s">
        <v>250</v>
      </c>
      <c r="B97" s="247"/>
      <c r="C97" s="247"/>
      <c r="D97" s="247"/>
      <c r="E97" s="249"/>
      <c r="F97" s="249"/>
      <c r="G97" s="248" t="n">
        <v>6300</v>
      </c>
      <c r="H97" s="248" t="n">
        <v>1050</v>
      </c>
    </row>
    <row r="98" s="236" customFormat="true" ht="12" hidden="true" customHeight="true" outlineLevel="4" collapsed="false">
      <c r="A98" s="247" t="s">
        <v>324</v>
      </c>
      <c r="B98" s="247"/>
      <c r="C98" s="247"/>
      <c r="D98" s="247"/>
      <c r="E98" s="249"/>
      <c r="F98" s="249"/>
      <c r="G98" s="248" t="n">
        <v>12300</v>
      </c>
      <c r="H98" s="248" t="n">
        <v>2050</v>
      </c>
    </row>
    <row r="99" customFormat="false" ht="12" hidden="false" customHeight="true" outlineLevel="3" collapsed="true">
      <c r="A99" s="247" t="s">
        <v>258</v>
      </c>
      <c r="B99" s="247"/>
      <c r="C99" s="247"/>
      <c r="D99" s="247"/>
      <c r="E99" s="248" t="n">
        <v>12099.99</v>
      </c>
      <c r="F99" s="248" t="n">
        <v>2016.67</v>
      </c>
      <c r="G99" s="248" t="n">
        <v>12099.99</v>
      </c>
      <c r="H99" s="248" t="n">
        <v>2016.7</v>
      </c>
    </row>
    <row r="100" s="236" customFormat="true" ht="12" hidden="true" customHeight="true" outlineLevel="4" collapsed="false">
      <c r="A100" s="247" t="s">
        <v>325</v>
      </c>
      <c r="B100" s="247"/>
      <c r="C100" s="247"/>
      <c r="D100" s="247"/>
      <c r="E100" s="249"/>
      <c r="F100" s="249"/>
      <c r="G100" s="248" t="n">
        <v>1000</v>
      </c>
      <c r="H100" s="250" t="n">
        <v>166.67</v>
      </c>
    </row>
    <row r="101" s="236" customFormat="true" ht="12" hidden="true" customHeight="true" outlineLevel="4" collapsed="false">
      <c r="A101" s="247" t="s">
        <v>326</v>
      </c>
      <c r="B101" s="247"/>
      <c r="C101" s="247"/>
      <c r="D101" s="247"/>
      <c r="E101" s="249"/>
      <c r="F101" s="249"/>
      <c r="G101" s="248" t="n">
        <v>1000</v>
      </c>
      <c r="H101" s="250" t="n">
        <v>166.67</v>
      </c>
    </row>
    <row r="102" s="236" customFormat="true" ht="12" hidden="true" customHeight="true" outlineLevel="4" collapsed="false">
      <c r="A102" s="247" t="s">
        <v>327</v>
      </c>
      <c r="B102" s="247"/>
      <c r="C102" s="247"/>
      <c r="D102" s="247"/>
      <c r="E102" s="249"/>
      <c r="F102" s="249"/>
      <c r="G102" s="248" t="n">
        <v>1000</v>
      </c>
      <c r="H102" s="250" t="n">
        <v>166.67</v>
      </c>
    </row>
    <row r="103" s="236" customFormat="true" ht="12" hidden="true" customHeight="true" outlineLevel="4" collapsed="false">
      <c r="A103" s="247" t="s">
        <v>328</v>
      </c>
      <c r="B103" s="247"/>
      <c r="C103" s="247"/>
      <c r="D103" s="247"/>
      <c r="E103" s="249"/>
      <c r="F103" s="249"/>
      <c r="G103" s="248" t="n">
        <v>1000</v>
      </c>
      <c r="H103" s="250" t="n">
        <v>166.67</v>
      </c>
    </row>
    <row r="104" s="236" customFormat="true" ht="12" hidden="true" customHeight="true" outlineLevel="4" collapsed="false">
      <c r="A104" s="247" t="s">
        <v>329</v>
      </c>
      <c r="B104" s="247"/>
      <c r="C104" s="247"/>
      <c r="D104" s="247"/>
      <c r="E104" s="249"/>
      <c r="F104" s="249"/>
      <c r="G104" s="248" t="n">
        <v>1000</v>
      </c>
      <c r="H104" s="250" t="n">
        <v>166.67</v>
      </c>
    </row>
    <row r="105" s="236" customFormat="true" ht="12" hidden="true" customHeight="true" outlineLevel="4" collapsed="false">
      <c r="A105" s="247" t="s">
        <v>330</v>
      </c>
      <c r="B105" s="247"/>
      <c r="C105" s="247"/>
      <c r="D105" s="247"/>
      <c r="E105" s="249"/>
      <c r="F105" s="249"/>
      <c r="G105" s="248" t="n">
        <v>1099.99</v>
      </c>
      <c r="H105" s="250" t="n">
        <v>183.33</v>
      </c>
    </row>
    <row r="106" s="236" customFormat="true" ht="12" hidden="true" customHeight="true" outlineLevel="4" collapsed="false">
      <c r="A106" s="247" t="s">
        <v>331</v>
      </c>
      <c r="B106" s="247"/>
      <c r="C106" s="247"/>
      <c r="D106" s="247"/>
      <c r="E106" s="249"/>
      <c r="F106" s="249"/>
      <c r="G106" s="248" t="n">
        <v>1000</v>
      </c>
      <c r="H106" s="250" t="n">
        <v>166.67</v>
      </c>
    </row>
    <row r="107" s="236" customFormat="true" ht="12" hidden="true" customHeight="true" outlineLevel="4" collapsed="false">
      <c r="A107" s="247" t="s">
        <v>332</v>
      </c>
      <c r="B107" s="247"/>
      <c r="C107" s="247"/>
      <c r="D107" s="247"/>
      <c r="E107" s="249"/>
      <c r="F107" s="249"/>
      <c r="G107" s="248" t="n">
        <v>1000</v>
      </c>
      <c r="H107" s="250" t="n">
        <v>166.67</v>
      </c>
    </row>
    <row r="108" s="236" customFormat="true" ht="12" hidden="true" customHeight="true" outlineLevel="4" collapsed="false">
      <c r="A108" s="247" t="s">
        <v>333</v>
      </c>
      <c r="B108" s="247"/>
      <c r="C108" s="247"/>
      <c r="D108" s="247"/>
      <c r="E108" s="249"/>
      <c r="F108" s="249"/>
      <c r="G108" s="248" t="n">
        <v>1000</v>
      </c>
      <c r="H108" s="250" t="n">
        <v>166.67</v>
      </c>
    </row>
    <row r="109" s="236" customFormat="true" ht="12" hidden="true" customHeight="true" outlineLevel="4" collapsed="false">
      <c r="A109" s="247" t="s">
        <v>334</v>
      </c>
      <c r="B109" s="247"/>
      <c r="C109" s="247"/>
      <c r="D109" s="247"/>
      <c r="E109" s="249"/>
      <c r="F109" s="249"/>
      <c r="G109" s="248" t="n">
        <v>1000</v>
      </c>
      <c r="H109" s="250" t="n">
        <v>166.67</v>
      </c>
    </row>
    <row r="110" s="236" customFormat="true" ht="12" hidden="true" customHeight="true" outlineLevel="4" collapsed="false">
      <c r="A110" s="247" t="s">
        <v>335</v>
      </c>
      <c r="B110" s="247"/>
      <c r="C110" s="247"/>
      <c r="D110" s="247"/>
      <c r="E110" s="249"/>
      <c r="F110" s="249"/>
      <c r="G110" s="248" t="n">
        <v>1000</v>
      </c>
      <c r="H110" s="250" t="n">
        <v>166.67</v>
      </c>
    </row>
    <row r="111" s="236" customFormat="true" ht="12" hidden="true" customHeight="true" outlineLevel="4" collapsed="false">
      <c r="A111" s="247" t="s">
        <v>336</v>
      </c>
      <c r="B111" s="247"/>
      <c r="C111" s="247"/>
      <c r="D111" s="247"/>
      <c r="E111" s="249"/>
      <c r="F111" s="249"/>
      <c r="G111" s="248" t="n">
        <v>1000</v>
      </c>
      <c r="H111" s="250" t="n">
        <v>166.67</v>
      </c>
    </row>
    <row r="112" s="236" customFormat="true" ht="12" hidden="true" customHeight="true" outlineLevel="4" collapsed="false">
      <c r="A112" s="247" t="s">
        <v>337</v>
      </c>
      <c r="B112" s="247"/>
      <c r="C112" s="247"/>
      <c r="D112" s="247"/>
      <c r="E112" s="248" t="n">
        <v>5000</v>
      </c>
      <c r="F112" s="250" t="n">
        <v>833.33</v>
      </c>
      <c r="G112" s="249"/>
      <c r="H112" s="249"/>
    </row>
    <row r="113" s="236" customFormat="true" ht="12" hidden="true" customHeight="true" outlineLevel="4" collapsed="false">
      <c r="A113" s="247" t="s">
        <v>338</v>
      </c>
      <c r="B113" s="247"/>
      <c r="C113" s="247"/>
      <c r="D113" s="247"/>
      <c r="E113" s="248" t="n">
        <v>1000</v>
      </c>
      <c r="F113" s="250" t="n">
        <v>166.67</v>
      </c>
      <c r="G113" s="249"/>
      <c r="H113" s="249"/>
    </row>
    <row r="114" s="236" customFormat="true" ht="12" hidden="true" customHeight="true" outlineLevel="4" collapsed="false">
      <c r="A114" s="247" t="s">
        <v>339</v>
      </c>
      <c r="B114" s="247"/>
      <c r="C114" s="247"/>
      <c r="D114" s="247"/>
      <c r="E114" s="248" t="n">
        <v>1000</v>
      </c>
      <c r="F114" s="250" t="n">
        <v>166.67</v>
      </c>
      <c r="G114" s="249"/>
      <c r="H114" s="249"/>
    </row>
    <row r="115" s="236" customFormat="true" ht="12" hidden="true" customHeight="true" outlineLevel="4" collapsed="false">
      <c r="A115" s="247" t="s">
        <v>340</v>
      </c>
      <c r="B115" s="247"/>
      <c r="C115" s="247"/>
      <c r="D115" s="247"/>
      <c r="E115" s="248" t="n">
        <v>5099.99</v>
      </c>
      <c r="F115" s="250" t="n">
        <v>850</v>
      </c>
      <c r="G115" s="249"/>
      <c r="H115" s="249"/>
    </row>
    <row r="116" customFormat="false" ht="12" hidden="false" customHeight="true" outlineLevel="3" collapsed="true">
      <c r="A116" s="247" t="s">
        <v>254</v>
      </c>
      <c r="B116" s="247"/>
      <c r="C116" s="247"/>
      <c r="D116" s="247"/>
      <c r="E116" s="248" t="n">
        <v>3900</v>
      </c>
      <c r="F116" s="250" t="n">
        <v>650</v>
      </c>
      <c r="G116" s="248" t="n">
        <v>3900</v>
      </c>
      <c r="H116" s="250" t="n">
        <v>650</v>
      </c>
    </row>
    <row r="117" s="236" customFormat="true" ht="12" hidden="true" customHeight="true" outlineLevel="4" collapsed="false">
      <c r="A117" s="247" t="s">
        <v>255</v>
      </c>
      <c r="B117" s="247"/>
      <c r="C117" s="247"/>
      <c r="D117" s="247"/>
      <c r="E117" s="248" t="n">
        <v>3900</v>
      </c>
      <c r="F117" s="250" t="n">
        <v>650</v>
      </c>
      <c r="G117" s="249"/>
      <c r="H117" s="249"/>
    </row>
    <row r="118" s="236" customFormat="true" ht="12" hidden="true" customHeight="true" outlineLevel="4" collapsed="false">
      <c r="A118" s="247" t="s">
        <v>256</v>
      </c>
      <c r="B118" s="247"/>
      <c r="C118" s="247"/>
      <c r="D118" s="247"/>
      <c r="E118" s="249"/>
      <c r="F118" s="249"/>
      <c r="G118" s="248" t="n">
        <v>3900</v>
      </c>
      <c r="H118" s="250" t="n">
        <v>650</v>
      </c>
    </row>
    <row r="119" customFormat="false" ht="12" hidden="false" customHeight="true" outlineLevel="2" collapsed="false">
      <c r="A119" s="245" t="s">
        <v>341</v>
      </c>
      <c r="B119" s="245"/>
      <c r="C119" s="245"/>
      <c r="D119" s="245"/>
      <c r="E119" s="246" t="n">
        <v>37859</v>
      </c>
      <c r="F119" s="251"/>
      <c r="G119" s="246" t="n">
        <v>37859</v>
      </c>
      <c r="H119" s="251"/>
    </row>
    <row r="120" customFormat="false" ht="12" hidden="false" customHeight="true" outlineLevel="3" collapsed="false">
      <c r="A120" s="247" t="s">
        <v>342</v>
      </c>
      <c r="B120" s="247"/>
      <c r="C120" s="247"/>
      <c r="D120" s="247"/>
      <c r="E120" s="248" t="n">
        <v>21499</v>
      </c>
      <c r="F120" s="249"/>
      <c r="G120" s="248" t="n">
        <v>21499</v>
      </c>
      <c r="H120" s="249"/>
    </row>
    <row r="121" s="236" customFormat="true" ht="12" hidden="true" customHeight="true" outlineLevel="4" collapsed="false">
      <c r="A121" s="247" t="s">
        <v>343</v>
      </c>
      <c r="B121" s="247"/>
      <c r="C121" s="247"/>
      <c r="D121" s="247"/>
      <c r="E121" s="249"/>
      <c r="F121" s="249"/>
      <c r="G121" s="248" t="n">
        <v>21499</v>
      </c>
      <c r="H121" s="249"/>
    </row>
    <row r="122" s="236" customFormat="true" ht="12" hidden="true" customHeight="true" outlineLevel="4" collapsed="false">
      <c r="A122" s="247" t="s">
        <v>344</v>
      </c>
      <c r="B122" s="247"/>
      <c r="C122" s="247"/>
      <c r="D122" s="247"/>
      <c r="E122" s="248" t="n">
        <v>4200</v>
      </c>
      <c r="F122" s="249"/>
      <c r="G122" s="249"/>
      <c r="H122" s="249"/>
    </row>
    <row r="123" s="236" customFormat="true" ht="12" hidden="true" customHeight="true" outlineLevel="4" collapsed="false">
      <c r="A123" s="247" t="s">
        <v>345</v>
      </c>
      <c r="B123" s="247"/>
      <c r="C123" s="247"/>
      <c r="D123" s="247"/>
      <c r="E123" s="248" t="n">
        <v>17299</v>
      </c>
      <c r="F123" s="249"/>
      <c r="G123" s="249"/>
      <c r="H123" s="249"/>
    </row>
    <row r="124" customFormat="false" ht="12" hidden="false" customHeight="true" outlineLevel="3" collapsed="true">
      <c r="A124" s="247" t="s">
        <v>346</v>
      </c>
      <c r="B124" s="247"/>
      <c r="C124" s="247"/>
      <c r="D124" s="247"/>
      <c r="E124" s="248" t="n">
        <v>16360</v>
      </c>
      <c r="F124" s="249"/>
      <c r="G124" s="248" t="n">
        <v>16360</v>
      </c>
      <c r="H124" s="249"/>
    </row>
    <row r="125" s="236" customFormat="true" ht="12" hidden="true" customHeight="true" outlineLevel="4" collapsed="false">
      <c r="A125" s="247" t="s">
        <v>347</v>
      </c>
      <c r="B125" s="247"/>
      <c r="C125" s="247"/>
      <c r="D125" s="247"/>
      <c r="E125" s="248" t="n">
        <v>10000</v>
      </c>
      <c r="F125" s="249"/>
      <c r="G125" s="249"/>
      <c r="H125" s="249"/>
    </row>
    <row r="126" s="236" customFormat="true" ht="12" hidden="true" customHeight="true" outlineLevel="4" collapsed="false">
      <c r="A126" s="247" t="s">
        <v>348</v>
      </c>
      <c r="B126" s="247"/>
      <c r="C126" s="247"/>
      <c r="D126" s="247"/>
      <c r="E126" s="250" t="n">
        <v>260</v>
      </c>
      <c r="F126" s="249"/>
      <c r="G126" s="249"/>
      <c r="H126" s="249"/>
    </row>
    <row r="127" s="236" customFormat="true" ht="12" hidden="true" customHeight="true" outlineLevel="4" collapsed="false">
      <c r="A127" s="247" t="s">
        <v>349</v>
      </c>
      <c r="B127" s="247"/>
      <c r="C127" s="247"/>
      <c r="D127" s="247"/>
      <c r="E127" s="248" t="n">
        <v>6100</v>
      </c>
      <c r="F127" s="249"/>
      <c r="G127" s="249"/>
      <c r="H127" s="249"/>
    </row>
    <row r="128" s="236" customFormat="true" ht="12" hidden="true" customHeight="true" outlineLevel="4" collapsed="false">
      <c r="A128" s="247" t="s">
        <v>343</v>
      </c>
      <c r="B128" s="247"/>
      <c r="C128" s="247"/>
      <c r="D128" s="247"/>
      <c r="E128" s="249"/>
      <c r="F128" s="249"/>
      <c r="G128" s="248" t="n">
        <v>6100</v>
      </c>
      <c r="H128" s="249"/>
    </row>
    <row r="129" s="236" customFormat="true" ht="12" hidden="true" customHeight="true" outlineLevel="4" collapsed="false">
      <c r="A129" s="247" t="s">
        <v>350</v>
      </c>
      <c r="B129" s="247"/>
      <c r="C129" s="247"/>
      <c r="D129" s="247"/>
      <c r="E129" s="249"/>
      <c r="F129" s="249"/>
      <c r="G129" s="248" t="n">
        <v>10000</v>
      </c>
      <c r="H129" s="249"/>
    </row>
    <row r="130" s="236" customFormat="true" ht="12" hidden="true" customHeight="true" outlineLevel="4" collapsed="false">
      <c r="A130" s="247" t="s">
        <v>351</v>
      </c>
      <c r="B130" s="247"/>
      <c r="C130" s="247"/>
      <c r="D130" s="247"/>
      <c r="E130" s="249"/>
      <c r="F130" s="249"/>
      <c r="G130" s="250" t="n">
        <v>260</v>
      </c>
      <c r="H130" s="249"/>
    </row>
    <row r="131" customFormat="false" ht="12" hidden="false" customHeight="true" outlineLevel="2" collapsed="false">
      <c r="A131" s="245" t="s">
        <v>352</v>
      </c>
      <c r="B131" s="245"/>
      <c r="C131" s="245"/>
      <c r="D131" s="245"/>
      <c r="E131" s="246" t="n">
        <v>15630.37</v>
      </c>
      <c r="F131" s="246" t="n">
        <v>2605.07</v>
      </c>
      <c r="G131" s="246" t="n">
        <v>15630.37</v>
      </c>
      <c r="H131" s="246" t="n">
        <v>2605.07</v>
      </c>
    </row>
    <row r="132" customFormat="false" ht="12" hidden="false" customHeight="true" outlineLevel="3" collapsed="false">
      <c r="A132" s="247" t="s">
        <v>353</v>
      </c>
      <c r="B132" s="247"/>
      <c r="C132" s="247"/>
      <c r="D132" s="247"/>
      <c r="E132" s="248" t="n">
        <v>15630.37</v>
      </c>
      <c r="F132" s="248" t="n">
        <v>2605.07</v>
      </c>
      <c r="G132" s="248" t="n">
        <v>15630.37</v>
      </c>
      <c r="H132" s="248" t="n">
        <v>2605.07</v>
      </c>
    </row>
    <row r="133" s="236" customFormat="true" ht="12" hidden="true" customHeight="true" outlineLevel="4" collapsed="false">
      <c r="A133" s="247" t="s">
        <v>354</v>
      </c>
      <c r="B133" s="247"/>
      <c r="C133" s="247"/>
      <c r="D133" s="247"/>
      <c r="E133" s="249"/>
      <c r="F133" s="249"/>
      <c r="G133" s="248" t="n">
        <v>6025.2</v>
      </c>
      <c r="H133" s="248" t="n">
        <v>1004.2</v>
      </c>
    </row>
    <row r="134" s="236" customFormat="true" ht="12" hidden="true" customHeight="true" outlineLevel="4" collapsed="false">
      <c r="A134" s="247" t="s">
        <v>355</v>
      </c>
      <c r="B134" s="247"/>
      <c r="C134" s="247"/>
      <c r="D134" s="247"/>
      <c r="E134" s="249"/>
      <c r="F134" s="249"/>
      <c r="G134" s="248" t="n">
        <v>2192.39</v>
      </c>
      <c r="H134" s="250" t="n">
        <v>365.4</v>
      </c>
    </row>
    <row r="135" s="236" customFormat="true" ht="12" hidden="true" customHeight="true" outlineLevel="4" collapsed="false">
      <c r="A135" s="247" t="s">
        <v>356</v>
      </c>
      <c r="B135" s="247"/>
      <c r="C135" s="247"/>
      <c r="D135" s="247"/>
      <c r="E135" s="249"/>
      <c r="F135" s="249"/>
      <c r="G135" s="250" t="n">
        <v>532.04</v>
      </c>
      <c r="H135" s="250" t="n">
        <v>88.67</v>
      </c>
    </row>
    <row r="136" s="236" customFormat="true" ht="12" hidden="true" customHeight="true" outlineLevel="4" collapsed="false">
      <c r="A136" s="247" t="s">
        <v>357</v>
      </c>
      <c r="B136" s="247"/>
      <c r="C136" s="247"/>
      <c r="D136" s="247"/>
      <c r="E136" s="249"/>
      <c r="F136" s="249"/>
      <c r="G136" s="248" t="n">
        <v>3379.36</v>
      </c>
      <c r="H136" s="250" t="n">
        <v>563.23</v>
      </c>
    </row>
    <row r="137" s="236" customFormat="true" ht="12" hidden="true" customHeight="true" outlineLevel="4" collapsed="false">
      <c r="A137" s="247" t="s">
        <v>358</v>
      </c>
      <c r="B137" s="247"/>
      <c r="C137" s="247"/>
      <c r="D137" s="247"/>
      <c r="E137" s="249"/>
      <c r="F137" s="249"/>
      <c r="G137" s="248" t="n">
        <v>3501.38</v>
      </c>
      <c r="H137" s="250" t="n">
        <v>583.57</v>
      </c>
    </row>
    <row r="138" s="236" customFormat="true" ht="12" hidden="true" customHeight="true" outlineLevel="4" collapsed="false">
      <c r="A138" s="247" t="s">
        <v>359</v>
      </c>
      <c r="B138" s="247"/>
      <c r="C138" s="247"/>
      <c r="D138" s="247"/>
      <c r="E138" s="248" t="n">
        <v>6880.74</v>
      </c>
      <c r="F138" s="248" t="n">
        <v>1146.8</v>
      </c>
      <c r="G138" s="249"/>
      <c r="H138" s="249"/>
    </row>
    <row r="139" s="236" customFormat="true" ht="12" hidden="true" customHeight="true" outlineLevel="4" collapsed="false">
      <c r="A139" s="247" t="s">
        <v>360</v>
      </c>
      <c r="B139" s="247"/>
      <c r="C139" s="247"/>
      <c r="D139" s="247"/>
      <c r="E139" s="248" t="n">
        <v>2724.43</v>
      </c>
      <c r="F139" s="250" t="n">
        <v>454.07</v>
      </c>
      <c r="G139" s="249"/>
      <c r="H139" s="249"/>
    </row>
    <row r="140" s="236" customFormat="true" ht="12" hidden="true" customHeight="true" outlineLevel="4" collapsed="false">
      <c r="A140" s="247" t="s">
        <v>361</v>
      </c>
      <c r="B140" s="247"/>
      <c r="C140" s="247"/>
      <c r="D140" s="247"/>
      <c r="E140" s="248" t="n">
        <v>6025.2</v>
      </c>
      <c r="F140" s="248" t="n">
        <v>1004.2</v>
      </c>
      <c r="G140" s="249"/>
      <c r="H140" s="249"/>
    </row>
    <row r="141" customFormat="false" ht="12" hidden="false" customHeight="true" outlineLevel="2" collapsed="false">
      <c r="A141" s="245" t="s">
        <v>362</v>
      </c>
      <c r="B141" s="245"/>
      <c r="C141" s="245"/>
      <c r="D141" s="245"/>
      <c r="E141" s="246" t="n">
        <v>863451.77</v>
      </c>
      <c r="F141" s="246" t="n">
        <v>152016.8</v>
      </c>
      <c r="G141" s="246" t="n">
        <v>863451.77</v>
      </c>
      <c r="H141" s="246" t="n">
        <v>143908.62</v>
      </c>
    </row>
    <row r="142" customFormat="false" ht="12" hidden="false" customHeight="true" outlineLevel="3" collapsed="false">
      <c r="A142" s="247" t="s">
        <v>287</v>
      </c>
      <c r="B142" s="247"/>
      <c r="C142" s="247"/>
      <c r="D142" s="247"/>
      <c r="E142" s="248" t="n">
        <v>4260</v>
      </c>
      <c r="F142" s="250" t="n">
        <v>710</v>
      </c>
      <c r="G142" s="248" t="n">
        <v>4260</v>
      </c>
      <c r="H142" s="250" t="n">
        <v>710</v>
      </c>
    </row>
    <row r="143" s="236" customFormat="true" ht="12" hidden="true" customHeight="true" outlineLevel="4" collapsed="false">
      <c r="A143" s="247" t="s">
        <v>289</v>
      </c>
      <c r="B143" s="247"/>
      <c r="C143" s="247"/>
      <c r="D143" s="247"/>
      <c r="E143" s="248" t="n">
        <v>4260</v>
      </c>
      <c r="F143" s="250" t="n">
        <v>710</v>
      </c>
      <c r="G143" s="249"/>
      <c r="H143" s="249"/>
    </row>
    <row r="144" s="236" customFormat="true" ht="12" hidden="true" customHeight="true" outlineLevel="4" collapsed="false">
      <c r="A144" s="247" t="s">
        <v>288</v>
      </c>
      <c r="B144" s="247"/>
      <c r="C144" s="247"/>
      <c r="D144" s="247"/>
      <c r="E144" s="249"/>
      <c r="F144" s="249"/>
      <c r="G144" s="248" t="n">
        <v>4260</v>
      </c>
      <c r="H144" s="250" t="n">
        <v>710</v>
      </c>
    </row>
    <row r="145" customFormat="false" ht="12" hidden="false" customHeight="true" outlineLevel="3" collapsed="true">
      <c r="A145" s="247" t="s">
        <v>243</v>
      </c>
      <c r="B145" s="247"/>
      <c r="C145" s="247"/>
      <c r="D145" s="247"/>
      <c r="E145" s="248" t="n">
        <v>42428</v>
      </c>
      <c r="F145" s="248" t="n">
        <v>15179.5</v>
      </c>
      <c r="G145" s="248" t="n">
        <v>42428</v>
      </c>
      <c r="H145" s="248" t="n">
        <v>7071.33</v>
      </c>
    </row>
    <row r="146" s="236" customFormat="true" ht="12" hidden="true" customHeight="true" outlineLevel="4" collapsed="false">
      <c r="A146" s="247" t="s">
        <v>363</v>
      </c>
      <c r="B146" s="247"/>
      <c r="C146" s="247"/>
      <c r="D146" s="247"/>
      <c r="E146" s="249"/>
      <c r="F146" s="249"/>
      <c r="G146" s="248" t="n">
        <v>1368</v>
      </c>
      <c r="H146" s="250" t="n">
        <v>228</v>
      </c>
    </row>
    <row r="147" s="236" customFormat="true" ht="12" hidden="true" customHeight="true" outlineLevel="4" collapsed="false">
      <c r="A147" s="247" t="s">
        <v>364</v>
      </c>
      <c r="B147" s="247"/>
      <c r="C147" s="247"/>
      <c r="D147" s="247"/>
      <c r="E147" s="249"/>
      <c r="F147" s="249"/>
      <c r="G147" s="250" t="n">
        <v>931</v>
      </c>
      <c r="H147" s="250" t="n">
        <v>155.17</v>
      </c>
    </row>
    <row r="148" s="236" customFormat="true" ht="12" hidden="true" customHeight="true" outlineLevel="4" collapsed="false">
      <c r="A148" s="247" t="s">
        <v>365</v>
      </c>
      <c r="B148" s="247"/>
      <c r="C148" s="247"/>
      <c r="D148" s="247"/>
      <c r="E148" s="249"/>
      <c r="F148" s="249"/>
      <c r="G148" s="248" t="n">
        <v>1599</v>
      </c>
      <c r="H148" s="250" t="n">
        <v>266.5</v>
      </c>
    </row>
    <row r="149" s="236" customFormat="true" ht="12" hidden="true" customHeight="true" outlineLevel="4" collapsed="false">
      <c r="A149" s="247" t="s">
        <v>366</v>
      </c>
      <c r="B149" s="247"/>
      <c r="C149" s="247"/>
      <c r="D149" s="247"/>
      <c r="E149" s="249"/>
      <c r="F149" s="249"/>
      <c r="G149" s="248" t="n">
        <v>4546</v>
      </c>
      <c r="H149" s="250" t="n">
        <v>757.67</v>
      </c>
    </row>
    <row r="150" s="236" customFormat="true" ht="12" hidden="true" customHeight="true" outlineLevel="4" collapsed="false">
      <c r="A150" s="247" t="s">
        <v>367</v>
      </c>
      <c r="B150" s="247"/>
      <c r="C150" s="247"/>
      <c r="D150" s="247"/>
      <c r="E150" s="249"/>
      <c r="F150" s="249"/>
      <c r="G150" s="248" t="n">
        <v>19061</v>
      </c>
      <c r="H150" s="248" t="n">
        <v>3176.83</v>
      </c>
    </row>
    <row r="151" s="236" customFormat="true" ht="12" hidden="true" customHeight="true" outlineLevel="4" collapsed="false">
      <c r="A151" s="247" t="s">
        <v>260</v>
      </c>
      <c r="B151" s="247"/>
      <c r="C151" s="247"/>
      <c r="D151" s="247"/>
      <c r="E151" s="248" t="n">
        <v>-48649</v>
      </c>
      <c r="F151" s="249"/>
      <c r="G151" s="249"/>
      <c r="H151" s="249"/>
    </row>
    <row r="152" s="236" customFormat="true" ht="12" hidden="true" customHeight="true" outlineLevel="4" collapsed="false">
      <c r="A152" s="247" t="s">
        <v>368</v>
      </c>
      <c r="B152" s="247"/>
      <c r="C152" s="247"/>
      <c r="D152" s="247"/>
      <c r="E152" s="249"/>
      <c r="F152" s="249"/>
      <c r="G152" s="250" t="n">
        <v>189</v>
      </c>
      <c r="H152" s="250" t="n">
        <v>31.5</v>
      </c>
    </row>
    <row r="153" s="236" customFormat="true" ht="12" hidden="true" customHeight="true" outlineLevel="4" collapsed="false">
      <c r="A153" s="247" t="s">
        <v>369</v>
      </c>
      <c r="B153" s="247"/>
      <c r="C153" s="247"/>
      <c r="D153" s="247"/>
      <c r="E153" s="249"/>
      <c r="F153" s="249"/>
      <c r="G153" s="248" t="n">
        <v>14734</v>
      </c>
      <c r="H153" s="248" t="n">
        <v>2455.66</v>
      </c>
    </row>
    <row r="154" s="236" customFormat="true" ht="12" hidden="true" customHeight="true" outlineLevel="4" collapsed="false">
      <c r="A154" s="247" t="s">
        <v>370</v>
      </c>
      <c r="B154" s="247"/>
      <c r="C154" s="247"/>
      <c r="D154" s="247"/>
      <c r="E154" s="248" t="n">
        <v>1368</v>
      </c>
      <c r="F154" s="250" t="n">
        <v>228</v>
      </c>
      <c r="G154" s="249"/>
      <c r="H154" s="249"/>
    </row>
    <row r="155" s="236" customFormat="true" ht="12" hidden="true" customHeight="true" outlineLevel="4" collapsed="false">
      <c r="A155" s="247" t="s">
        <v>371</v>
      </c>
      <c r="B155" s="247"/>
      <c r="C155" s="247"/>
      <c r="D155" s="247"/>
      <c r="E155" s="248" t="n">
        <v>4546</v>
      </c>
      <c r="F155" s="250" t="n">
        <v>757.67</v>
      </c>
      <c r="G155" s="249"/>
      <c r="H155" s="249"/>
    </row>
    <row r="156" s="236" customFormat="true" ht="12" hidden="true" customHeight="true" outlineLevel="4" collapsed="false">
      <c r="A156" s="247" t="s">
        <v>372</v>
      </c>
      <c r="B156" s="247"/>
      <c r="C156" s="247"/>
      <c r="D156" s="247"/>
      <c r="E156" s="248" t="n">
        <v>1599</v>
      </c>
      <c r="F156" s="250" t="n">
        <v>266.5</v>
      </c>
      <c r="G156" s="249"/>
      <c r="H156" s="249"/>
    </row>
    <row r="157" s="236" customFormat="true" ht="12" hidden="true" customHeight="true" outlineLevel="4" collapsed="false">
      <c r="A157" s="247" t="s">
        <v>373</v>
      </c>
      <c r="B157" s="247"/>
      <c r="C157" s="247"/>
      <c r="D157" s="247"/>
      <c r="E157" s="250" t="n">
        <v>931</v>
      </c>
      <c r="F157" s="250" t="n">
        <v>155.17</v>
      </c>
      <c r="G157" s="249"/>
      <c r="H157" s="249"/>
    </row>
    <row r="158" s="236" customFormat="true" ht="12" hidden="true" customHeight="true" outlineLevel="4" collapsed="false">
      <c r="A158" s="247" t="s">
        <v>374</v>
      </c>
      <c r="B158" s="247"/>
      <c r="C158" s="247"/>
      <c r="D158" s="247"/>
      <c r="E158" s="248" t="n">
        <v>67710</v>
      </c>
      <c r="F158" s="248" t="n">
        <v>11285</v>
      </c>
      <c r="G158" s="249"/>
      <c r="H158" s="249"/>
    </row>
    <row r="159" s="236" customFormat="true" ht="12" hidden="true" customHeight="true" outlineLevel="4" collapsed="false">
      <c r="A159" s="247" t="s">
        <v>375</v>
      </c>
      <c r="B159" s="247"/>
      <c r="C159" s="247"/>
      <c r="D159" s="247"/>
      <c r="E159" s="248" t="n">
        <v>14923</v>
      </c>
      <c r="F159" s="248" t="n">
        <v>2487.16</v>
      </c>
      <c r="G159" s="249"/>
      <c r="H159" s="249"/>
    </row>
    <row r="160" customFormat="false" ht="12" hidden="false" customHeight="true" outlineLevel="3" collapsed="true">
      <c r="A160" s="247" t="s">
        <v>290</v>
      </c>
      <c r="B160" s="247"/>
      <c r="C160" s="247"/>
      <c r="D160" s="247"/>
      <c r="E160" s="248" t="n">
        <v>54786.7</v>
      </c>
      <c r="F160" s="248" t="n">
        <v>9131.11</v>
      </c>
      <c r="G160" s="248" t="n">
        <v>54786.7</v>
      </c>
      <c r="H160" s="248" t="n">
        <v>9131.11</v>
      </c>
    </row>
    <row r="161" s="236" customFormat="true" ht="12" hidden="true" customHeight="true" outlineLevel="4" collapsed="false">
      <c r="A161" s="247" t="s">
        <v>376</v>
      </c>
      <c r="B161" s="247"/>
      <c r="C161" s="247"/>
      <c r="D161" s="247"/>
      <c r="E161" s="248" t="n">
        <v>1880</v>
      </c>
      <c r="F161" s="250" t="n">
        <v>313.33</v>
      </c>
      <c r="G161" s="249"/>
      <c r="H161" s="249"/>
    </row>
    <row r="162" s="236" customFormat="true" ht="12" hidden="true" customHeight="true" outlineLevel="4" collapsed="false">
      <c r="A162" s="247" t="s">
        <v>291</v>
      </c>
      <c r="B162" s="247"/>
      <c r="C162" s="247"/>
      <c r="D162" s="247"/>
      <c r="E162" s="248" t="n">
        <v>52906.7</v>
      </c>
      <c r="F162" s="248" t="n">
        <v>8817.78</v>
      </c>
      <c r="G162" s="249"/>
      <c r="H162" s="249"/>
    </row>
    <row r="163" s="236" customFormat="true" ht="12" hidden="true" customHeight="true" outlineLevel="4" collapsed="false">
      <c r="A163" s="247" t="s">
        <v>377</v>
      </c>
      <c r="B163" s="247"/>
      <c r="C163" s="247"/>
      <c r="D163" s="247"/>
      <c r="E163" s="249"/>
      <c r="F163" s="249"/>
      <c r="G163" s="248" t="n">
        <v>1880</v>
      </c>
      <c r="H163" s="250" t="n">
        <v>313.33</v>
      </c>
    </row>
    <row r="164" s="236" customFormat="true" ht="12" hidden="true" customHeight="true" outlineLevel="4" collapsed="false">
      <c r="A164" s="247" t="s">
        <v>292</v>
      </c>
      <c r="B164" s="247"/>
      <c r="C164" s="247"/>
      <c r="D164" s="247"/>
      <c r="E164" s="249"/>
      <c r="F164" s="249"/>
      <c r="G164" s="248" t="n">
        <v>52906.7</v>
      </c>
      <c r="H164" s="248" t="n">
        <v>8817.78</v>
      </c>
    </row>
    <row r="165" customFormat="false" ht="12" hidden="false" customHeight="true" outlineLevel="3" collapsed="true">
      <c r="A165" s="247" t="s">
        <v>378</v>
      </c>
      <c r="B165" s="247"/>
      <c r="C165" s="247"/>
      <c r="D165" s="247"/>
      <c r="E165" s="248" t="n">
        <v>87200</v>
      </c>
      <c r="F165" s="248" t="n">
        <v>14533.34</v>
      </c>
      <c r="G165" s="248" t="n">
        <v>87200</v>
      </c>
      <c r="H165" s="248" t="n">
        <v>14533.34</v>
      </c>
    </row>
    <row r="166" s="236" customFormat="true" ht="12" hidden="true" customHeight="true" outlineLevel="4" collapsed="false">
      <c r="A166" s="247" t="s">
        <v>379</v>
      </c>
      <c r="B166" s="247"/>
      <c r="C166" s="247"/>
      <c r="D166" s="247"/>
      <c r="E166" s="249"/>
      <c r="F166" s="249"/>
      <c r="G166" s="248" t="n">
        <v>87200</v>
      </c>
      <c r="H166" s="248" t="n">
        <v>14533.34</v>
      </c>
    </row>
    <row r="167" s="236" customFormat="true" ht="12" hidden="true" customHeight="true" outlineLevel="4" collapsed="false">
      <c r="A167" s="247" t="s">
        <v>380</v>
      </c>
      <c r="B167" s="247"/>
      <c r="C167" s="247"/>
      <c r="D167" s="247"/>
      <c r="E167" s="248" t="n">
        <v>87200</v>
      </c>
      <c r="F167" s="248" t="n">
        <v>14533.34</v>
      </c>
      <c r="G167" s="249"/>
      <c r="H167" s="249"/>
    </row>
    <row r="168" customFormat="false" ht="12" hidden="false" customHeight="true" outlineLevel="3" collapsed="true">
      <c r="A168" s="247" t="s">
        <v>381</v>
      </c>
      <c r="B168" s="247"/>
      <c r="C168" s="247"/>
      <c r="D168" s="247"/>
      <c r="E168" s="248" t="n">
        <v>64950</v>
      </c>
      <c r="F168" s="248" t="n">
        <v>10825</v>
      </c>
      <c r="G168" s="248" t="n">
        <v>64950</v>
      </c>
      <c r="H168" s="248" t="n">
        <v>10825</v>
      </c>
    </row>
    <row r="169" s="236" customFormat="true" ht="12" hidden="true" customHeight="true" outlineLevel="4" collapsed="false">
      <c r="A169" s="247" t="s">
        <v>382</v>
      </c>
      <c r="B169" s="247"/>
      <c r="C169" s="247"/>
      <c r="D169" s="247"/>
      <c r="E169" s="248" t="n">
        <v>64950</v>
      </c>
      <c r="F169" s="248" t="n">
        <v>10825</v>
      </c>
      <c r="G169" s="249"/>
      <c r="H169" s="249"/>
    </row>
    <row r="170" s="236" customFormat="true" ht="12" hidden="true" customHeight="true" outlineLevel="4" collapsed="false">
      <c r="A170" s="247" t="s">
        <v>383</v>
      </c>
      <c r="B170" s="247"/>
      <c r="C170" s="247"/>
      <c r="D170" s="247"/>
      <c r="E170" s="249"/>
      <c r="F170" s="249"/>
      <c r="G170" s="248" t="n">
        <v>64950</v>
      </c>
      <c r="H170" s="248" t="n">
        <v>10825</v>
      </c>
    </row>
    <row r="171" customFormat="false" ht="12" hidden="false" customHeight="true" outlineLevel="3" collapsed="true">
      <c r="A171" s="247" t="s">
        <v>293</v>
      </c>
      <c r="B171" s="247"/>
      <c r="C171" s="247"/>
      <c r="D171" s="247"/>
      <c r="E171" s="248" t="n">
        <v>126891.03</v>
      </c>
      <c r="F171" s="248" t="n">
        <v>21148.51</v>
      </c>
      <c r="G171" s="248" t="n">
        <v>126891.03</v>
      </c>
      <c r="H171" s="248" t="n">
        <v>21148.51</v>
      </c>
    </row>
    <row r="172" s="236" customFormat="true" ht="12" hidden="true" customHeight="true" outlineLevel="4" collapsed="false">
      <c r="A172" s="247" t="s">
        <v>295</v>
      </c>
      <c r="B172" s="247"/>
      <c r="C172" s="247"/>
      <c r="D172" s="247"/>
      <c r="E172" s="249"/>
      <c r="F172" s="249"/>
      <c r="G172" s="248" t="n">
        <v>14653.15</v>
      </c>
      <c r="H172" s="248" t="n">
        <v>2442.19</v>
      </c>
    </row>
    <row r="173" s="236" customFormat="true" ht="12" hidden="true" customHeight="true" outlineLevel="4" collapsed="false">
      <c r="A173" s="247" t="s">
        <v>294</v>
      </c>
      <c r="B173" s="247"/>
      <c r="C173" s="247"/>
      <c r="D173" s="247"/>
      <c r="E173" s="249"/>
      <c r="F173" s="249"/>
      <c r="G173" s="248" t="n">
        <v>73483.36</v>
      </c>
      <c r="H173" s="248" t="n">
        <v>12247.23</v>
      </c>
    </row>
    <row r="174" s="236" customFormat="true" ht="12" hidden="true" customHeight="true" outlineLevel="4" collapsed="false">
      <c r="A174" s="247" t="s">
        <v>296</v>
      </c>
      <c r="B174" s="247"/>
      <c r="C174" s="247"/>
      <c r="D174" s="247"/>
      <c r="E174" s="249"/>
      <c r="F174" s="249"/>
      <c r="G174" s="248" t="n">
        <v>38754.52</v>
      </c>
      <c r="H174" s="248" t="n">
        <v>6459.09</v>
      </c>
    </row>
    <row r="175" s="236" customFormat="true" ht="12" hidden="true" customHeight="true" outlineLevel="4" collapsed="false">
      <c r="A175" s="247" t="s">
        <v>299</v>
      </c>
      <c r="B175" s="247"/>
      <c r="C175" s="247"/>
      <c r="D175" s="247"/>
      <c r="E175" s="248" t="n">
        <v>38754.52</v>
      </c>
      <c r="F175" s="248" t="n">
        <v>6459.09</v>
      </c>
      <c r="G175" s="249"/>
      <c r="H175" s="249"/>
    </row>
    <row r="176" s="236" customFormat="true" ht="12" hidden="true" customHeight="true" outlineLevel="4" collapsed="false">
      <c r="A176" s="247" t="s">
        <v>298</v>
      </c>
      <c r="B176" s="247"/>
      <c r="C176" s="247"/>
      <c r="D176" s="247"/>
      <c r="E176" s="248" t="n">
        <v>73483.36</v>
      </c>
      <c r="F176" s="248" t="n">
        <v>12247.23</v>
      </c>
      <c r="G176" s="249"/>
      <c r="H176" s="249"/>
    </row>
    <row r="177" s="236" customFormat="true" ht="12" hidden="true" customHeight="true" outlineLevel="4" collapsed="false">
      <c r="A177" s="247" t="s">
        <v>297</v>
      </c>
      <c r="B177" s="247"/>
      <c r="C177" s="247"/>
      <c r="D177" s="247"/>
      <c r="E177" s="248" t="n">
        <v>14653.15</v>
      </c>
      <c r="F177" s="248" t="n">
        <v>2442.19</v>
      </c>
      <c r="G177" s="249"/>
      <c r="H177" s="249"/>
    </row>
    <row r="178" customFormat="false" ht="12" hidden="false" customHeight="true" outlineLevel="3" collapsed="true">
      <c r="A178" s="247" t="s">
        <v>384</v>
      </c>
      <c r="B178" s="247"/>
      <c r="C178" s="247"/>
      <c r="D178" s="247"/>
      <c r="E178" s="248" t="n">
        <v>30392.7</v>
      </c>
      <c r="F178" s="248" t="n">
        <v>5065.45</v>
      </c>
      <c r="G178" s="248" t="n">
        <v>30392.7</v>
      </c>
      <c r="H178" s="248" t="n">
        <v>5065.44</v>
      </c>
    </row>
    <row r="179" s="236" customFormat="true" ht="12" hidden="true" customHeight="true" outlineLevel="4" collapsed="false">
      <c r="A179" s="247" t="s">
        <v>385</v>
      </c>
      <c r="B179" s="247"/>
      <c r="C179" s="247"/>
      <c r="D179" s="247"/>
      <c r="E179" s="248" t="n">
        <v>17286.66</v>
      </c>
      <c r="F179" s="248" t="n">
        <v>2881.11</v>
      </c>
      <c r="G179" s="249"/>
      <c r="H179" s="249"/>
    </row>
    <row r="180" s="236" customFormat="true" ht="12" hidden="true" customHeight="true" outlineLevel="4" collapsed="false">
      <c r="A180" s="247" t="s">
        <v>386</v>
      </c>
      <c r="B180" s="247"/>
      <c r="C180" s="247"/>
      <c r="D180" s="247"/>
      <c r="E180" s="249"/>
      <c r="F180" s="249"/>
      <c r="G180" s="248" t="n">
        <v>13106.04</v>
      </c>
      <c r="H180" s="248" t="n">
        <v>2184.34</v>
      </c>
    </row>
    <row r="181" s="236" customFormat="true" ht="12" hidden="true" customHeight="true" outlineLevel="4" collapsed="false">
      <c r="A181" s="247" t="s">
        <v>387</v>
      </c>
      <c r="B181" s="247"/>
      <c r="C181" s="247"/>
      <c r="D181" s="247"/>
      <c r="E181" s="249"/>
      <c r="F181" s="249"/>
      <c r="G181" s="248" t="n">
        <v>17286.66</v>
      </c>
      <c r="H181" s="248" t="n">
        <v>2881.1</v>
      </c>
    </row>
    <row r="182" s="236" customFormat="true" ht="12" hidden="true" customHeight="true" outlineLevel="4" collapsed="false">
      <c r="A182" s="247" t="s">
        <v>388</v>
      </c>
      <c r="B182" s="247"/>
      <c r="C182" s="247"/>
      <c r="D182" s="247"/>
      <c r="E182" s="248" t="n">
        <v>13106.04</v>
      </c>
      <c r="F182" s="248" t="n">
        <v>2184.34</v>
      </c>
      <c r="G182" s="249"/>
      <c r="H182" s="249"/>
    </row>
    <row r="183" customFormat="false" ht="12" hidden="false" customHeight="true" outlineLevel="3" collapsed="true">
      <c r="A183" s="247" t="s">
        <v>389</v>
      </c>
      <c r="B183" s="247"/>
      <c r="C183" s="247"/>
      <c r="D183" s="247"/>
      <c r="E183" s="248" t="n">
        <v>18675</v>
      </c>
      <c r="F183" s="248" t="n">
        <v>3112.5</v>
      </c>
      <c r="G183" s="248" t="n">
        <v>18675</v>
      </c>
      <c r="H183" s="248" t="n">
        <v>3112.5</v>
      </c>
    </row>
    <row r="184" s="236" customFormat="true" ht="12" hidden="true" customHeight="true" outlineLevel="4" collapsed="false">
      <c r="A184" s="247" t="s">
        <v>390</v>
      </c>
      <c r="B184" s="247"/>
      <c r="C184" s="247"/>
      <c r="D184" s="247"/>
      <c r="E184" s="249"/>
      <c r="F184" s="249"/>
      <c r="G184" s="248" t="n">
        <v>18675</v>
      </c>
      <c r="H184" s="248" t="n">
        <v>3112.5</v>
      </c>
    </row>
    <row r="185" s="236" customFormat="true" ht="12" hidden="true" customHeight="true" outlineLevel="4" collapsed="false">
      <c r="A185" s="247" t="s">
        <v>391</v>
      </c>
      <c r="B185" s="247"/>
      <c r="C185" s="247"/>
      <c r="D185" s="247"/>
      <c r="E185" s="248" t="n">
        <v>18675</v>
      </c>
      <c r="F185" s="248" t="n">
        <v>3112.5</v>
      </c>
      <c r="G185" s="249"/>
      <c r="H185" s="249"/>
    </row>
    <row r="186" customFormat="false" ht="12" hidden="false" customHeight="true" outlineLevel="3" collapsed="true">
      <c r="A186" s="247" t="s">
        <v>300</v>
      </c>
      <c r="B186" s="247"/>
      <c r="C186" s="247"/>
      <c r="D186" s="247"/>
      <c r="E186" s="248" t="n">
        <v>23280</v>
      </c>
      <c r="F186" s="248" t="n">
        <v>3880</v>
      </c>
      <c r="G186" s="248" t="n">
        <v>23280</v>
      </c>
      <c r="H186" s="248" t="n">
        <v>3880</v>
      </c>
    </row>
    <row r="187" s="236" customFormat="true" ht="12" hidden="true" customHeight="true" outlineLevel="4" collapsed="false">
      <c r="A187" s="247" t="s">
        <v>301</v>
      </c>
      <c r="B187" s="247"/>
      <c r="C187" s="247"/>
      <c r="D187" s="247"/>
      <c r="E187" s="248" t="n">
        <v>13080</v>
      </c>
      <c r="F187" s="248" t="n">
        <v>2180</v>
      </c>
      <c r="G187" s="249"/>
      <c r="H187" s="249"/>
    </row>
    <row r="188" s="236" customFormat="true" ht="12" hidden="true" customHeight="true" outlineLevel="4" collapsed="false">
      <c r="A188" s="247" t="s">
        <v>302</v>
      </c>
      <c r="B188" s="247"/>
      <c r="C188" s="247"/>
      <c r="D188" s="247"/>
      <c r="E188" s="248" t="n">
        <v>10200</v>
      </c>
      <c r="F188" s="248" t="n">
        <v>1700</v>
      </c>
      <c r="G188" s="249"/>
      <c r="H188" s="249"/>
    </row>
    <row r="189" s="236" customFormat="true" ht="12" hidden="true" customHeight="true" outlineLevel="4" collapsed="false">
      <c r="A189" s="247" t="s">
        <v>304</v>
      </c>
      <c r="B189" s="247"/>
      <c r="C189" s="247"/>
      <c r="D189" s="247"/>
      <c r="E189" s="249"/>
      <c r="F189" s="249"/>
      <c r="G189" s="248" t="n">
        <v>13080</v>
      </c>
      <c r="H189" s="248" t="n">
        <v>2180</v>
      </c>
    </row>
    <row r="190" s="236" customFormat="true" ht="12" hidden="true" customHeight="true" outlineLevel="4" collapsed="false">
      <c r="A190" s="247" t="s">
        <v>303</v>
      </c>
      <c r="B190" s="247"/>
      <c r="C190" s="247"/>
      <c r="D190" s="247"/>
      <c r="E190" s="249"/>
      <c r="F190" s="249"/>
      <c r="G190" s="248" t="n">
        <v>10200</v>
      </c>
      <c r="H190" s="248" t="n">
        <v>1700</v>
      </c>
    </row>
    <row r="191" customFormat="false" ht="12" hidden="false" customHeight="true" outlineLevel="3" collapsed="true">
      <c r="A191" s="247" t="s">
        <v>305</v>
      </c>
      <c r="B191" s="247"/>
      <c r="C191" s="247"/>
      <c r="D191" s="247"/>
      <c r="E191" s="248" t="n">
        <v>410588.34</v>
      </c>
      <c r="F191" s="248" t="n">
        <v>68431.39</v>
      </c>
      <c r="G191" s="248" t="n">
        <v>410588.34</v>
      </c>
      <c r="H191" s="248" t="n">
        <v>68431.39</v>
      </c>
    </row>
    <row r="192" s="236" customFormat="true" ht="12" hidden="true" customHeight="true" outlineLevel="4" collapsed="false">
      <c r="A192" s="247" t="s">
        <v>309</v>
      </c>
      <c r="B192" s="247"/>
      <c r="C192" s="247"/>
      <c r="D192" s="247"/>
      <c r="E192" s="249"/>
      <c r="F192" s="249"/>
      <c r="G192" s="248" t="n">
        <v>52104.9</v>
      </c>
      <c r="H192" s="248" t="n">
        <v>8684.15</v>
      </c>
    </row>
    <row r="193" s="236" customFormat="true" ht="12" hidden="true" customHeight="true" outlineLevel="4" collapsed="false">
      <c r="A193" s="247" t="s">
        <v>308</v>
      </c>
      <c r="B193" s="247"/>
      <c r="C193" s="247"/>
      <c r="D193" s="247"/>
      <c r="E193" s="249"/>
      <c r="F193" s="249"/>
      <c r="G193" s="248" t="n">
        <v>16107.9</v>
      </c>
      <c r="H193" s="248" t="n">
        <v>2684.65</v>
      </c>
    </row>
    <row r="194" s="236" customFormat="true" ht="12" hidden="true" customHeight="true" outlineLevel="4" collapsed="false">
      <c r="A194" s="247" t="s">
        <v>392</v>
      </c>
      <c r="B194" s="247"/>
      <c r="C194" s="247"/>
      <c r="D194" s="247"/>
      <c r="E194" s="249"/>
      <c r="F194" s="249"/>
      <c r="G194" s="248" t="n">
        <v>180151.62</v>
      </c>
      <c r="H194" s="248" t="n">
        <v>30025.27</v>
      </c>
    </row>
    <row r="195" s="236" customFormat="true" ht="12" hidden="true" customHeight="true" outlineLevel="4" collapsed="false">
      <c r="A195" s="247" t="s">
        <v>306</v>
      </c>
      <c r="B195" s="247"/>
      <c r="C195" s="247"/>
      <c r="D195" s="247"/>
      <c r="E195" s="249"/>
      <c r="F195" s="249"/>
      <c r="G195" s="248" t="n">
        <v>80184.6</v>
      </c>
      <c r="H195" s="248" t="n">
        <v>13364.1</v>
      </c>
    </row>
    <row r="196" s="236" customFormat="true" ht="12" hidden="true" customHeight="true" outlineLevel="4" collapsed="false">
      <c r="A196" s="247" t="s">
        <v>307</v>
      </c>
      <c r="B196" s="247"/>
      <c r="C196" s="247"/>
      <c r="D196" s="247"/>
      <c r="E196" s="249"/>
      <c r="F196" s="249"/>
      <c r="G196" s="248" t="n">
        <v>16869.3</v>
      </c>
      <c r="H196" s="248" t="n">
        <v>2811.55</v>
      </c>
    </row>
    <row r="197" s="236" customFormat="true" ht="12" hidden="true" customHeight="true" outlineLevel="4" collapsed="false">
      <c r="A197" s="247" t="s">
        <v>393</v>
      </c>
      <c r="B197" s="247"/>
      <c r="C197" s="247"/>
      <c r="D197" s="247"/>
      <c r="E197" s="250" t="n">
        <v>-0.02</v>
      </c>
      <c r="F197" s="249"/>
      <c r="G197" s="249"/>
      <c r="H197" s="249"/>
    </row>
    <row r="198" s="236" customFormat="true" ht="12" hidden="true" customHeight="true" outlineLevel="4" collapsed="false">
      <c r="A198" s="247" t="s">
        <v>310</v>
      </c>
      <c r="B198" s="247"/>
      <c r="C198" s="247"/>
      <c r="D198" s="247"/>
      <c r="E198" s="249"/>
      <c r="F198" s="249"/>
      <c r="G198" s="248" t="n">
        <v>7706.58</v>
      </c>
      <c r="H198" s="248" t="n">
        <v>1284.43</v>
      </c>
    </row>
    <row r="199" s="236" customFormat="true" ht="12" hidden="true" customHeight="true" outlineLevel="4" collapsed="false">
      <c r="A199" s="247" t="s">
        <v>394</v>
      </c>
      <c r="B199" s="247"/>
      <c r="C199" s="247"/>
      <c r="D199" s="247"/>
      <c r="E199" s="249"/>
      <c r="F199" s="249"/>
      <c r="G199" s="248" t="n">
        <v>2089.2</v>
      </c>
      <c r="H199" s="250" t="n">
        <v>348.2</v>
      </c>
    </row>
    <row r="200" s="236" customFormat="true" ht="12" hidden="true" customHeight="true" outlineLevel="4" collapsed="false">
      <c r="A200" s="247" t="s">
        <v>312</v>
      </c>
      <c r="B200" s="247"/>
      <c r="C200" s="247"/>
      <c r="D200" s="247"/>
      <c r="E200" s="249"/>
      <c r="F200" s="249"/>
      <c r="G200" s="248" t="n">
        <v>3435.84</v>
      </c>
      <c r="H200" s="250" t="n">
        <v>572.64</v>
      </c>
    </row>
    <row r="201" s="236" customFormat="true" ht="12" hidden="true" customHeight="true" outlineLevel="4" collapsed="false">
      <c r="A201" s="247" t="s">
        <v>311</v>
      </c>
      <c r="B201" s="247"/>
      <c r="C201" s="247"/>
      <c r="D201" s="247"/>
      <c r="E201" s="249"/>
      <c r="F201" s="249"/>
      <c r="G201" s="248" t="n">
        <v>24353.28</v>
      </c>
      <c r="H201" s="248" t="n">
        <v>4058.88</v>
      </c>
    </row>
    <row r="202" s="236" customFormat="true" ht="12" hidden="true" customHeight="true" outlineLevel="4" collapsed="false">
      <c r="A202" s="247" t="s">
        <v>314</v>
      </c>
      <c r="B202" s="247"/>
      <c r="C202" s="247"/>
      <c r="D202" s="247"/>
      <c r="E202" s="249"/>
      <c r="F202" s="249"/>
      <c r="G202" s="248" t="n">
        <v>5121.36</v>
      </c>
      <c r="H202" s="250" t="n">
        <v>853.56</v>
      </c>
    </row>
    <row r="203" s="236" customFormat="true" ht="12" hidden="true" customHeight="true" outlineLevel="4" collapsed="false">
      <c r="A203" s="247" t="s">
        <v>313</v>
      </c>
      <c r="B203" s="247"/>
      <c r="C203" s="247"/>
      <c r="D203" s="247"/>
      <c r="E203" s="249"/>
      <c r="F203" s="249"/>
      <c r="G203" s="248" t="n">
        <v>22463.76</v>
      </c>
      <c r="H203" s="248" t="n">
        <v>3743.96</v>
      </c>
    </row>
    <row r="204" s="236" customFormat="true" ht="12" hidden="true" customHeight="true" outlineLevel="4" collapsed="false">
      <c r="A204" s="247" t="s">
        <v>316</v>
      </c>
      <c r="B204" s="247"/>
      <c r="C204" s="247"/>
      <c r="D204" s="247"/>
      <c r="E204" s="248" t="n">
        <v>16107.9</v>
      </c>
      <c r="F204" s="248" t="n">
        <v>2684.65</v>
      </c>
      <c r="G204" s="249"/>
      <c r="H204" s="249"/>
    </row>
    <row r="205" s="236" customFormat="true" ht="12" hidden="true" customHeight="true" outlineLevel="4" collapsed="false">
      <c r="A205" s="247" t="s">
        <v>317</v>
      </c>
      <c r="B205" s="247"/>
      <c r="C205" s="247"/>
      <c r="D205" s="247"/>
      <c r="E205" s="248" t="n">
        <v>52104.9</v>
      </c>
      <c r="F205" s="248" t="n">
        <v>8684.15</v>
      </c>
      <c r="G205" s="249"/>
      <c r="H205" s="249"/>
    </row>
    <row r="206" s="236" customFormat="true" ht="12" hidden="true" customHeight="true" outlineLevel="4" collapsed="false">
      <c r="A206" s="247" t="s">
        <v>395</v>
      </c>
      <c r="B206" s="247"/>
      <c r="C206" s="247"/>
      <c r="D206" s="247"/>
      <c r="E206" s="248" t="n">
        <v>2089.2</v>
      </c>
      <c r="F206" s="250" t="n">
        <v>348.2</v>
      </c>
      <c r="G206" s="249"/>
      <c r="H206" s="249"/>
    </row>
    <row r="207" s="236" customFormat="true" ht="12" hidden="true" customHeight="true" outlineLevel="4" collapsed="false">
      <c r="A207" s="247" t="s">
        <v>315</v>
      </c>
      <c r="B207" s="247"/>
      <c r="C207" s="247"/>
      <c r="D207" s="247"/>
      <c r="E207" s="248" t="n">
        <v>16869.3</v>
      </c>
      <c r="F207" s="248" t="n">
        <v>2811.55</v>
      </c>
      <c r="G207" s="249"/>
      <c r="H207" s="249"/>
    </row>
    <row r="208" s="236" customFormat="true" ht="12" hidden="true" customHeight="true" outlineLevel="4" collapsed="false">
      <c r="A208" s="247" t="s">
        <v>396</v>
      </c>
      <c r="B208" s="247"/>
      <c r="C208" s="247"/>
      <c r="D208" s="247"/>
      <c r="E208" s="248" t="n">
        <v>185651.64</v>
      </c>
      <c r="F208" s="248" t="n">
        <v>30941.94</v>
      </c>
      <c r="G208" s="249"/>
      <c r="H208" s="249"/>
    </row>
    <row r="209" s="236" customFormat="true" ht="12" hidden="true" customHeight="true" outlineLevel="4" collapsed="false">
      <c r="A209" s="247" t="s">
        <v>318</v>
      </c>
      <c r="B209" s="247"/>
      <c r="C209" s="247"/>
      <c r="D209" s="247"/>
      <c r="E209" s="248" t="n">
        <v>74684.6</v>
      </c>
      <c r="F209" s="248" t="n">
        <v>12447.43</v>
      </c>
      <c r="G209" s="249"/>
      <c r="H209" s="249"/>
    </row>
    <row r="210" s="236" customFormat="true" ht="12" hidden="true" customHeight="true" outlineLevel="4" collapsed="false">
      <c r="A210" s="247" t="s">
        <v>320</v>
      </c>
      <c r="B210" s="247"/>
      <c r="C210" s="247"/>
      <c r="D210" s="247"/>
      <c r="E210" s="248" t="n">
        <v>7706.58</v>
      </c>
      <c r="F210" s="248" t="n">
        <v>1284.43</v>
      </c>
      <c r="G210" s="249"/>
      <c r="H210" s="249"/>
    </row>
    <row r="211" s="236" customFormat="true" ht="12" hidden="true" customHeight="true" outlineLevel="4" collapsed="false">
      <c r="A211" s="247" t="s">
        <v>322</v>
      </c>
      <c r="B211" s="247"/>
      <c r="C211" s="247"/>
      <c r="D211" s="247"/>
      <c r="E211" s="248" t="n">
        <v>3435.84</v>
      </c>
      <c r="F211" s="250" t="n">
        <v>572.64</v>
      </c>
      <c r="G211" s="249"/>
      <c r="H211" s="249"/>
    </row>
    <row r="212" s="236" customFormat="true" ht="12" hidden="true" customHeight="true" outlineLevel="4" collapsed="false">
      <c r="A212" s="247" t="s">
        <v>319</v>
      </c>
      <c r="B212" s="247"/>
      <c r="C212" s="247"/>
      <c r="D212" s="247"/>
      <c r="E212" s="248" t="n">
        <v>24353.28</v>
      </c>
      <c r="F212" s="248" t="n">
        <v>4058.88</v>
      </c>
      <c r="G212" s="249"/>
      <c r="H212" s="249"/>
    </row>
    <row r="213" s="236" customFormat="true" ht="12" hidden="true" customHeight="true" outlineLevel="4" collapsed="false">
      <c r="A213" s="247" t="s">
        <v>321</v>
      </c>
      <c r="B213" s="247"/>
      <c r="C213" s="247"/>
      <c r="D213" s="247"/>
      <c r="E213" s="248" t="n">
        <v>22463.76</v>
      </c>
      <c r="F213" s="248" t="n">
        <v>3743.96</v>
      </c>
      <c r="G213" s="249"/>
      <c r="H213" s="249"/>
    </row>
    <row r="214" s="236" customFormat="true" ht="12" hidden="true" customHeight="true" outlineLevel="4" collapsed="false">
      <c r="A214" s="247" t="s">
        <v>397</v>
      </c>
      <c r="B214" s="247"/>
      <c r="C214" s="247"/>
      <c r="D214" s="247"/>
      <c r="E214" s="250" t="n">
        <v>360.48</v>
      </c>
      <c r="F214" s="250" t="n">
        <v>60.08</v>
      </c>
      <c r="G214" s="249"/>
      <c r="H214" s="249"/>
    </row>
    <row r="215" s="236" customFormat="true" ht="12" hidden="true" customHeight="true" outlineLevel="4" collapsed="false">
      <c r="A215" s="247" t="s">
        <v>323</v>
      </c>
      <c r="B215" s="247"/>
      <c r="C215" s="247"/>
      <c r="D215" s="247"/>
      <c r="E215" s="248" t="n">
        <v>4760.88</v>
      </c>
      <c r="F215" s="250" t="n">
        <v>793.48</v>
      </c>
      <c r="G215" s="249"/>
      <c r="H215" s="249"/>
    </row>
    <row r="216" customFormat="false" ht="12" hidden="false" customHeight="true" outlineLevel="2" collapsed="false">
      <c r="A216" s="245" t="s">
        <v>398</v>
      </c>
      <c r="B216" s="245"/>
      <c r="C216" s="245"/>
      <c r="D216" s="245"/>
      <c r="E216" s="246" t="n">
        <v>7000</v>
      </c>
      <c r="F216" s="251"/>
      <c r="G216" s="246" t="n">
        <v>7000</v>
      </c>
      <c r="H216" s="251"/>
    </row>
    <row r="217" customFormat="false" ht="12" hidden="false" customHeight="true" outlineLevel="3" collapsed="false">
      <c r="A217" s="247" t="s">
        <v>399</v>
      </c>
      <c r="B217" s="247"/>
      <c r="C217" s="247"/>
      <c r="D217" s="247"/>
      <c r="E217" s="248" t="n">
        <v>7000</v>
      </c>
      <c r="F217" s="249"/>
      <c r="G217" s="248" t="n">
        <v>7000</v>
      </c>
      <c r="H217" s="249"/>
    </row>
    <row r="218" s="236" customFormat="true" ht="12" hidden="true" customHeight="true" outlineLevel="4" collapsed="false">
      <c r="A218" s="247" t="s">
        <v>400</v>
      </c>
      <c r="B218" s="247"/>
      <c r="C218" s="247"/>
      <c r="D218" s="247"/>
      <c r="E218" s="248" t="n">
        <v>7000</v>
      </c>
      <c r="F218" s="249"/>
      <c r="G218" s="249"/>
      <c r="H218" s="249"/>
    </row>
    <row r="219" s="236" customFormat="true" ht="12" hidden="true" customHeight="true" outlineLevel="4" collapsed="false">
      <c r="A219" s="247" t="s">
        <v>401</v>
      </c>
      <c r="B219" s="247"/>
      <c r="C219" s="247"/>
      <c r="D219" s="247"/>
      <c r="E219" s="249"/>
      <c r="F219" s="249"/>
      <c r="G219" s="248" t="n">
        <v>7000</v>
      </c>
      <c r="H219" s="249"/>
    </row>
    <row r="220" customFormat="false" ht="12" hidden="false" customHeight="true" outlineLevel="2" collapsed="false">
      <c r="A220" s="245" t="s">
        <v>33</v>
      </c>
      <c r="B220" s="245"/>
      <c r="C220" s="245"/>
      <c r="D220" s="245"/>
      <c r="E220" s="246" t="n">
        <v>337000</v>
      </c>
      <c r="F220" s="246" t="n">
        <v>5500</v>
      </c>
      <c r="G220" s="246" t="n">
        <v>293000</v>
      </c>
      <c r="H220" s="246" t="n">
        <v>5500</v>
      </c>
    </row>
    <row r="221" customFormat="false" ht="12" hidden="false" customHeight="true" outlineLevel="3" collapsed="false">
      <c r="A221" s="247" t="s">
        <v>402</v>
      </c>
      <c r="B221" s="247"/>
      <c r="C221" s="247"/>
      <c r="D221" s="247"/>
      <c r="E221" s="248" t="n">
        <v>20000</v>
      </c>
      <c r="F221" s="248" t="n">
        <v>3333.33</v>
      </c>
      <c r="G221" s="248" t="n">
        <v>20000</v>
      </c>
      <c r="H221" s="248" t="n">
        <v>3333.33</v>
      </c>
    </row>
    <row r="222" s="236" customFormat="true" ht="12" hidden="true" customHeight="true" outlineLevel="4" collapsed="false">
      <c r="A222" s="247" t="s">
        <v>403</v>
      </c>
      <c r="B222" s="247"/>
      <c r="C222" s="247"/>
      <c r="D222" s="247"/>
      <c r="E222" s="249"/>
      <c r="F222" s="249"/>
      <c r="G222" s="248" t="n">
        <v>20000</v>
      </c>
      <c r="H222" s="248" t="n">
        <v>3333.33</v>
      </c>
    </row>
    <row r="223" s="236" customFormat="true" ht="12" hidden="true" customHeight="true" outlineLevel="4" collapsed="false">
      <c r="A223" s="247" t="s">
        <v>404</v>
      </c>
      <c r="B223" s="247"/>
      <c r="C223" s="247"/>
      <c r="D223" s="247"/>
      <c r="E223" s="248" t="n">
        <v>20000</v>
      </c>
      <c r="F223" s="248" t="n">
        <v>3333.33</v>
      </c>
      <c r="G223" s="249"/>
      <c r="H223" s="249"/>
    </row>
    <row r="224" customFormat="false" ht="12" hidden="false" customHeight="true" outlineLevel="3" collapsed="true">
      <c r="A224" s="247" t="s">
        <v>405</v>
      </c>
      <c r="B224" s="247"/>
      <c r="C224" s="247"/>
      <c r="D224" s="247"/>
      <c r="E224" s="248" t="n">
        <v>44000</v>
      </c>
      <c r="F224" s="249"/>
      <c r="G224" s="249"/>
      <c r="H224" s="249"/>
    </row>
    <row r="225" s="236" customFormat="true" ht="12" hidden="true" customHeight="true" outlineLevel="4" collapsed="false">
      <c r="A225" s="247" t="s">
        <v>406</v>
      </c>
      <c r="B225" s="247"/>
      <c r="C225" s="247"/>
      <c r="D225" s="247"/>
      <c r="E225" s="248" t="n">
        <v>44000</v>
      </c>
      <c r="F225" s="249"/>
      <c r="G225" s="249"/>
      <c r="H225" s="249"/>
    </row>
    <row r="226" customFormat="false" ht="12" hidden="false" customHeight="true" outlineLevel="3" collapsed="true">
      <c r="A226" s="247" t="s">
        <v>381</v>
      </c>
      <c r="B226" s="247"/>
      <c r="C226" s="247"/>
      <c r="D226" s="247"/>
      <c r="E226" s="248" t="n">
        <v>13000</v>
      </c>
      <c r="F226" s="248" t="n">
        <v>2166.67</v>
      </c>
      <c r="G226" s="248" t="n">
        <v>13000</v>
      </c>
      <c r="H226" s="248" t="n">
        <v>2166.67</v>
      </c>
    </row>
    <row r="227" s="236" customFormat="true" ht="12" hidden="true" customHeight="true" outlineLevel="4" collapsed="false">
      <c r="A227" s="247" t="s">
        <v>382</v>
      </c>
      <c r="B227" s="247"/>
      <c r="C227" s="247"/>
      <c r="D227" s="247"/>
      <c r="E227" s="248" t="n">
        <v>13000</v>
      </c>
      <c r="F227" s="248" t="n">
        <v>2166.67</v>
      </c>
      <c r="G227" s="249"/>
      <c r="H227" s="249"/>
    </row>
    <row r="228" s="236" customFormat="true" ht="12" hidden="true" customHeight="true" outlineLevel="4" collapsed="false">
      <c r="A228" s="247" t="s">
        <v>383</v>
      </c>
      <c r="B228" s="247"/>
      <c r="C228" s="247"/>
      <c r="D228" s="247"/>
      <c r="E228" s="249"/>
      <c r="F228" s="249"/>
      <c r="G228" s="248" t="n">
        <v>13000</v>
      </c>
      <c r="H228" s="248" t="n">
        <v>2166.67</v>
      </c>
    </row>
    <row r="229" customFormat="false" ht="12" hidden="false" customHeight="true" outlineLevel="3" collapsed="true">
      <c r="A229" s="247" t="s">
        <v>407</v>
      </c>
      <c r="B229" s="247"/>
      <c r="C229" s="247"/>
      <c r="D229" s="247"/>
      <c r="E229" s="248" t="n">
        <v>260000</v>
      </c>
      <c r="F229" s="249"/>
      <c r="G229" s="248" t="n">
        <v>260000</v>
      </c>
      <c r="H229" s="249"/>
    </row>
    <row r="230" s="236" customFormat="true" ht="12" hidden="true" customHeight="true" outlineLevel="4" collapsed="false">
      <c r="A230" s="247" t="s">
        <v>408</v>
      </c>
      <c r="B230" s="247"/>
      <c r="C230" s="247"/>
      <c r="D230" s="247"/>
      <c r="E230" s="249"/>
      <c r="F230" s="249"/>
      <c r="G230" s="248" t="n">
        <v>260000</v>
      </c>
      <c r="H230" s="249"/>
    </row>
    <row r="231" s="236" customFormat="true" ht="12" hidden="true" customHeight="true" outlineLevel="4" collapsed="false">
      <c r="A231" s="247" t="s">
        <v>409</v>
      </c>
      <c r="B231" s="247"/>
      <c r="C231" s="247"/>
      <c r="D231" s="247"/>
      <c r="E231" s="248" t="n">
        <v>130000</v>
      </c>
      <c r="F231" s="249"/>
      <c r="G231" s="249"/>
      <c r="H231" s="249"/>
    </row>
    <row r="232" s="236" customFormat="true" ht="12" hidden="true" customHeight="true" outlineLevel="4" collapsed="false">
      <c r="A232" s="247" t="s">
        <v>410</v>
      </c>
      <c r="B232" s="247"/>
      <c r="C232" s="247"/>
      <c r="D232" s="247"/>
      <c r="E232" s="248" t="n">
        <v>130000</v>
      </c>
      <c r="F232" s="249"/>
      <c r="G232" s="249"/>
      <c r="H232" s="249"/>
    </row>
    <row r="233" customFormat="false" ht="12" hidden="false" customHeight="true" outlineLevel="2" collapsed="false">
      <c r="A233" s="245" t="s">
        <v>411</v>
      </c>
      <c r="B233" s="245"/>
      <c r="C233" s="245"/>
      <c r="D233" s="245"/>
      <c r="E233" s="246" t="n">
        <v>6580</v>
      </c>
      <c r="F233" s="251"/>
      <c r="G233" s="246" t="n">
        <v>6580</v>
      </c>
      <c r="H233" s="251"/>
    </row>
    <row r="234" customFormat="false" ht="12" hidden="false" customHeight="true" outlineLevel="3" collapsed="false">
      <c r="A234" s="247" t="s">
        <v>346</v>
      </c>
      <c r="B234" s="247"/>
      <c r="C234" s="247"/>
      <c r="D234" s="247"/>
      <c r="E234" s="248" t="n">
        <v>6580</v>
      </c>
      <c r="F234" s="249"/>
      <c r="G234" s="248" t="n">
        <v>6580</v>
      </c>
      <c r="H234" s="249"/>
    </row>
    <row r="235" s="236" customFormat="true" ht="12" hidden="true" customHeight="true" outlineLevel="4" collapsed="false">
      <c r="A235" s="247" t="s">
        <v>349</v>
      </c>
      <c r="B235" s="247"/>
      <c r="C235" s="247"/>
      <c r="D235" s="247"/>
      <c r="E235" s="248" t="n">
        <v>6580</v>
      </c>
      <c r="F235" s="249"/>
      <c r="G235" s="249"/>
      <c r="H235" s="249"/>
    </row>
    <row r="236" s="236" customFormat="true" ht="12" hidden="true" customHeight="true" outlineLevel="4" collapsed="false">
      <c r="A236" s="247" t="s">
        <v>343</v>
      </c>
      <c r="B236" s="247"/>
      <c r="C236" s="247"/>
      <c r="D236" s="247"/>
      <c r="E236" s="249"/>
      <c r="F236" s="249"/>
      <c r="G236" s="248" t="n">
        <v>6580</v>
      </c>
      <c r="H236" s="249"/>
    </row>
    <row r="237" customFormat="false" ht="12" hidden="false" customHeight="true" outlineLevel="2" collapsed="false">
      <c r="A237" s="245" t="s">
        <v>412</v>
      </c>
      <c r="B237" s="245"/>
      <c r="C237" s="245"/>
      <c r="D237" s="245"/>
      <c r="E237" s="246" t="n">
        <v>439180</v>
      </c>
      <c r="F237" s="251"/>
      <c r="G237" s="246" t="n">
        <v>96808</v>
      </c>
      <c r="H237" s="251"/>
    </row>
    <row r="238" customFormat="false" ht="12" hidden="false" customHeight="true" outlineLevel="3" collapsed="false">
      <c r="A238" s="247" t="s">
        <v>413</v>
      </c>
      <c r="B238" s="247"/>
      <c r="C238" s="247"/>
      <c r="D238" s="247"/>
      <c r="E238" s="248" t="n">
        <v>342372</v>
      </c>
      <c r="F238" s="249"/>
      <c r="G238" s="249"/>
      <c r="H238" s="249"/>
    </row>
    <row r="239" s="236" customFormat="true" ht="12" hidden="true" customHeight="true" outlineLevel="4" collapsed="false">
      <c r="A239" s="247" t="s">
        <v>414</v>
      </c>
      <c r="B239" s="247"/>
      <c r="C239" s="247"/>
      <c r="D239" s="247"/>
      <c r="E239" s="248" t="n">
        <v>142372</v>
      </c>
      <c r="F239" s="249"/>
      <c r="G239" s="249"/>
      <c r="H239" s="249"/>
    </row>
    <row r="240" s="236" customFormat="true" ht="12" hidden="true" customHeight="true" outlineLevel="4" collapsed="false">
      <c r="A240" s="247" t="s">
        <v>415</v>
      </c>
      <c r="B240" s="247"/>
      <c r="C240" s="247"/>
      <c r="D240" s="247"/>
      <c r="E240" s="248" t="n">
        <v>100000</v>
      </c>
      <c r="F240" s="249"/>
      <c r="G240" s="249"/>
      <c r="H240" s="249"/>
    </row>
    <row r="241" s="236" customFormat="true" ht="12" hidden="true" customHeight="true" outlineLevel="4" collapsed="false">
      <c r="A241" s="247" t="s">
        <v>416</v>
      </c>
      <c r="B241" s="247"/>
      <c r="C241" s="247"/>
      <c r="D241" s="247"/>
      <c r="E241" s="248" t="n">
        <v>100000</v>
      </c>
      <c r="F241" s="249"/>
      <c r="G241" s="249"/>
      <c r="H241" s="249"/>
    </row>
    <row r="242" customFormat="false" ht="12" hidden="false" customHeight="true" outlineLevel="3" collapsed="true">
      <c r="A242" s="247" t="s">
        <v>417</v>
      </c>
      <c r="B242" s="247"/>
      <c r="C242" s="247"/>
      <c r="D242" s="247"/>
      <c r="E242" s="248" t="n">
        <v>96808</v>
      </c>
      <c r="F242" s="249"/>
      <c r="G242" s="248" t="n">
        <v>96808</v>
      </c>
      <c r="H242" s="249"/>
    </row>
    <row r="243" s="236" customFormat="true" ht="12" hidden="true" customHeight="true" outlineLevel="4" collapsed="false">
      <c r="A243" s="247" t="s">
        <v>418</v>
      </c>
      <c r="B243" s="247"/>
      <c r="C243" s="247"/>
      <c r="D243" s="247"/>
      <c r="E243" s="248" t="n">
        <v>96808</v>
      </c>
      <c r="F243" s="249"/>
      <c r="G243" s="249"/>
      <c r="H243" s="249"/>
    </row>
    <row r="244" s="236" customFormat="true" ht="12" hidden="true" customHeight="true" outlineLevel="4" collapsed="false">
      <c r="A244" s="247" t="s">
        <v>419</v>
      </c>
      <c r="B244" s="247"/>
      <c r="C244" s="247"/>
      <c r="D244" s="247"/>
      <c r="E244" s="249"/>
      <c r="F244" s="249"/>
      <c r="G244" s="248" t="n">
        <v>96808</v>
      </c>
      <c r="H244" s="249"/>
    </row>
    <row r="245" customFormat="false" ht="12" hidden="false" customHeight="true" outlineLevel="2" collapsed="false">
      <c r="A245" s="245" t="s">
        <v>35</v>
      </c>
      <c r="B245" s="245"/>
      <c r="C245" s="245"/>
      <c r="D245" s="245"/>
      <c r="E245" s="246" t="n">
        <v>60011</v>
      </c>
      <c r="F245" s="251"/>
      <c r="G245" s="246" t="n">
        <v>60011</v>
      </c>
      <c r="H245" s="251"/>
    </row>
    <row r="246" customFormat="false" ht="12" hidden="false" customHeight="true" outlineLevel="3" collapsed="false">
      <c r="A246" s="247" t="s">
        <v>420</v>
      </c>
      <c r="B246" s="247"/>
      <c r="C246" s="247"/>
      <c r="D246" s="247"/>
      <c r="E246" s="248" t="n">
        <v>60011</v>
      </c>
      <c r="F246" s="249"/>
      <c r="G246" s="248" t="n">
        <v>60011</v>
      </c>
      <c r="H246" s="249"/>
    </row>
    <row r="247" s="236" customFormat="true" ht="12" hidden="true" customHeight="true" outlineLevel="4" collapsed="false">
      <c r="A247" s="247" t="s">
        <v>421</v>
      </c>
      <c r="B247" s="247"/>
      <c r="C247" s="247"/>
      <c r="D247" s="247"/>
      <c r="E247" s="249"/>
      <c r="F247" s="249"/>
      <c r="G247" s="248" t="n">
        <v>26333</v>
      </c>
      <c r="H247" s="249"/>
    </row>
    <row r="248" s="236" customFormat="true" ht="12" hidden="true" customHeight="true" outlineLevel="4" collapsed="false">
      <c r="A248" s="247" t="s">
        <v>422</v>
      </c>
      <c r="B248" s="247"/>
      <c r="C248" s="247"/>
      <c r="D248" s="247"/>
      <c r="E248" s="248" t="n">
        <v>26333</v>
      </c>
      <c r="F248" s="249"/>
      <c r="G248" s="249"/>
      <c r="H248" s="249"/>
    </row>
    <row r="249" s="236" customFormat="true" ht="12" hidden="true" customHeight="true" outlineLevel="4" collapsed="false">
      <c r="A249" s="247" t="s">
        <v>423</v>
      </c>
      <c r="B249" s="247"/>
      <c r="C249" s="247"/>
      <c r="D249" s="247"/>
      <c r="E249" s="249"/>
      <c r="F249" s="249"/>
      <c r="G249" s="248" t="n">
        <v>33678</v>
      </c>
      <c r="H249" s="249"/>
    </row>
    <row r="250" s="236" customFormat="true" ht="12" hidden="true" customHeight="true" outlineLevel="4" collapsed="false">
      <c r="A250" s="247" t="s">
        <v>424</v>
      </c>
      <c r="B250" s="247"/>
      <c r="C250" s="247"/>
      <c r="D250" s="247"/>
      <c r="E250" s="248" t="n">
        <v>33678</v>
      </c>
      <c r="F250" s="249"/>
      <c r="G250" s="249"/>
      <c r="H250" s="249"/>
    </row>
    <row r="251" customFormat="false" ht="12" hidden="false" customHeight="true" outlineLevel="2" collapsed="false">
      <c r="A251" s="245" t="s">
        <v>425</v>
      </c>
      <c r="B251" s="245"/>
      <c r="C251" s="245"/>
      <c r="D251" s="245"/>
      <c r="E251" s="246" t="n">
        <v>42553.2</v>
      </c>
      <c r="F251" s="251"/>
      <c r="G251" s="246" t="n">
        <v>42553.2</v>
      </c>
      <c r="H251" s="246" t="n">
        <v>7092.2</v>
      </c>
    </row>
    <row r="252" customFormat="false" ht="12" hidden="false" customHeight="true" outlineLevel="3" collapsed="false">
      <c r="A252" s="247" t="s">
        <v>426</v>
      </c>
      <c r="B252" s="247"/>
      <c r="C252" s="247"/>
      <c r="D252" s="247"/>
      <c r="E252" s="248" t="n">
        <v>42553.2</v>
      </c>
      <c r="F252" s="249"/>
      <c r="G252" s="248" t="n">
        <v>42553.2</v>
      </c>
      <c r="H252" s="248" t="n">
        <v>7092.2</v>
      </c>
    </row>
    <row r="253" s="236" customFormat="true" ht="12" hidden="true" customHeight="true" outlineLevel="4" collapsed="false">
      <c r="A253" s="247" t="s">
        <v>427</v>
      </c>
      <c r="B253" s="247"/>
      <c r="C253" s="247"/>
      <c r="D253" s="247"/>
      <c r="E253" s="249"/>
      <c r="F253" s="249"/>
      <c r="G253" s="248" t="n">
        <v>1108.8</v>
      </c>
      <c r="H253" s="250" t="n">
        <v>184.8</v>
      </c>
    </row>
    <row r="254" s="236" customFormat="true" ht="12" hidden="true" customHeight="true" outlineLevel="4" collapsed="false">
      <c r="A254" s="247" t="s">
        <v>428</v>
      </c>
      <c r="B254" s="247"/>
      <c r="C254" s="247"/>
      <c r="D254" s="247"/>
      <c r="E254" s="249"/>
      <c r="F254" s="249"/>
      <c r="G254" s="248" t="n">
        <v>16954.8</v>
      </c>
      <c r="H254" s="248" t="n">
        <v>2825.8</v>
      </c>
    </row>
    <row r="255" s="236" customFormat="true" ht="12" hidden="true" customHeight="true" outlineLevel="4" collapsed="false">
      <c r="A255" s="247" t="s">
        <v>429</v>
      </c>
      <c r="B255" s="247"/>
      <c r="C255" s="247"/>
      <c r="D255" s="247"/>
      <c r="E255" s="249"/>
      <c r="F255" s="249"/>
      <c r="G255" s="248" t="n">
        <v>16402.8</v>
      </c>
      <c r="H255" s="248" t="n">
        <v>2733.8</v>
      </c>
    </row>
    <row r="256" s="236" customFormat="true" ht="12" hidden="true" customHeight="true" outlineLevel="4" collapsed="false">
      <c r="A256" s="247" t="s">
        <v>430</v>
      </c>
      <c r="B256" s="247"/>
      <c r="C256" s="247"/>
      <c r="D256" s="247"/>
      <c r="E256" s="249"/>
      <c r="F256" s="249"/>
      <c r="G256" s="248" t="n">
        <v>8086.8</v>
      </c>
      <c r="H256" s="248" t="n">
        <v>1347.8</v>
      </c>
    </row>
    <row r="257" s="236" customFormat="true" ht="12" hidden="true" customHeight="true" outlineLevel="4" collapsed="false">
      <c r="A257" s="247" t="s">
        <v>431</v>
      </c>
      <c r="B257" s="247"/>
      <c r="C257" s="247"/>
      <c r="D257" s="247"/>
      <c r="E257" s="248" t="n">
        <v>16954.8</v>
      </c>
      <c r="F257" s="249"/>
      <c r="G257" s="249"/>
      <c r="H257" s="249"/>
    </row>
    <row r="258" s="236" customFormat="true" ht="12" hidden="true" customHeight="true" outlineLevel="4" collapsed="false">
      <c r="A258" s="247" t="s">
        <v>432</v>
      </c>
      <c r="B258" s="247"/>
      <c r="C258" s="247"/>
      <c r="D258" s="247"/>
      <c r="E258" s="248" t="n">
        <v>16402.8</v>
      </c>
      <c r="F258" s="249"/>
      <c r="G258" s="249"/>
      <c r="H258" s="249"/>
    </row>
    <row r="259" s="236" customFormat="true" ht="12" hidden="true" customHeight="true" outlineLevel="4" collapsed="false">
      <c r="A259" s="247" t="s">
        <v>433</v>
      </c>
      <c r="B259" s="247"/>
      <c r="C259" s="247"/>
      <c r="D259" s="247"/>
      <c r="E259" s="248" t="n">
        <v>8086.8</v>
      </c>
      <c r="F259" s="249"/>
      <c r="G259" s="249"/>
      <c r="H259" s="249"/>
    </row>
    <row r="260" s="236" customFormat="true" ht="12" hidden="true" customHeight="true" outlineLevel="4" collapsed="false">
      <c r="A260" s="247" t="s">
        <v>434</v>
      </c>
      <c r="B260" s="247"/>
      <c r="C260" s="247"/>
      <c r="D260" s="247"/>
      <c r="E260" s="248" t="n">
        <v>1108.8</v>
      </c>
      <c r="F260" s="249"/>
      <c r="G260" s="249"/>
      <c r="H260" s="249"/>
    </row>
    <row r="261" customFormat="false" ht="12" hidden="false" customHeight="true" outlineLevel="2" collapsed="false">
      <c r="A261" s="245" t="s">
        <v>435</v>
      </c>
      <c r="B261" s="245"/>
      <c r="C261" s="245"/>
      <c r="D261" s="245"/>
      <c r="E261" s="246" t="n">
        <v>22635.2</v>
      </c>
      <c r="F261" s="251"/>
      <c r="G261" s="246" t="n">
        <v>22635.2</v>
      </c>
      <c r="H261" s="246" t="n">
        <v>3772.53</v>
      </c>
    </row>
    <row r="262" customFormat="false" ht="12" hidden="false" customHeight="true" outlineLevel="3" collapsed="false">
      <c r="A262" s="247" t="s">
        <v>426</v>
      </c>
      <c r="B262" s="247"/>
      <c r="C262" s="247"/>
      <c r="D262" s="247"/>
      <c r="E262" s="248" t="n">
        <v>22635.2</v>
      </c>
      <c r="F262" s="249"/>
      <c r="G262" s="248" t="n">
        <v>22635.2</v>
      </c>
      <c r="H262" s="248" t="n">
        <v>3772.53</v>
      </c>
    </row>
    <row r="263" s="236" customFormat="true" ht="12" hidden="true" customHeight="true" outlineLevel="4" collapsed="false">
      <c r="A263" s="247" t="s">
        <v>432</v>
      </c>
      <c r="B263" s="247"/>
      <c r="C263" s="247"/>
      <c r="D263" s="247"/>
      <c r="E263" s="248" t="n">
        <v>3976.8</v>
      </c>
      <c r="F263" s="249"/>
      <c r="G263" s="249"/>
      <c r="H263" s="249"/>
    </row>
    <row r="264" s="236" customFormat="true" ht="12" hidden="true" customHeight="true" outlineLevel="4" collapsed="false">
      <c r="A264" s="247" t="s">
        <v>431</v>
      </c>
      <c r="B264" s="247"/>
      <c r="C264" s="247"/>
      <c r="D264" s="247"/>
      <c r="E264" s="248" t="n">
        <v>18658.4</v>
      </c>
      <c r="F264" s="249"/>
      <c r="G264" s="249"/>
      <c r="H264" s="249"/>
    </row>
    <row r="265" s="236" customFormat="true" ht="12" hidden="true" customHeight="true" outlineLevel="4" collapsed="false">
      <c r="A265" s="247" t="s">
        <v>429</v>
      </c>
      <c r="B265" s="247"/>
      <c r="C265" s="247"/>
      <c r="D265" s="247"/>
      <c r="E265" s="249"/>
      <c r="F265" s="249"/>
      <c r="G265" s="248" t="n">
        <v>3976.8</v>
      </c>
      <c r="H265" s="250" t="n">
        <v>662.8</v>
      </c>
    </row>
    <row r="266" s="236" customFormat="true" ht="12" hidden="true" customHeight="true" outlineLevel="4" collapsed="false">
      <c r="A266" s="247" t="s">
        <v>428</v>
      </c>
      <c r="B266" s="247"/>
      <c r="C266" s="247"/>
      <c r="D266" s="247"/>
      <c r="E266" s="249"/>
      <c r="F266" s="249"/>
      <c r="G266" s="248" t="n">
        <v>18658.4</v>
      </c>
      <c r="H266" s="248" t="n">
        <v>3109.73</v>
      </c>
    </row>
    <row r="267" customFormat="false" ht="12" hidden="false" customHeight="true" outlineLevel="2" collapsed="false">
      <c r="A267" s="245" t="s">
        <v>37</v>
      </c>
      <c r="B267" s="245"/>
      <c r="C267" s="245"/>
      <c r="D267" s="245"/>
      <c r="E267" s="246" t="n">
        <v>403697.11</v>
      </c>
      <c r="F267" s="246" t="n">
        <v>67282.86</v>
      </c>
      <c r="G267" s="246" t="n">
        <v>403697.11</v>
      </c>
      <c r="H267" s="246" t="n">
        <v>67282.87</v>
      </c>
    </row>
    <row r="268" customFormat="false" ht="12" hidden="false" customHeight="true" outlineLevel="3" collapsed="false">
      <c r="A268" s="247" t="s">
        <v>258</v>
      </c>
      <c r="B268" s="247"/>
      <c r="C268" s="247"/>
      <c r="D268" s="247"/>
      <c r="E268" s="248" t="n">
        <v>403697.11</v>
      </c>
      <c r="F268" s="248" t="n">
        <v>67282.86</v>
      </c>
      <c r="G268" s="248" t="n">
        <v>403697.11</v>
      </c>
      <c r="H268" s="248" t="n">
        <v>67282.87</v>
      </c>
    </row>
    <row r="269" s="236" customFormat="true" ht="12" hidden="true" customHeight="true" outlineLevel="4" collapsed="false">
      <c r="A269" s="247" t="s">
        <v>331</v>
      </c>
      <c r="B269" s="247"/>
      <c r="C269" s="247"/>
      <c r="D269" s="247"/>
      <c r="E269" s="249"/>
      <c r="F269" s="249"/>
      <c r="G269" s="250" t="n">
        <v>557.28</v>
      </c>
      <c r="H269" s="250" t="n">
        <v>92.88</v>
      </c>
    </row>
    <row r="270" s="236" customFormat="true" ht="12" hidden="true" customHeight="true" outlineLevel="4" collapsed="false">
      <c r="A270" s="247" t="s">
        <v>332</v>
      </c>
      <c r="B270" s="247"/>
      <c r="C270" s="247"/>
      <c r="D270" s="247"/>
      <c r="E270" s="249"/>
      <c r="F270" s="249"/>
      <c r="G270" s="248" t="n">
        <v>2016</v>
      </c>
      <c r="H270" s="250" t="n">
        <v>336</v>
      </c>
    </row>
    <row r="271" s="236" customFormat="true" ht="12" hidden="true" customHeight="true" outlineLevel="4" collapsed="false">
      <c r="A271" s="247" t="s">
        <v>436</v>
      </c>
      <c r="B271" s="247"/>
      <c r="C271" s="247"/>
      <c r="D271" s="247"/>
      <c r="E271" s="249"/>
      <c r="F271" s="249"/>
      <c r="G271" s="248" t="n">
        <v>1183.97</v>
      </c>
      <c r="H271" s="250" t="n">
        <v>197.33</v>
      </c>
    </row>
    <row r="272" s="236" customFormat="true" ht="12" hidden="true" customHeight="true" outlineLevel="4" collapsed="false">
      <c r="A272" s="247" t="s">
        <v>330</v>
      </c>
      <c r="B272" s="247"/>
      <c r="C272" s="247"/>
      <c r="D272" s="247"/>
      <c r="E272" s="249"/>
      <c r="F272" s="249"/>
      <c r="G272" s="248" t="n">
        <v>4750.86</v>
      </c>
      <c r="H272" s="250" t="n">
        <v>791.81</v>
      </c>
    </row>
    <row r="273" s="236" customFormat="true" ht="12" hidden="true" customHeight="true" outlineLevel="4" collapsed="false">
      <c r="A273" s="247" t="s">
        <v>437</v>
      </c>
      <c r="B273" s="247"/>
      <c r="C273" s="247"/>
      <c r="D273" s="247"/>
      <c r="E273" s="249"/>
      <c r="F273" s="249"/>
      <c r="G273" s="248" t="n">
        <v>3111.22</v>
      </c>
      <c r="H273" s="250" t="n">
        <v>518.54</v>
      </c>
    </row>
    <row r="274" s="236" customFormat="true" ht="12" hidden="true" customHeight="true" outlineLevel="4" collapsed="false">
      <c r="A274" s="247" t="s">
        <v>438</v>
      </c>
      <c r="B274" s="247"/>
      <c r="C274" s="247"/>
      <c r="D274" s="247"/>
      <c r="E274" s="249"/>
      <c r="F274" s="249"/>
      <c r="G274" s="248" t="n">
        <v>13591.63</v>
      </c>
      <c r="H274" s="248" t="n">
        <v>2265.27</v>
      </c>
    </row>
    <row r="275" s="236" customFormat="true" ht="12" hidden="true" customHeight="true" outlineLevel="4" collapsed="false">
      <c r="A275" s="247" t="s">
        <v>439</v>
      </c>
      <c r="B275" s="247"/>
      <c r="C275" s="247"/>
      <c r="D275" s="247"/>
      <c r="E275" s="249"/>
      <c r="F275" s="249"/>
      <c r="G275" s="248" t="n">
        <v>18452.57</v>
      </c>
      <c r="H275" s="248" t="n">
        <v>3075.43</v>
      </c>
    </row>
    <row r="276" s="236" customFormat="true" ht="12" hidden="true" customHeight="true" outlineLevel="4" collapsed="false">
      <c r="A276" s="247" t="s">
        <v>440</v>
      </c>
      <c r="B276" s="247"/>
      <c r="C276" s="247"/>
      <c r="D276" s="247"/>
      <c r="E276" s="249"/>
      <c r="F276" s="249"/>
      <c r="G276" s="248" t="n">
        <v>15024.12</v>
      </c>
      <c r="H276" s="248" t="n">
        <v>2504.02</v>
      </c>
    </row>
    <row r="277" s="236" customFormat="true" ht="12" hidden="true" customHeight="true" outlineLevel="4" collapsed="false">
      <c r="A277" s="247" t="s">
        <v>441</v>
      </c>
      <c r="B277" s="247"/>
      <c r="C277" s="247"/>
      <c r="D277" s="247"/>
      <c r="E277" s="249"/>
      <c r="F277" s="249"/>
      <c r="G277" s="248" t="n">
        <v>11417.51</v>
      </c>
      <c r="H277" s="248" t="n">
        <v>1902.92</v>
      </c>
    </row>
    <row r="278" s="236" customFormat="true" ht="12" hidden="true" customHeight="true" outlineLevel="4" collapsed="false">
      <c r="A278" s="247" t="s">
        <v>336</v>
      </c>
      <c r="B278" s="247"/>
      <c r="C278" s="247"/>
      <c r="D278" s="247"/>
      <c r="E278" s="249"/>
      <c r="F278" s="249"/>
      <c r="G278" s="250" t="n">
        <v>873.6</v>
      </c>
      <c r="H278" s="250" t="n">
        <v>145.6</v>
      </c>
    </row>
    <row r="279" s="236" customFormat="true" ht="12" hidden="true" customHeight="true" outlineLevel="4" collapsed="false">
      <c r="A279" s="247" t="s">
        <v>335</v>
      </c>
      <c r="B279" s="247"/>
      <c r="C279" s="247"/>
      <c r="D279" s="247"/>
      <c r="E279" s="249"/>
      <c r="F279" s="249"/>
      <c r="G279" s="248" t="n">
        <v>7700.47</v>
      </c>
      <c r="H279" s="248" t="n">
        <v>1283.41</v>
      </c>
    </row>
    <row r="280" s="236" customFormat="true" ht="12" hidden="true" customHeight="true" outlineLevel="4" collapsed="false">
      <c r="A280" s="247" t="s">
        <v>333</v>
      </c>
      <c r="B280" s="247"/>
      <c r="C280" s="247"/>
      <c r="D280" s="247"/>
      <c r="E280" s="249"/>
      <c r="F280" s="249"/>
      <c r="G280" s="250" t="n">
        <v>945.49</v>
      </c>
      <c r="H280" s="250" t="n">
        <v>157.59</v>
      </c>
    </row>
    <row r="281" s="236" customFormat="true" ht="12" hidden="true" customHeight="true" outlineLevel="4" collapsed="false">
      <c r="A281" s="247" t="s">
        <v>442</v>
      </c>
      <c r="B281" s="247"/>
      <c r="C281" s="247"/>
      <c r="D281" s="247"/>
      <c r="E281" s="249"/>
      <c r="F281" s="249"/>
      <c r="G281" s="248" t="n">
        <v>4182.84</v>
      </c>
      <c r="H281" s="250" t="n">
        <v>697.14</v>
      </c>
    </row>
    <row r="282" s="236" customFormat="true" ht="12" hidden="true" customHeight="true" outlineLevel="4" collapsed="false">
      <c r="A282" s="247" t="s">
        <v>443</v>
      </c>
      <c r="B282" s="247"/>
      <c r="C282" s="247"/>
      <c r="D282" s="247"/>
      <c r="E282" s="249"/>
      <c r="F282" s="249"/>
      <c r="G282" s="250" t="n">
        <v>390.16</v>
      </c>
      <c r="H282" s="250" t="n">
        <v>65.03</v>
      </c>
    </row>
    <row r="283" s="236" customFormat="true" ht="12" hidden="true" customHeight="true" outlineLevel="4" collapsed="false">
      <c r="A283" s="247" t="s">
        <v>444</v>
      </c>
      <c r="B283" s="247"/>
      <c r="C283" s="247"/>
      <c r="D283" s="247"/>
      <c r="E283" s="249"/>
      <c r="F283" s="249"/>
      <c r="G283" s="248" t="n">
        <v>11247.36</v>
      </c>
      <c r="H283" s="248" t="n">
        <v>1874.56</v>
      </c>
    </row>
    <row r="284" s="236" customFormat="true" ht="12" hidden="true" customHeight="true" outlineLevel="4" collapsed="false">
      <c r="A284" s="247" t="s">
        <v>445</v>
      </c>
      <c r="B284" s="247"/>
      <c r="C284" s="247"/>
      <c r="D284" s="247"/>
      <c r="E284" s="249"/>
      <c r="F284" s="249"/>
      <c r="G284" s="248" t="n">
        <v>19217.94</v>
      </c>
      <c r="H284" s="248" t="n">
        <v>3202.99</v>
      </c>
    </row>
    <row r="285" s="236" customFormat="true" ht="12" hidden="true" customHeight="true" outlineLevel="4" collapsed="false">
      <c r="A285" s="247" t="s">
        <v>446</v>
      </c>
      <c r="B285" s="247"/>
      <c r="C285" s="247"/>
      <c r="D285" s="247"/>
      <c r="E285" s="249"/>
      <c r="F285" s="249"/>
      <c r="G285" s="248" t="n">
        <v>77872.84</v>
      </c>
      <c r="H285" s="248" t="n">
        <v>12978.81</v>
      </c>
    </row>
    <row r="286" s="236" customFormat="true" ht="12" hidden="true" customHeight="true" outlineLevel="4" collapsed="false">
      <c r="A286" s="247" t="s">
        <v>447</v>
      </c>
      <c r="B286" s="247"/>
      <c r="C286" s="247"/>
      <c r="D286" s="247"/>
      <c r="E286" s="249"/>
      <c r="F286" s="249"/>
      <c r="G286" s="248" t="n">
        <v>27243.19</v>
      </c>
      <c r="H286" s="248" t="n">
        <v>4540.53</v>
      </c>
    </row>
    <row r="287" s="236" customFormat="true" ht="12" hidden="true" customHeight="true" outlineLevel="4" collapsed="false">
      <c r="A287" s="247" t="s">
        <v>448</v>
      </c>
      <c r="B287" s="247"/>
      <c r="C287" s="247"/>
      <c r="D287" s="247"/>
      <c r="E287" s="249"/>
      <c r="F287" s="249"/>
      <c r="G287" s="248" t="n">
        <v>3120</v>
      </c>
      <c r="H287" s="250" t="n">
        <v>520</v>
      </c>
    </row>
    <row r="288" s="236" customFormat="true" ht="12" hidden="true" customHeight="true" outlineLevel="4" collapsed="false">
      <c r="A288" s="247" t="s">
        <v>326</v>
      </c>
      <c r="B288" s="247"/>
      <c r="C288" s="247"/>
      <c r="D288" s="247"/>
      <c r="E288" s="249"/>
      <c r="F288" s="249"/>
      <c r="G288" s="248" t="n">
        <v>11195.14</v>
      </c>
      <c r="H288" s="248" t="n">
        <v>1865.86</v>
      </c>
    </row>
    <row r="289" s="236" customFormat="true" ht="12" hidden="true" customHeight="true" outlineLevel="4" collapsed="false">
      <c r="A289" s="247" t="s">
        <v>327</v>
      </c>
      <c r="B289" s="247"/>
      <c r="C289" s="247"/>
      <c r="D289" s="247"/>
      <c r="E289" s="249"/>
      <c r="F289" s="249"/>
      <c r="G289" s="248" t="n">
        <v>2229.12</v>
      </c>
      <c r="H289" s="250" t="n">
        <v>371.52</v>
      </c>
    </row>
    <row r="290" s="236" customFormat="true" ht="12" hidden="true" customHeight="true" outlineLevel="4" collapsed="false">
      <c r="A290" s="247" t="s">
        <v>328</v>
      </c>
      <c r="B290" s="247"/>
      <c r="C290" s="247"/>
      <c r="D290" s="247"/>
      <c r="E290" s="249"/>
      <c r="F290" s="249"/>
      <c r="G290" s="248" t="n">
        <v>41701.75</v>
      </c>
      <c r="H290" s="248" t="n">
        <v>6950.29</v>
      </c>
    </row>
    <row r="291" s="236" customFormat="true" ht="12" hidden="true" customHeight="true" outlineLevel="4" collapsed="false">
      <c r="A291" s="247" t="s">
        <v>449</v>
      </c>
      <c r="B291" s="247"/>
      <c r="C291" s="247"/>
      <c r="D291" s="247"/>
      <c r="E291" s="249"/>
      <c r="F291" s="249"/>
      <c r="G291" s="248" t="n">
        <v>46980.14</v>
      </c>
      <c r="H291" s="248" t="n">
        <v>7830.02</v>
      </c>
    </row>
    <row r="292" s="236" customFormat="true" ht="12" hidden="true" customHeight="true" outlineLevel="4" collapsed="false">
      <c r="A292" s="247" t="s">
        <v>450</v>
      </c>
      <c r="B292" s="247"/>
      <c r="C292" s="247"/>
      <c r="D292" s="247"/>
      <c r="E292" s="249"/>
      <c r="F292" s="249"/>
      <c r="G292" s="250" t="n">
        <v>906.72</v>
      </c>
      <c r="H292" s="250" t="n">
        <v>151.12</v>
      </c>
    </row>
    <row r="293" s="236" customFormat="true" ht="12" hidden="true" customHeight="true" outlineLevel="4" collapsed="false">
      <c r="A293" s="247" t="s">
        <v>334</v>
      </c>
      <c r="B293" s="247"/>
      <c r="C293" s="247"/>
      <c r="D293" s="247"/>
      <c r="E293" s="249"/>
      <c r="F293" s="249"/>
      <c r="G293" s="248" t="n">
        <v>21133.2</v>
      </c>
      <c r="H293" s="248" t="n">
        <v>3522.2</v>
      </c>
    </row>
    <row r="294" s="236" customFormat="true" ht="12" hidden="true" customHeight="true" outlineLevel="4" collapsed="false">
      <c r="A294" s="247" t="s">
        <v>451</v>
      </c>
      <c r="B294" s="247"/>
      <c r="C294" s="247"/>
      <c r="D294" s="247"/>
      <c r="E294" s="249"/>
      <c r="F294" s="249"/>
      <c r="G294" s="248" t="n">
        <v>3840</v>
      </c>
      <c r="H294" s="250" t="n">
        <v>640</v>
      </c>
    </row>
    <row r="295" s="236" customFormat="true" ht="12" hidden="true" customHeight="true" outlineLevel="4" collapsed="false">
      <c r="A295" s="247" t="s">
        <v>452</v>
      </c>
      <c r="B295" s="247"/>
      <c r="C295" s="247"/>
      <c r="D295" s="247"/>
      <c r="E295" s="249"/>
      <c r="F295" s="249"/>
      <c r="G295" s="248" t="n">
        <v>1870.56</v>
      </c>
      <c r="H295" s="250" t="n">
        <v>311.76</v>
      </c>
    </row>
    <row r="296" s="236" customFormat="true" ht="12" hidden="true" customHeight="true" outlineLevel="4" collapsed="false">
      <c r="A296" s="247" t="s">
        <v>329</v>
      </c>
      <c r="B296" s="247"/>
      <c r="C296" s="247"/>
      <c r="D296" s="247"/>
      <c r="E296" s="249"/>
      <c r="F296" s="249"/>
      <c r="G296" s="248" t="n">
        <v>7756.68</v>
      </c>
      <c r="H296" s="248" t="n">
        <v>1292.78</v>
      </c>
    </row>
    <row r="297" s="236" customFormat="true" ht="12" hidden="true" customHeight="true" outlineLevel="4" collapsed="false">
      <c r="A297" s="247" t="s">
        <v>453</v>
      </c>
      <c r="B297" s="247"/>
      <c r="C297" s="247"/>
      <c r="D297" s="247"/>
      <c r="E297" s="249"/>
      <c r="F297" s="249"/>
      <c r="G297" s="248" t="n">
        <v>32777.1</v>
      </c>
      <c r="H297" s="248" t="n">
        <v>5462.85</v>
      </c>
    </row>
    <row r="298" s="236" customFormat="true" ht="12" hidden="true" customHeight="true" outlineLevel="4" collapsed="false">
      <c r="A298" s="247" t="s">
        <v>325</v>
      </c>
      <c r="B298" s="247"/>
      <c r="C298" s="247"/>
      <c r="D298" s="247"/>
      <c r="E298" s="249"/>
      <c r="F298" s="249"/>
      <c r="G298" s="248" t="n">
        <v>10407.65</v>
      </c>
      <c r="H298" s="248" t="n">
        <v>1734.61</v>
      </c>
    </row>
    <row r="299" s="236" customFormat="true" ht="12" hidden="true" customHeight="true" outlineLevel="4" collapsed="false">
      <c r="A299" s="247" t="s">
        <v>454</v>
      </c>
      <c r="B299" s="247"/>
      <c r="C299" s="247"/>
      <c r="D299" s="247"/>
      <c r="E299" s="248" t="n">
        <v>135581.33</v>
      </c>
      <c r="F299" s="248" t="n">
        <v>22596.89</v>
      </c>
      <c r="G299" s="249"/>
      <c r="H299" s="249"/>
    </row>
    <row r="300" s="236" customFormat="true" ht="12" hidden="true" customHeight="true" outlineLevel="4" collapsed="false">
      <c r="A300" s="247" t="s">
        <v>455</v>
      </c>
      <c r="B300" s="247"/>
      <c r="C300" s="247"/>
      <c r="D300" s="247"/>
      <c r="E300" s="248" t="n">
        <v>15552.31</v>
      </c>
      <c r="F300" s="248" t="n">
        <v>2592.05</v>
      </c>
      <c r="G300" s="249"/>
      <c r="H300" s="249"/>
    </row>
    <row r="301" s="236" customFormat="true" ht="12" hidden="true" customHeight="true" outlineLevel="4" collapsed="false">
      <c r="A301" s="247" t="s">
        <v>456</v>
      </c>
      <c r="B301" s="247"/>
      <c r="C301" s="247"/>
      <c r="D301" s="247"/>
      <c r="E301" s="248" t="n">
        <v>16217.83</v>
      </c>
      <c r="F301" s="248" t="n">
        <v>2702.97</v>
      </c>
      <c r="G301" s="249"/>
      <c r="H301" s="249"/>
    </row>
    <row r="302" s="236" customFormat="true" ht="12" hidden="true" customHeight="true" outlineLevel="4" collapsed="false">
      <c r="A302" s="247" t="s">
        <v>337</v>
      </c>
      <c r="B302" s="247"/>
      <c r="C302" s="247"/>
      <c r="D302" s="247"/>
      <c r="E302" s="248" t="n">
        <v>10000</v>
      </c>
      <c r="F302" s="248" t="n">
        <v>1666.67</v>
      </c>
      <c r="G302" s="249"/>
      <c r="H302" s="249"/>
    </row>
    <row r="303" s="236" customFormat="true" ht="12" hidden="true" customHeight="true" outlineLevel="4" collapsed="false">
      <c r="A303" s="247" t="s">
        <v>340</v>
      </c>
      <c r="B303" s="247"/>
      <c r="C303" s="247"/>
      <c r="D303" s="247"/>
      <c r="E303" s="248" t="n">
        <v>74735.37</v>
      </c>
      <c r="F303" s="248" t="n">
        <v>12455.9</v>
      </c>
      <c r="G303" s="249"/>
      <c r="H303" s="249"/>
    </row>
    <row r="304" s="236" customFormat="true" ht="12" hidden="true" customHeight="true" outlineLevel="4" collapsed="false">
      <c r="A304" s="247" t="s">
        <v>261</v>
      </c>
      <c r="B304" s="247"/>
      <c r="C304" s="247"/>
      <c r="D304" s="247"/>
      <c r="E304" s="248" t="n">
        <v>11220.88</v>
      </c>
      <c r="F304" s="248" t="n">
        <v>1870.15</v>
      </c>
      <c r="G304" s="249"/>
      <c r="H304" s="249"/>
    </row>
    <row r="305" s="236" customFormat="true" ht="12" hidden="true" customHeight="true" outlineLevel="4" collapsed="false">
      <c r="A305" s="247" t="s">
        <v>339</v>
      </c>
      <c r="B305" s="247"/>
      <c r="C305" s="247"/>
      <c r="D305" s="247"/>
      <c r="E305" s="250" t="n">
        <v>557.28</v>
      </c>
      <c r="F305" s="250" t="n">
        <v>92.88</v>
      </c>
      <c r="G305" s="249"/>
      <c r="H305" s="249"/>
    </row>
    <row r="306" s="236" customFormat="true" ht="12" hidden="true" customHeight="true" outlineLevel="4" collapsed="false">
      <c r="A306" s="247" t="s">
        <v>457</v>
      </c>
      <c r="B306" s="247"/>
      <c r="C306" s="247"/>
      <c r="D306" s="247"/>
      <c r="E306" s="248" t="n">
        <v>40832.11</v>
      </c>
      <c r="F306" s="248" t="n">
        <v>6805.35</v>
      </c>
      <c r="G306" s="249"/>
      <c r="H306" s="249"/>
    </row>
    <row r="307" s="236" customFormat="true" ht="12" hidden="true" customHeight="true" outlineLevel="4" collapsed="false">
      <c r="A307" s="247" t="s">
        <v>338</v>
      </c>
      <c r="B307" s="247"/>
      <c r="C307" s="247"/>
      <c r="D307" s="247"/>
      <c r="E307" s="248" t="n">
        <v>99000</v>
      </c>
      <c r="F307" s="248" t="n">
        <v>16500</v>
      </c>
      <c r="G307" s="249"/>
      <c r="H307" s="249"/>
    </row>
    <row r="308" customFormat="false" ht="13.05" hidden="false" customHeight="true" outlineLevel="0" collapsed="false">
      <c r="A308" s="241" t="s">
        <v>458</v>
      </c>
      <c r="B308" s="241"/>
      <c r="C308" s="241"/>
      <c r="D308" s="241"/>
      <c r="E308" s="242" t="n">
        <v>178300</v>
      </c>
      <c r="F308" s="252"/>
      <c r="G308" s="242" t="n">
        <v>117450</v>
      </c>
      <c r="H308" s="252"/>
    </row>
    <row r="309" customFormat="false" ht="12" hidden="false" customHeight="true" outlineLevel="1" collapsed="false">
      <c r="A309" s="243" t="s">
        <v>242</v>
      </c>
      <c r="B309" s="243"/>
      <c r="C309" s="243"/>
      <c r="D309" s="243"/>
      <c r="E309" s="244" t="n">
        <v>178300</v>
      </c>
      <c r="F309" s="253"/>
      <c r="G309" s="244" t="n">
        <v>117450</v>
      </c>
      <c r="H309" s="253"/>
    </row>
    <row r="310" customFormat="false" ht="12" hidden="false" customHeight="true" outlineLevel="2" collapsed="false">
      <c r="A310" s="245" t="s">
        <v>459</v>
      </c>
      <c r="B310" s="245"/>
      <c r="C310" s="245"/>
      <c r="D310" s="245"/>
      <c r="E310" s="246" t="n">
        <v>178300</v>
      </c>
      <c r="F310" s="251"/>
      <c r="G310" s="246" t="n">
        <v>117450</v>
      </c>
      <c r="H310" s="251"/>
    </row>
    <row r="311" customFormat="false" ht="12" hidden="false" customHeight="true" outlineLevel="3" collapsed="false">
      <c r="A311" s="247" t="s">
        <v>460</v>
      </c>
      <c r="B311" s="247"/>
      <c r="C311" s="247"/>
      <c r="D311" s="247"/>
      <c r="E311" s="248" t="n">
        <v>178300</v>
      </c>
      <c r="F311" s="249"/>
      <c r="G311" s="248" t="n">
        <v>117450</v>
      </c>
      <c r="H311" s="249"/>
    </row>
    <row r="312" s="236" customFormat="true" ht="12" hidden="true" customHeight="true" outlineLevel="4" collapsed="false">
      <c r="A312" s="247" t="s">
        <v>461</v>
      </c>
      <c r="B312" s="247"/>
      <c r="C312" s="247"/>
      <c r="D312" s="247"/>
      <c r="E312" s="248" t="n">
        <v>19575</v>
      </c>
      <c r="F312" s="249"/>
      <c r="G312" s="249"/>
      <c r="H312" s="249"/>
    </row>
    <row r="313" s="236" customFormat="true" ht="12" hidden="true" customHeight="true" outlineLevel="4" collapsed="false">
      <c r="A313" s="247" t="s">
        <v>462</v>
      </c>
      <c r="B313" s="247"/>
      <c r="C313" s="247"/>
      <c r="D313" s="247"/>
      <c r="E313" s="248" t="n">
        <v>60850</v>
      </c>
      <c r="F313" s="249"/>
      <c r="G313" s="249"/>
      <c r="H313" s="249"/>
    </row>
    <row r="314" s="236" customFormat="true" ht="12" hidden="true" customHeight="true" outlineLevel="4" collapsed="false">
      <c r="A314" s="247" t="s">
        <v>463</v>
      </c>
      <c r="B314" s="247"/>
      <c r="C314" s="247"/>
      <c r="D314" s="247"/>
      <c r="E314" s="248" t="n">
        <v>19575</v>
      </c>
      <c r="F314" s="249"/>
      <c r="G314" s="249"/>
      <c r="H314" s="249"/>
    </row>
    <row r="315" s="236" customFormat="true" ht="12" hidden="true" customHeight="true" outlineLevel="4" collapsed="false">
      <c r="A315" s="247" t="s">
        <v>464</v>
      </c>
      <c r="B315" s="247"/>
      <c r="C315" s="247"/>
      <c r="D315" s="247"/>
      <c r="E315" s="248" t="n">
        <v>19575</v>
      </c>
      <c r="F315" s="249"/>
      <c r="G315" s="249"/>
      <c r="H315" s="249"/>
    </row>
    <row r="316" s="236" customFormat="true" ht="12" hidden="true" customHeight="true" outlineLevel="4" collapsed="false">
      <c r="A316" s="247" t="s">
        <v>465</v>
      </c>
      <c r="B316" s="247"/>
      <c r="C316" s="247"/>
      <c r="D316" s="247"/>
      <c r="E316" s="248" t="n">
        <v>19575</v>
      </c>
      <c r="F316" s="249"/>
      <c r="G316" s="249"/>
      <c r="H316" s="249"/>
    </row>
    <row r="317" s="236" customFormat="true" ht="12" hidden="true" customHeight="true" outlineLevel="4" collapsed="false">
      <c r="A317" s="247" t="s">
        <v>466</v>
      </c>
      <c r="B317" s="247"/>
      <c r="C317" s="247"/>
      <c r="D317" s="247"/>
      <c r="E317" s="248" t="n">
        <v>19575</v>
      </c>
      <c r="F317" s="249"/>
      <c r="G317" s="249"/>
      <c r="H317" s="249"/>
    </row>
    <row r="318" s="236" customFormat="true" ht="12" hidden="true" customHeight="true" outlineLevel="4" collapsed="false">
      <c r="A318" s="247" t="s">
        <v>467</v>
      </c>
      <c r="B318" s="247"/>
      <c r="C318" s="247"/>
      <c r="D318" s="247"/>
      <c r="E318" s="248" t="n">
        <v>19575</v>
      </c>
      <c r="F318" s="249"/>
      <c r="G318" s="249"/>
      <c r="H318" s="249"/>
    </row>
    <row r="319" s="236" customFormat="true" ht="12" hidden="true" customHeight="true" outlineLevel="4" collapsed="false">
      <c r="A319" s="247" t="s">
        <v>468</v>
      </c>
      <c r="B319" s="247"/>
      <c r="C319" s="247"/>
      <c r="D319" s="247"/>
      <c r="E319" s="249"/>
      <c r="F319" s="249"/>
      <c r="G319" s="248" t="n">
        <v>39150</v>
      </c>
      <c r="H319" s="249"/>
    </row>
    <row r="320" s="236" customFormat="true" ht="12" hidden="true" customHeight="true" outlineLevel="4" collapsed="false">
      <c r="A320" s="247" t="s">
        <v>469</v>
      </c>
      <c r="B320" s="247"/>
      <c r="C320" s="247"/>
      <c r="D320" s="247"/>
      <c r="E320" s="249"/>
      <c r="F320" s="249"/>
      <c r="G320" s="248" t="n">
        <v>78300</v>
      </c>
      <c r="H320" s="249"/>
    </row>
    <row r="321" customFormat="false" ht="13.05" hidden="false" customHeight="true" outlineLevel="0" collapsed="false">
      <c r="A321" s="254" t="s">
        <v>47</v>
      </c>
      <c r="B321" s="254"/>
      <c r="C321" s="254"/>
      <c r="D321" s="254"/>
      <c r="E321" s="255" t="n">
        <v>2873633.95</v>
      </c>
      <c r="F321" s="255" t="n">
        <v>304157.61</v>
      </c>
      <c r="G321" s="255" t="n">
        <v>2426411.88</v>
      </c>
      <c r="H321" s="255" t="n">
        <v>306914.21</v>
      </c>
    </row>
  </sheetData>
  <mergeCells count="321">
    <mergeCell ref="A4:D4"/>
    <mergeCell ref="E4:H6"/>
    <mergeCell ref="A5:D5"/>
    <mergeCell ref="A6:D6"/>
    <mergeCell ref="A7:D7"/>
    <mergeCell ref="E7:F7"/>
    <mergeCell ref="G7:H7"/>
    <mergeCell ref="A8:D8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A18:D18"/>
    <mergeCell ref="A19:D19"/>
    <mergeCell ref="A20:D20"/>
    <mergeCell ref="A21:D21"/>
    <mergeCell ref="A22:D22"/>
    <mergeCell ref="A23:D23"/>
    <mergeCell ref="A24:D24"/>
    <mergeCell ref="A25:D25"/>
    <mergeCell ref="A26:D26"/>
    <mergeCell ref="A27:D27"/>
    <mergeCell ref="A28:D28"/>
    <mergeCell ref="A29:D29"/>
    <mergeCell ref="A30:D30"/>
    <mergeCell ref="A31:D31"/>
    <mergeCell ref="A32:D32"/>
    <mergeCell ref="A33:D33"/>
    <mergeCell ref="A34:D34"/>
    <mergeCell ref="A35:D35"/>
    <mergeCell ref="A36:D36"/>
    <mergeCell ref="A37:D37"/>
    <mergeCell ref="A38:D38"/>
    <mergeCell ref="A39:D39"/>
    <mergeCell ref="A40:D40"/>
    <mergeCell ref="A41:D41"/>
    <mergeCell ref="A42:D42"/>
    <mergeCell ref="A43:D43"/>
    <mergeCell ref="A44:D44"/>
    <mergeCell ref="A45:D45"/>
    <mergeCell ref="A46:D46"/>
    <mergeCell ref="A47:D47"/>
    <mergeCell ref="A48:D48"/>
    <mergeCell ref="A49:D49"/>
    <mergeCell ref="A50:D50"/>
    <mergeCell ref="A51:D51"/>
    <mergeCell ref="A52:D52"/>
    <mergeCell ref="A53:D53"/>
    <mergeCell ref="A54:D54"/>
    <mergeCell ref="A55:D55"/>
    <mergeCell ref="A56:D56"/>
    <mergeCell ref="A57:D57"/>
    <mergeCell ref="A58:D58"/>
    <mergeCell ref="A59:D59"/>
    <mergeCell ref="A60:D60"/>
    <mergeCell ref="A61:D61"/>
    <mergeCell ref="A62:D62"/>
    <mergeCell ref="A63:D63"/>
    <mergeCell ref="A64:D64"/>
    <mergeCell ref="A65:D65"/>
    <mergeCell ref="A66:D66"/>
    <mergeCell ref="A67:D67"/>
    <mergeCell ref="A68:D68"/>
    <mergeCell ref="A69:D69"/>
    <mergeCell ref="A70:D70"/>
    <mergeCell ref="A71:D71"/>
    <mergeCell ref="A72:D72"/>
    <mergeCell ref="A73:D73"/>
    <mergeCell ref="A74:D74"/>
    <mergeCell ref="A75:D75"/>
    <mergeCell ref="A76:D76"/>
    <mergeCell ref="A77:D77"/>
    <mergeCell ref="A78:D78"/>
    <mergeCell ref="A79:D79"/>
    <mergeCell ref="A80:D80"/>
    <mergeCell ref="A81:D81"/>
    <mergeCell ref="A82:D82"/>
    <mergeCell ref="A83:D83"/>
    <mergeCell ref="A84:D84"/>
    <mergeCell ref="A85:D85"/>
    <mergeCell ref="A86:D86"/>
    <mergeCell ref="A87:D87"/>
    <mergeCell ref="A88:D88"/>
    <mergeCell ref="A89:D89"/>
    <mergeCell ref="A90:D90"/>
    <mergeCell ref="A91:D91"/>
    <mergeCell ref="A92:D92"/>
    <mergeCell ref="A93:D93"/>
    <mergeCell ref="A94:D94"/>
    <mergeCell ref="A95:D95"/>
    <mergeCell ref="A96:D96"/>
    <mergeCell ref="A97:D97"/>
    <mergeCell ref="A98:D98"/>
    <mergeCell ref="A99:D99"/>
    <mergeCell ref="A100:D100"/>
    <mergeCell ref="A101:D101"/>
    <mergeCell ref="A102:D102"/>
    <mergeCell ref="A103:D103"/>
    <mergeCell ref="A104:D104"/>
    <mergeCell ref="A105:D105"/>
    <mergeCell ref="A106:D106"/>
    <mergeCell ref="A107:D107"/>
    <mergeCell ref="A108:D108"/>
    <mergeCell ref="A109:D109"/>
    <mergeCell ref="A110:D110"/>
    <mergeCell ref="A111:D111"/>
    <mergeCell ref="A112:D112"/>
    <mergeCell ref="A113:D113"/>
    <mergeCell ref="A114:D114"/>
    <mergeCell ref="A115:D115"/>
    <mergeCell ref="A116:D116"/>
    <mergeCell ref="A117:D117"/>
    <mergeCell ref="A118:D118"/>
    <mergeCell ref="A119:D119"/>
    <mergeCell ref="A120:D120"/>
    <mergeCell ref="A121:D121"/>
    <mergeCell ref="A122:D122"/>
    <mergeCell ref="A123:D123"/>
    <mergeCell ref="A124:D124"/>
    <mergeCell ref="A125:D125"/>
    <mergeCell ref="A126:D126"/>
    <mergeCell ref="A127:D127"/>
    <mergeCell ref="A128:D128"/>
    <mergeCell ref="A129:D129"/>
    <mergeCell ref="A130:D130"/>
    <mergeCell ref="A131:D131"/>
    <mergeCell ref="A132:D132"/>
    <mergeCell ref="A133:D133"/>
    <mergeCell ref="A134:D134"/>
    <mergeCell ref="A135:D135"/>
    <mergeCell ref="A136:D136"/>
    <mergeCell ref="A137:D137"/>
    <mergeCell ref="A138:D138"/>
    <mergeCell ref="A139:D139"/>
    <mergeCell ref="A140:D140"/>
    <mergeCell ref="A141:D141"/>
    <mergeCell ref="A142:D142"/>
    <mergeCell ref="A143:D143"/>
    <mergeCell ref="A144:D144"/>
    <mergeCell ref="A145:D145"/>
    <mergeCell ref="A146:D146"/>
    <mergeCell ref="A147:D147"/>
    <mergeCell ref="A148:D148"/>
    <mergeCell ref="A149:D149"/>
    <mergeCell ref="A150:D150"/>
    <mergeCell ref="A151:D151"/>
    <mergeCell ref="A152:D152"/>
    <mergeCell ref="A153:D153"/>
    <mergeCell ref="A154:D154"/>
    <mergeCell ref="A155:D155"/>
    <mergeCell ref="A156:D156"/>
    <mergeCell ref="A157:D157"/>
    <mergeCell ref="A158:D158"/>
    <mergeCell ref="A159:D159"/>
    <mergeCell ref="A160:D160"/>
    <mergeCell ref="A161:D161"/>
    <mergeCell ref="A162:D162"/>
    <mergeCell ref="A163:D163"/>
    <mergeCell ref="A164:D164"/>
    <mergeCell ref="A165:D165"/>
    <mergeCell ref="A166:D166"/>
    <mergeCell ref="A167:D167"/>
    <mergeCell ref="A168:D168"/>
    <mergeCell ref="A169:D169"/>
    <mergeCell ref="A170:D170"/>
    <mergeCell ref="A171:D171"/>
    <mergeCell ref="A172:D172"/>
    <mergeCell ref="A173:D173"/>
    <mergeCell ref="A174:D174"/>
    <mergeCell ref="A175:D175"/>
    <mergeCell ref="A176:D176"/>
    <mergeCell ref="A177:D177"/>
    <mergeCell ref="A178:D178"/>
    <mergeCell ref="A179:D179"/>
    <mergeCell ref="A180:D180"/>
    <mergeCell ref="A181:D181"/>
    <mergeCell ref="A182:D182"/>
    <mergeCell ref="A183:D183"/>
    <mergeCell ref="A184:D184"/>
    <mergeCell ref="A185:D185"/>
    <mergeCell ref="A186:D186"/>
    <mergeCell ref="A187:D187"/>
    <mergeCell ref="A188:D188"/>
    <mergeCell ref="A189:D189"/>
    <mergeCell ref="A190:D190"/>
    <mergeCell ref="A191:D191"/>
    <mergeCell ref="A192:D192"/>
    <mergeCell ref="A193:D193"/>
    <mergeCell ref="A194:D194"/>
    <mergeCell ref="A195:D195"/>
    <mergeCell ref="A196:D196"/>
    <mergeCell ref="A197:D197"/>
    <mergeCell ref="A198:D198"/>
    <mergeCell ref="A199:D199"/>
    <mergeCell ref="A200:D200"/>
    <mergeCell ref="A201:D201"/>
    <mergeCell ref="A202:D202"/>
    <mergeCell ref="A203:D203"/>
    <mergeCell ref="A204:D204"/>
    <mergeCell ref="A205:D205"/>
    <mergeCell ref="A206:D206"/>
    <mergeCell ref="A207:D207"/>
    <mergeCell ref="A208:D208"/>
    <mergeCell ref="A209:D209"/>
    <mergeCell ref="A210:D210"/>
    <mergeCell ref="A211:D211"/>
    <mergeCell ref="A212:D212"/>
    <mergeCell ref="A213:D213"/>
    <mergeCell ref="A214:D214"/>
    <mergeCell ref="A215:D215"/>
    <mergeCell ref="A216:D216"/>
    <mergeCell ref="A217:D217"/>
    <mergeCell ref="A218:D218"/>
    <mergeCell ref="A219:D219"/>
    <mergeCell ref="A220:D220"/>
    <mergeCell ref="A221:D221"/>
    <mergeCell ref="A222:D222"/>
    <mergeCell ref="A223:D223"/>
    <mergeCell ref="A224:D224"/>
    <mergeCell ref="A225:D225"/>
    <mergeCell ref="A226:D226"/>
    <mergeCell ref="A227:D227"/>
    <mergeCell ref="A228:D228"/>
    <mergeCell ref="A229:D229"/>
    <mergeCell ref="A230:D230"/>
    <mergeCell ref="A231:D231"/>
    <mergeCell ref="A232:D232"/>
    <mergeCell ref="A233:D233"/>
    <mergeCell ref="A234:D234"/>
    <mergeCell ref="A235:D235"/>
    <mergeCell ref="A236:D236"/>
    <mergeCell ref="A237:D237"/>
    <mergeCell ref="A238:D238"/>
    <mergeCell ref="A239:D239"/>
    <mergeCell ref="A240:D240"/>
    <mergeCell ref="A241:D241"/>
    <mergeCell ref="A242:D242"/>
    <mergeCell ref="A243:D243"/>
    <mergeCell ref="A244:D244"/>
    <mergeCell ref="A245:D245"/>
    <mergeCell ref="A246:D246"/>
    <mergeCell ref="A247:D247"/>
    <mergeCell ref="A248:D248"/>
    <mergeCell ref="A249:D249"/>
    <mergeCell ref="A250:D250"/>
    <mergeCell ref="A251:D251"/>
    <mergeCell ref="A252:D252"/>
    <mergeCell ref="A253:D253"/>
    <mergeCell ref="A254:D254"/>
    <mergeCell ref="A255:D255"/>
    <mergeCell ref="A256:D256"/>
    <mergeCell ref="A257:D257"/>
    <mergeCell ref="A258:D258"/>
    <mergeCell ref="A259:D259"/>
    <mergeCell ref="A260:D260"/>
    <mergeCell ref="A261:D261"/>
    <mergeCell ref="A262:D262"/>
    <mergeCell ref="A263:D263"/>
    <mergeCell ref="A264:D264"/>
    <mergeCell ref="A265:D265"/>
    <mergeCell ref="A266:D266"/>
    <mergeCell ref="A267:D267"/>
    <mergeCell ref="A268:D268"/>
    <mergeCell ref="A269:D269"/>
    <mergeCell ref="A270:D270"/>
    <mergeCell ref="A271:D271"/>
    <mergeCell ref="A272:D272"/>
    <mergeCell ref="A273:D273"/>
    <mergeCell ref="A274:D274"/>
    <mergeCell ref="A275:D275"/>
    <mergeCell ref="A276:D276"/>
    <mergeCell ref="A277:D277"/>
    <mergeCell ref="A278:D278"/>
    <mergeCell ref="A279:D279"/>
    <mergeCell ref="A280:D280"/>
    <mergeCell ref="A281:D281"/>
    <mergeCell ref="A282:D282"/>
    <mergeCell ref="A283:D283"/>
    <mergeCell ref="A284:D284"/>
    <mergeCell ref="A285:D285"/>
    <mergeCell ref="A286:D286"/>
    <mergeCell ref="A287:D287"/>
    <mergeCell ref="A288:D288"/>
    <mergeCell ref="A289:D289"/>
    <mergeCell ref="A290:D290"/>
    <mergeCell ref="A291:D291"/>
    <mergeCell ref="A292:D292"/>
    <mergeCell ref="A293:D293"/>
    <mergeCell ref="A294:D294"/>
    <mergeCell ref="A295:D295"/>
    <mergeCell ref="A296:D296"/>
    <mergeCell ref="A297:D297"/>
    <mergeCell ref="A298:D298"/>
    <mergeCell ref="A299:D299"/>
    <mergeCell ref="A300:D300"/>
    <mergeCell ref="A301:D301"/>
    <mergeCell ref="A302:D302"/>
    <mergeCell ref="A303:D303"/>
    <mergeCell ref="A304:D304"/>
    <mergeCell ref="A305:D305"/>
    <mergeCell ref="A306:D306"/>
    <mergeCell ref="A307:D307"/>
    <mergeCell ref="A308:D308"/>
    <mergeCell ref="A309:D309"/>
    <mergeCell ref="A310:D310"/>
    <mergeCell ref="A311:D311"/>
    <mergeCell ref="A312:D312"/>
    <mergeCell ref="A313:D313"/>
    <mergeCell ref="A314:D314"/>
    <mergeCell ref="A315:D315"/>
    <mergeCell ref="A316:D316"/>
    <mergeCell ref="A317:D317"/>
    <mergeCell ref="A318:D318"/>
    <mergeCell ref="A319:D319"/>
    <mergeCell ref="A320:D320"/>
    <mergeCell ref="A321:D32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Roman,Обычный"&amp;12&amp;Kffffff&amp;A</oddHeader>
    <oddFooter>&amp;C&amp;"Times New Roman,Обычный"&amp;12&amp;KffffffСтраница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511</TotalTime>
  <Application>LibreOffice/7.2.2.2$Windows_X86_64 LibreOffice_project/02b2acce88a210515b4a5bb2e46cbfb63fe97d56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2022-02-09T13:21:59Z</dcterms:created>
  <dc:creator>Арсен</dc:creator>
  <dc:description/>
  <dc:language>ru-RU</dc:language>
  <cp:lastModifiedBy/>
  <cp:lastPrinted>2024-09-13T14:15:36Z</cp:lastPrinted>
  <dcterms:modified xsi:type="dcterms:W3CDTF">2024-12-17T15:03:14Z</dcterms:modified>
  <cp:revision>65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