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mcl-my.sharepoint.com/personal/trinidad_castro_usm_cl/Documents/11vo semestre ELO/INGECO/Ejercicios del semestre. (Capitulos 1 al 9)/"/>
    </mc:Choice>
  </mc:AlternateContent>
  <xr:revisionPtr revIDLastSave="5" documentId="13_ncr:1_{5F47663C-D4CB-4A46-B49D-F6ECBD292497}" xr6:coauthVersionLast="47" xr6:coauthVersionMax="47" xr10:uidLastSave="{A1E40B84-FF7E-8141-836F-43B66F804E47}"/>
  <bookViews>
    <workbookView xWindow="0" yWindow="500" windowWidth="28800" windowHeight="15600" activeTab="9" xr2:uid="{3E4D5A9A-2BC3-C947-81A5-E74319725F09}"/>
  </bookViews>
  <sheets>
    <sheet name="Cap7 leasing" sheetId="1" r:id="rId1"/>
    <sheet name="Cap7 prest. French" sheetId="2" r:id="rId2"/>
    <sheet name="Cap7 prest americano" sheetId="3" r:id="rId3"/>
    <sheet name="Cap 7 prest aleman" sheetId="4" r:id="rId4"/>
    <sheet name="Cap 8 Bono" sheetId="8" r:id="rId5"/>
    <sheet name="Cap 9 VAN" sheetId="12" r:id="rId6"/>
    <sheet name="Cap 9 TIR" sheetId="13" r:id="rId7"/>
    <sheet name="TIR mod MCM" sheetId="14" r:id="rId8"/>
    <sheet name="Riesgo" sheetId="16" r:id="rId9"/>
    <sheet name="Cruce de Fischer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7" l="1"/>
  <c r="M14" i="2"/>
  <c r="L8" i="2"/>
  <c r="M8" i="2"/>
  <c r="M3" i="2"/>
  <c r="B14" i="2"/>
  <c r="B11" i="17"/>
  <c r="F13" i="17"/>
  <c r="B13" i="17"/>
  <c r="K14" i="17" l="1"/>
  <c r="L14" i="17"/>
  <c r="L15" i="17"/>
  <c r="L16" i="17"/>
  <c r="L17" i="17"/>
  <c r="L18" i="17"/>
  <c r="L19" i="17"/>
  <c r="L20" i="17"/>
  <c r="L21" i="17"/>
  <c r="L22" i="17"/>
  <c r="L23" i="17"/>
  <c r="L24" i="17"/>
  <c r="K15" i="17"/>
  <c r="K16" i="17"/>
  <c r="K17" i="17"/>
  <c r="K18" i="17"/>
  <c r="K19" i="17"/>
  <c r="K20" i="17"/>
  <c r="K21" i="17"/>
  <c r="K22" i="17"/>
  <c r="K23" i="17"/>
  <c r="K24" i="17"/>
  <c r="F11" i="17"/>
  <c r="K4" i="17"/>
  <c r="K5" i="17"/>
  <c r="K6" i="17"/>
  <c r="K3" i="17"/>
  <c r="K8" i="17" l="1"/>
  <c r="K9" i="17" s="1"/>
  <c r="Q52" i="14"/>
  <c r="R52" i="14"/>
  <c r="S52" i="14"/>
  <c r="T52" i="14"/>
  <c r="U52" i="14"/>
  <c r="V52" i="14"/>
  <c r="W52" i="14"/>
  <c r="X52" i="14"/>
  <c r="Y52" i="14"/>
  <c r="Z52" i="14"/>
  <c r="AA52" i="14"/>
  <c r="AB52" i="14"/>
  <c r="P52" i="14"/>
  <c r="Q76" i="14"/>
  <c r="Q58" i="14" a="1"/>
  <c r="Q58" i="14" s="1"/>
  <c r="Q39" i="14"/>
  <c r="R39" i="14"/>
  <c r="S39" i="14"/>
  <c r="T39" i="14"/>
  <c r="U39" i="14"/>
  <c r="V39" i="14"/>
  <c r="W39" i="14"/>
  <c r="X39" i="14"/>
  <c r="Y39" i="14"/>
  <c r="Z39" i="14"/>
  <c r="AA39" i="14"/>
  <c r="AB39" i="14"/>
  <c r="P39" i="14"/>
  <c r="I8" i="1"/>
  <c r="K8" i="1"/>
  <c r="K2" i="2"/>
  <c r="B14" i="1"/>
  <c r="B4" i="1"/>
  <c r="B11" i="1" s="1"/>
  <c r="C13" i="16"/>
  <c r="C16" i="16" s="1"/>
  <c r="C17" i="16" s="1"/>
  <c r="P109" i="14"/>
  <c r="P108" i="14"/>
  <c r="R98" i="14"/>
  <c r="Q98" i="14"/>
  <c r="Q77" i="14"/>
  <c r="D116" i="14"/>
  <c r="C116" i="14"/>
  <c r="C92" i="14"/>
  <c r="C96" i="14" s="1"/>
  <c r="C103" i="14" s="1"/>
  <c r="D74" i="14"/>
  <c r="C74" i="14"/>
  <c r="B59" i="14"/>
  <c r="B58" i="14"/>
  <c r="D42" i="14"/>
  <c r="D43" i="14" s="1"/>
  <c r="D44" i="14" s="1"/>
  <c r="F41" i="14"/>
  <c r="F42" i="14" s="1"/>
  <c r="F43" i="14" s="1"/>
  <c r="F44" i="14" s="1"/>
  <c r="D41" i="14"/>
  <c r="C32" i="14"/>
  <c r="B12" i="13"/>
  <c r="B5" i="13"/>
  <c r="B12" i="12"/>
  <c r="B13" i="12" s="1"/>
  <c r="B5" i="12"/>
  <c r="B6" i="12"/>
  <c r="B18" i="3"/>
  <c r="B17" i="3"/>
  <c r="N3" i="3"/>
  <c r="M7" i="3"/>
  <c r="M3" i="3"/>
  <c r="L3" i="3"/>
  <c r="H3" i="3"/>
  <c r="O6" i="3"/>
  <c r="O7" i="3"/>
  <c r="N6" i="3"/>
  <c r="N7" i="3"/>
  <c r="M6" i="3"/>
  <c r="L6" i="3"/>
  <c r="L7" i="3"/>
  <c r="K6" i="3"/>
  <c r="K7" i="3"/>
  <c r="J6" i="3"/>
  <c r="J7" i="3"/>
  <c r="B5" i="3"/>
  <c r="H6" i="4"/>
  <c r="G6" i="4"/>
  <c r="F6" i="4" s="1"/>
  <c r="E6" i="4"/>
  <c r="B23" i="8"/>
  <c r="B20" i="8"/>
  <c r="C9" i="8"/>
  <c r="C10" i="8"/>
  <c r="C12" i="8"/>
  <c r="B17" i="8"/>
  <c r="B4" i="2"/>
  <c r="F44" i="8"/>
  <c r="F43" i="8"/>
  <c r="C13" i="8"/>
  <c r="F26" i="8" s="1"/>
  <c r="F5" i="8"/>
  <c r="I5" i="4"/>
  <c r="B5" i="4"/>
  <c r="B15" i="4" s="1"/>
  <c r="I4" i="4"/>
  <c r="B4" i="4"/>
  <c r="B14" i="4" s="1"/>
  <c r="I3" i="4"/>
  <c r="M2" i="4"/>
  <c r="K2" i="4"/>
  <c r="D2" i="4" a="1"/>
  <c r="D2" i="4" s="1"/>
  <c r="N2" i="4" s="1"/>
  <c r="J4" i="3"/>
  <c r="B4" i="3"/>
  <c r="M2" i="3"/>
  <c r="K2" i="3"/>
  <c r="D2" i="3" a="1"/>
  <c r="D2" i="3" s="1"/>
  <c r="N2" i="3" s="1"/>
  <c r="I5" i="2"/>
  <c r="I4" i="2"/>
  <c r="I3" i="2"/>
  <c r="M2" i="2"/>
  <c r="D2" i="2" a="1"/>
  <c r="F7" i="1"/>
  <c r="F6" i="1"/>
  <c r="F5" i="1"/>
  <c r="F4" i="1"/>
  <c r="F3" i="1"/>
  <c r="D2" i="1" a="1"/>
  <c r="J7" i="1" s="1"/>
  <c r="G5" i="2" l="1"/>
  <c r="E3" i="1"/>
  <c r="G3" i="1" s="1"/>
  <c r="H4" i="1" s="1"/>
  <c r="H7" i="3"/>
  <c r="H6" i="3"/>
  <c r="F6" i="3" s="1"/>
  <c r="H5" i="3"/>
  <c r="J5" i="3"/>
  <c r="J3" i="3"/>
  <c r="K3" i="3" s="1"/>
  <c r="G4" i="4"/>
  <c r="J4" i="2"/>
  <c r="J3" i="2"/>
  <c r="J5" i="2"/>
  <c r="B18" i="8"/>
  <c r="B22" i="8"/>
  <c r="B16" i="8"/>
  <c r="F18" i="8"/>
  <c r="F19" i="8" s="1"/>
  <c r="B21" i="8"/>
  <c r="G3" i="2"/>
  <c r="G4" i="2"/>
  <c r="G3" i="4"/>
  <c r="E2" i="4"/>
  <c r="H3" i="4" s="1"/>
  <c r="G5" i="4"/>
  <c r="N4" i="3"/>
  <c r="O2" i="4"/>
  <c r="N5" i="3"/>
  <c r="F8" i="8"/>
  <c r="F9" i="8" s="1"/>
  <c r="J5" i="4"/>
  <c r="J4" i="4"/>
  <c r="J3" i="4"/>
  <c r="N3" i="4"/>
  <c r="N4" i="4"/>
  <c r="N5" i="4"/>
  <c r="F3" i="3"/>
  <c r="H4" i="3"/>
  <c r="E2" i="3"/>
  <c r="O2" i="3"/>
  <c r="E2" i="2"/>
  <c r="H3" i="2" s="1"/>
  <c r="F4" i="2"/>
  <c r="N4" i="2"/>
  <c r="D2" i="2"/>
  <c r="N2" i="2" s="1"/>
  <c r="O2" i="2" s="1"/>
  <c r="F3" i="2"/>
  <c r="N3" i="2"/>
  <c r="F5" i="2"/>
  <c r="N5" i="2"/>
  <c r="J3" i="1"/>
  <c r="E6" i="1"/>
  <c r="G7" i="1"/>
  <c r="J5" i="1"/>
  <c r="D2" i="1"/>
  <c r="J2" i="1" s="1"/>
  <c r="E5" i="1"/>
  <c r="J6" i="1"/>
  <c r="E2" i="1"/>
  <c r="E4" i="1"/>
  <c r="J4" i="1"/>
  <c r="K5" i="3" l="1"/>
  <c r="L5" i="3" s="1"/>
  <c r="F4" i="3"/>
  <c r="K4" i="3"/>
  <c r="L4" i="3" s="1"/>
  <c r="O3" i="3"/>
  <c r="F3" i="4"/>
  <c r="E3" i="4"/>
  <c r="H4" i="4" s="1"/>
  <c r="F4" i="4" s="1"/>
  <c r="K3" i="4"/>
  <c r="L3" i="4" s="1"/>
  <c r="M3" i="4" s="1"/>
  <c r="O3" i="4" s="1"/>
  <c r="F5" i="3"/>
  <c r="M5" i="3" s="1"/>
  <c r="O5" i="3" s="1"/>
  <c r="E3" i="3"/>
  <c r="E4" i="3" s="1"/>
  <c r="G7" i="3" s="1"/>
  <c r="F7" i="3" s="1"/>
  <c r="K3" i="2"/>
  <c r="E3" i="2"/>
  <c r="H4" i="2" s="1"/>
  <c r="G6" i="1"/>
  <c r="H7" i="1" s="1"/>
  <c r="I7" i="1" s="1"/>
  <c r="K7" i="1" s="1"/>
  <c r="G5" i="1"/>
  <c r="H6" i="1" s="1"/>
  <c r="I6" i="1" s="1"/>
  <c r="K6" i="1" s="1"/>
  <c r="I4" i="1"/>
  <c r="K4" i="1" s="1"/>
  <c r="G4" i="1"/>
  <c r="H5" i="1" s="1"/>
  <c r="I5" i="1" s="1"/>
  <c r="K5" i="1" s="1"/>
  <c r="G2" i="1"/>
  <c r="I2" i="1"/>
  <c r="K2" i="1" s="1"/>
  <c r="L3" i="2" l="1"/>
  <c r="H3" i="1"/>
  <c r="I3" i="1" s="1"/>
  <c r="K3" i="1" s="1"/>
  <c r="B13" i="1" s="1"/>
  <c r="M4" i="3"/>
  <c r="O4" i="3" s="1"/>
  <c r="E5" i="3"/>
  <c r="E6" i="3" s="1"/>
  <c r="E7" i="3" s="1"/>
  <c r="O3" i="2" l="1"/>
  <c r="K4" i="4"/>
  <c r="L4" i="4" s="1"/>
  <c r="M4" i="4" s="1"/>
  <c r="O4" i="4" s="1"/>
  <c r="E4" i="4"/>
  <c r="H5" i="4" s="1"/>
  <c r="F5" i="4" s="1"/>
  <c r="K4" i="2"/>
  <c r="L4" i="2" s="1"/>
  <c r="M4" i="2" s="1"/>
  <c r="O4" i="2" s="1"/>
  <c r="E4" i="2"/>
  <c r="H5" i="2" s="1"/>
  <c r="K5" i="4" l="1"/>
  <c r="L5" i="4" s="1"/>
  <c r="M5" i="4" s="1"/>
  <c r="O5" i="4" s="1"/>
  <c r="B17" i="4" s="1"/>
  <c r="B18" i="4" s="1"/>
  <c r="E5" i="4"/>
  <c r="E5" i="2"/>
  <c r="K5" i="2" l="1"/>
  <c r="L5" i="2" s="1"/>
  <c r="M5" i="2" s="1"/>
  <c r="O5" i="2" l="1"/>
  <c r="B17" i="2" l="1"/>
  <c r="B18" i="2" s="1"/>
  <c r="O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<sst xmlns="http://schemas.openxmlformats.org/spreadsheetml/2006/main" count="289" uniqueCount="150">
  <si>
    <t>Datos</t>
  </si>
  <si>
    <t>Periodo</t>
  </si>
  <si>
    <t>Cuota Leasing</t>
  </si>
  <si>
    <t>Cuota Mantención</t>
  </si>
  <si>
    <t>Total gastos</t>
  </si>
  <si>
    <t>Ahorro impuesto</t>
  </si>
  <si>
    <t>Flujo neto</t>
  </si>
  <si>
    <t>Factor de actualización</t>
  </si>
  <si>
    <t>Valor actual flujo</t>
  </si>
  <si>
    <t xml:space="preserve">Inversión </t>
  </si>
  <si>
    <t>Pie</t>
  </si>
  <si>
    <t xml:space="preserve">V. residual </t>
  </si>
  <si>
    <t xml:space="preserve">Mantención </t>
  </si>
  <si>
    <t xml:space="preserve">ilsg% </t>
  </si>
  <si>
    <t>Imp. Renta %</t>
  </si>
  <si>
    <t xml:space="preserve">n </t>
  </si>
  <si>
    <t xml:space="preserve">iccpp% </t>
  </si>
  <si>
    <t>Cuota</t>
  </si>
  <si>
    <t>Suma VA</t>
  </si>
  <si>
    <t>VA neto Leasing</t>
  </si>
  <si>
    <t>Saldo residual</t>
  </si>
  <si>
    <t>Cuota Total</t>
  </si>
  <si>
    <t>Cuota de Capital</t>
  </si>
  <si>
    <t>Cuota de Interés</t>
  </si>
  <si>
    <t>Depreciación</t>
  </si>
  <si>
    <t>Inversión</t>
  </si>
  <si>
    <t>Préstamo</t>
  </si>
  <si>
    <t>V. residual</t>
  </si>
  <si>
    <t>Mantención</t>
  </si>
  <si>
    <t>i%</t>
  </si>
  <si>
    <t>Imp. Renta%</t>
  </si>
  <si>
    <t>n</t>
  </si>
  <si>
    <t>Vida útil</t>
  </si>
  <si>
    <t>i% costo de capital</t>
  </si>
  <si>
    <t>VA neto Préstamo</t>
  </si>
  <si>
    <t>Datos: (bono)</t>
  </si>
  <si>
    <t>Valor nominal UF</t>
  </si>
  <si>
    <t>Plazo maduración bono (años)</t>
  </si>
  <si>
    <t>Paridad (Pa)</t>
  </si>
  <si>
    <t>Tasa explicita anual</t>
  </si>
  <si>
    <t>r%</t>
  </si>
  <si>
    <t>Po (UF)</t>
  </si>
  <si>
    <t>donde</t>
  </si>
  <si>
    <t>Paridad</t>
  </si>
  <si>
    <t xml:space="preserve">Po: precio del bono </t>
  </si>
  <si>
    <t>UF</t>
  </si>
  <si>
    <t>anual</t>
  </si>
  <si>
    <t>Po</t>
  </si>
  <si>
    <t>Vn (UF)</t>
  </si>
  <si>
    <t>iexp% (anual)</t>
  </si>
  <si>
    <t>cupón (UF)</t>
  </si>
  <si>
    <t>Precio (UF)</t>
  </si>
  <si>
    <t>Gasto (UF)</t>
  </si>
  <si>
    <t>Monto recibido</t>
  </si>
  <si>
    <t>Icg%</t>
  </si>
  <si>
    <t>compro el bono a a par</t>
  </si>
  <si>
    <t>el bono bajo el par</t>
  </si>
  <si>
    <t>bono sobre el par</t>
  </si>
  <si>
    <t>impuesto renta</t>
  </si>
  <si>
    <t>gasto colocacion</t>
  </si>
  <si>
    <t>ingreso neto</t>
  </si>
  <si>
    <t>Precio Po</t>
  </si>
  <si>
    <t>tasa de costo de capital</t>
  </si>
  <si>
    <t>tasa post imp</t>
  </si>
  <si>
    <t>re perpetuo</t>
  </si>
  <si>
    <t>cuota pmt</t>
  </si>
  <si>
    <t>rendimiento</t>
  </si>
  <si>
    <t>Precio al que debe comprar</t>
  </si>
  <si>
    <t>si es perpetuo..</t>
  </si>
  <si>
    <t>precio bono dcto</t>
  </si>
  <si>
    <t>Precio reventa dad una tasa</t>
  </si>
  <si>
    <t>suele ser vf..</t>
  </si>
  <si>
    <t>Inversion inicial</t>
  </si>
  <si>
    <t>Flujo 1</t>
  </si>
  <si>
    <t>Flujo 2</t>
  </si>
  <si>
    <t>tasa iccpp</t>
  </si>
  <si>
    <t>VAN</t>
  </si>
  <si>
    <t>Va flujos</t>
  </si>
  <si>
    <t>Flujo 3</t>
  </si>
  <si>
    <t>Flujo 4</t>
  </si>
  <si>
    <t>Flujo 5</t>
  </si>
  <si>
    <t>Proyecto A</t>
  </si>
  <si>
    <t>Proyecto B</t>
  </si>
  <si>
    <t>TIR</t>
  </si>
  <si>
    <t>Año</t>
  </si>
  <si>
    <t>Flujo A</t>
  </si>
  <si>
    <t>Flujo B</t>
  </si>
  <si>
    <t>DATOS:</t>
  </si>
  <si>
    <t xml:space="preserve">Valor Inversión Inicial </t>
  </si>
  <si>
    <t>Aporte por deuda</t>
  </si>
  <si>
    <t>Aporte por dueños</t>
  </si>
  <si>
    <t xml:space="preserve">Tasa deuda (Kd) </t>
  </si>
  <si>
    <t>rendimiento dueños (Kp)</t>
  </si>
  <si>
    <t>Aporte Total = Aporte deuda + Aporte dueños</t>
  </si>
  <si>
    <t>Iccpp%</t>
  </si>
  <si>
    <t>Flujo de caja A</t>
  </si>
  <si>
    <t>Saldo a recuperar A</t>
  </si>
  <si>
    <t>Flujo de caja B</t>
  </si>
  <si>
    <t>Saldo a recuperar B</t>
  </si>
  <si>
    <t xml:space="preserve">             </t>
  </si>
  <si>
    <t xml:space="preserve">        </t>
  </si>
  <si>
    <t>A</t>
  </si>
  <si>
    <t>B</t>
  </si>
  <si>
    <t>año previo</t>
  </si>
  <si>
    <t>saldo año previo</t>
  </si>
  <si>
    <t>flujo del año de recuperacion</t>
  </si>
  <si>
    <t>Payback A</t>
  </si>
  <si>
    <t>años</t>
  </si>
  <si>
    <t>(2 años y 7 meses)</t>
  </si>
  <si>
    <t>Payback B</t>
  </si>
  <si>
    <t>Otra opción:</t>
  </si>
  <si>
    <t xml:space="preserve">Paso 1: Calculamos el valor actual de los flujos futuros con una tasa de reinversión del 10% </t>
  </si>
  <si>
    <t>Tasa</t>
  </si>
  <si>
    <t>VA</t>
  </si>
  <si>
    <t>Paso 2: Ahora llevamos el VA calculado a Valor Futuro al año 5</t>
  </si>
  <si>
    <t>VF</t>
  </si>
  <si>
    <t>Paso 3: Finalmente calculamos la TIRm con la fórmula</t>
  </si>
  <si>
    <t xml:space="preserve">TIRm </t>
  </si>
  <si>
    <t>Anual</t>
  </si>
  <si>
    <t>obs: Usar 2 decimales para las tasas</t>
  </si>
  <si>
    <t>Flujo A (UF)</t>
  </si>
  <si>
    <t>Flujo B (UF)</t>
  </si>
  <si>
    <t xml:space="preserve">Paso 1: Replicar cada proyecto hasta el Minimo Común Multiplo de los horizontes de evaluación de ambos proyectos </t>
  </si>
  <si>
    <t xml:space="preserve">MCM </t>
  </si>
  <si>
    <t>Paso  2: Calcular los flujos</t>
  </si>
  <si>
    <t xml:space="preserve">Paso 3: Calcular del VAN de cada Flujo </t>
  </si>
  <si>
    <t>VAN A</t>
  </si>
  <si>
    <t>VAN B</t>
  </si>
  <si>
    <t>Paso 1: Calculamos el VAN de cada proyecto SIN REPLICARLOS</t>
  </si>
  <si>
    <t>VAN (UF)</t>
  </si>
  <si>
    <t xml:space="preserve">Paso 2: Calcular el VAE </t>
  </si>
  <si>
    <t>VAE A</t>
  </si>
  <si>
    <t>VAE B</t>
  </si>
  <si>
    <t>z</t>
  </si>
  <si>
    <t>Data</t>
  </si>
  <si>
    <t>x1</t>
  </si>
  <si>
    <t>valor esperado</t>
  </si>
  <si>
    <t>sigma</t>
  </si>
  <si>
    <t>Proba tabla</t>
  </si>
  <si>
    <t>Proba mayor</t>
  </si>
  <si>
    <t>TOTAL</t>
  </si>
  <si>
    <t>Flujo Marginal</t>
  </si>
  <si>
    <t>periodo</t>
  </si>
  <si>
    <t>iccpp</t>
  </si>
  <si>
    <t>flujo</t>
  </si>
  <si>
    <t>VANB</t>
  </si>
  <si>
    <t>VANA</t>
  </si>
  <si>
    <t>TIR A</t>
  </si>
  <si>
    <t>TIR B</t>
  </si>
  <si>
    <t>Tabla pa ver si TIR va a la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</si>
</sst>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165" formatCode="_ &quot;$&quot;* #,##0_ ;_ &quot;$&quot;* \-#,##0_ ;_ &quot;$&quot;* &quot;-&quot;_ ;_ @_ "/>
    <numFmt numFmtId="166" formatCode="_ * #,##0.0000_ ;_ * \-#,##0.0000_ ;_ * &quot;-&quot;_ ;_ @_ "/>
    <numFmt numFmtId="167" formatCode="&quot;$&quot;#,##0;[Red]&quot;$&quot;\-#,##0"/>
    <numFmt numFmtId="168" formatCode="_-&quot;$&quot;* #,##0.00_-;\-&quot;$&quot;* #,##0.00_-;_-&quot;$&quot;* &quot;-&quot;_-;_-@_-"/>
    <numFmt numFmtId="169" formatCode="_-&quot;$&quot;* #,##0.000_-;\-&quot;$&quot;* #,##0.000_-;_-&quot;$&quot;* &quot;-&quot;_-;_-@_-"/>
    <numFmt numFmtId="170" formatCode="_ * #,##0.000_ ;_ * \-#,##0.000_ ;_ * &quot;-&quot;_ ;_ @_ "/>
    <numFmt numFmtId="171" formatCode="&quot;$&quot;#,##0.00;[Red]&quot;$&quot;\-#,##0.00"/>
    <numFmt numFmtId="172" formatCode="0.0%"/>
    <numFmt numFmtId="173" formatCode="0.0000%"/>
    <numFmt numFmtId="177" formatCode="_ &quot;$&quot;* #,##0.00_ ;_ &quot;$&quot;* \-#,##0.00_ ;_ &quot;$&quot;* &quot;-&quot;_ ;_ @_ "/>
    <numFmt numFmtId="178" formatCode="0.000"/>
    <numFmt numFmtId="179" formatCode="_-&quot;$&quot;* #,##0_-;\-&quot;$&quot;* #,##0_-;_-&quot;$&quot;* &quot;-&quot;???_-;_-@_-"/>
  </numFmts>
  <fonts count="1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0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Aptos Narrow"/>
      <family val="2"/>
      <scheme val="minor"/>
    </font>
    <font>
      <b/>
      <sz val="10"/>
      <color theme="0"/>
      <name val="Cambria"/>
      <family val="1"/>
    </font>
    <font>
      <b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0"/>
      <color theme="0" tint="-4.9989318521683403E-2"/>
      <name val="Cambria"/>
      <family val="1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auto="1"/>
      </patternFill>
    </fill>
    <fill>
      <patternFill patternType="solid">
        <fgColor indexed="65"/>
        <bgColor auto="1"/>
      </patternFill>
    </fill>
    <fill>
      <patternFill patternType="solid">
        <fgColor rgb="FF00B050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theme="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theme="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medium">
        <color indexed="64"/>
      </left>
      <right/>
      <top style="thin">
        <color theme="4"/>
      </top>
      <bottom style="medium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</cellStyleXfs>
  <cellXfs count="17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4" xfId="0" applyFont="1" applyBorder="1"/>
    <xf numFmtId="42" fontId="3" fillId="0" borderId="5" xfId="2" applyFont="1" applyBorder="1"/>
    <xf numFmtId="0" fontId="3" fillId="0" borderId="0" xfId="0" applyFont="1"/>
    <xf numFmtId="0" fontId="4" fillId="5" borderId="3" xfId="0" applyFont="1" applyFill="1" applyBorder="1" applyAlignment="1">
      <alignment horizontal="center" wrapText="1"/>
    </xf>
    <xf numFmtId="42" fontId="3" fillId="5" borderId="3" xfId="2" applyFont="1" applyFill="1" applyBorder="1" applyAlignment="1">
      <alignment wrapText="1"/>
    </xf>
    <xf numFmtId="166" fontId="3" fillId="5" borderId="3" xfId="1" applyNumberFormat="1" applyFont="1" applyFill="1" applyBorder="1" applyAlignment="1">
      <alignment wrapText="1"/>
    </xf>
    <xf numFmtId="9" fontId="3" fillId="0" borderId="5" xfId="0" applyNumberFormat="1" applyFont="1" applyBorder="1"/>
    <xf numFmtId="0" fontId="3" fillId="0" borderId="5" xfId="0" applyFont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6" xfId="0" applyFont="1" applyBorder="1"/>
    <xf numFmtId="9" fontId="3" fillId="0" borderId="7" xfId="0" applyNumberFormat="1" applyFont="1" applyBorder="1"/>
    <xf numFmtId="0" fontId="2" fillId="2" borderId="8" xfId="0" applyFont="1" applyFill="1" applyBorder="1" applyAlignment="1">
      <alignment horizontal="left" vertical="center"/>
    </xf>
    <xf numFmtId="42" fontId="3" fillId="0" borderId="9" xfId="2" applyFont="1" applyBorder="1"/>
    <xf numFmtId="0" fontId="2" fillId="6" borderId="8" xfId="0" applyFont="1" applyFill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6" fillId="7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42" fontId="3" fillId="5" borderId="3" xfId="2" applyFont="1" applyFill="1" applyBorder="1" applyAlignment="1">
      <alignment horizontal="center" wrapText="1"/>
    </xf>
    <xf numFmtId="167" fontId="3" fillId="5" borderId="3" xfId="2" applyNumberFormat="1" applyFont="1" applyFill="1" applyBorder="1" applyAlignment="1">
      <alignment horizontal="center" wrapText="1"/>
    </xf>
    <xf numFmtId="167" fontId="3" fillId="5" borderId="3" xfId="2" applyNumberFormat="1" applyFont="1" applyFill="1" applyBorder="1" applyAlignment="1">
      <alignment wrapText="1"/>
    </xf>
    <xf numFmtId="41" fontId="3" fillId="0" borderId="5" xfId="1" applyFont="1" applyBorder="1"/>
    <xf numFmtId="0" fontId="4" fillId="0" borderId="0" xfId="0" applyFont="1"/>
    <xf numFmtId="9" fontId="3" fillId="0" borderId="0" xfId="0" applyNumberFormat="1" applyFont="1"/>
    <xf numFmtId="167" fontId="3" fillId="0" borderId="9" xfId="2" applyNumberFormat="1" applyFont="1" applyBorder="1"/>
    <xf numFmtId="169" fontId="3" fillId="0" borderId="5" xfId="2" applyNumberFormat="1" applyFont="1" applyBorder="1"/>
    <xf numFmtId="169" fontId="3" fillId="0" borderId="3" xfId="2" applyNumberFormat="1" applyFont="1" applyBorder="1"/>
    <xf numFmtId="170" fontId="3" fillId="5" borderId="3" xfId="1" applyNumberFormat="1" applyFont="1" applyFill="1" applyBorder="1" applyAlignment="1">
      <alignment wrapText="1"/>
    </xf>
    <xf numFmtId="0" fontId="0" fillId="0" borderId="3" xfId="0" applyBorder="1"/>
    <xf numFmtId="0" fontId="5" fillId="0" borderId="0" xfId="4"/>
    <xf numFmtId="0" fontId="5" fillId="0" borderId="3" xfId="4" applyBorder="1"/>
    <xf numFmtId="9" fontId="0" fillId="0" borderId="0" xfId="5" applyFont="1"/>
    <xf numFmtId="9" fontId="5" fillId="0" borderId="3" xfId="4" applyNumberFormat="1" applyBorder="1"/>
    <xf numFmtId="171" fontId="5" fillId="0" borderId="3" xfId="4" applyNumberFormat="1" applyBorder="1"/>
    <xf numFmtId="10" fontId="0" fillId="0" borderId="3" xfId="5" applyNumberFormat="1" applyFont="1" applyBorder="1"/>
    <xf numFmtId="171" fontId="5" fillId="0" borderId="0" xfId="4" applyNumberFormat="1"/>
    <xf numFmtId="10" fontId="0" fillId="0" borderId="0" xfId="5" applyNumberFormat="1" applyFont="1"/>
    <xf numFmtId="10" fontId="5" fillId="0" borderId="3" xfId="4" applyNumberFormat="1" applyBorder="1"/>
    <xf numFmtId="10" fontId="5" fillId="0" borderId="0" xfId="4" applyNumberFormat="1"/>
    <xf numFmtId="0" fontId="0" fillId="0" borderId="3" xfId="6" applyNumberFormat="1" applyFont="1" applyBorder="1"/>
    <xf numFmtId="0" fontId="5" fillId="0" borderId="3" xfId="4" applyBorder="1" applyAlignment="1">
      <alignment horizontal="right"/>
    </xf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2" xfId="0" applyBorder="1"/>
    <xf numFmtId="172" fontId="3" fillId="0" borderId="5" xfId="0" applyNumberFormat="1" applyFont="1" applyBorder="1"/>
    <xf numFmtId="168" fontId="3" fillId="0" borderId="3" xfId="2" applyNumberFormat="1" applyFont="1" applyBorder="1"/>
    <xf numFmtId="9" fontId="5" fillId="0" borderId="0" xfId="3" applyFont="1"/>
    <xf numFmtId="9" fontId="5" fillId="0" borderId="0" xfId="4" applyNumberFormat="1"/>
    <xf numFmtId="9" fontId="5" fillId="0" borderId="3" xfId="3" applyFont="1" applyBorder="1"/>
    <xf numFmtId="8" fontId="5" fillId="0" borderId="0" xfId="4" applyNumberFormat="1"/>
    <xf numFmtId="2" fontId="5" fillId="0" borderId="0" xfId="4" applyNumberFormat="1"/>
    <xf numFmtId="173" fontId="5" fillId="0" borderId="3" xfId="4" applyNumberFormat="1" applyBorder="1"/>
    <xf numFmtId="173" fontId="5" fillId="0" borderId="0" xfId="4" applyNumberFormat="1"/>
    <xf numFmtId="9" fontId="0" fillId="0" borderId="15" xfId="3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" xfId="0" applyFont="1" applyBorder="1"/>
    <xf numFmtId="0" fontId="7" fillId="0" borderId="20" xfId="0" applyFont="1" applyBorder="1"/>
    <xf numFmtId="0" fontId="7" fillId="0" borderId="12" xfId="0" applyFont="1" applyBorder="1"/>
    <xf numFmtId="42" fontId="0" fillId="0" borderId="16" xfId="2" applyFont="1" applyBorder="1"/>
    <xf numFmtId="0" fontId="0" fillId="9" borderId="19" xfId="0" applyFill="1" applyBorder="1"/>
    <xf numFmtId="0" fontId="7" fillId="0" borderId="0" xfId="0" applyFont="1"/>
    <xf numFmtId="9" fontId="0" fillId="0" borderId="0" xfId="3" applyFont="1" applyBorder="1"/>
    <xf numFmtId="42" fontId="0" fillId="0" borderId="15" xfId="2" applyFont="1" applyBorder="1"/>
    <xf numFmtId="42" fontId="0" fillId="0" borderId="17" xfId="2" applyFont="1" applyBorder="1"/>
    <xf numFmtId="6" fontId="0" fillId="0" borderId="0" xfId="0" applyNumberFormat="1"/>
    <xf numFmtId="0" fontId="7" fillId="0" borderId="8" xfId="0" applyFont="1" applyBorder="1"/>
    <xf numFmtId="10" fontId="0" fillId="0" borderId="9" xfId="0" applyNumberFormat="1" applyBorder="1"/>
    <xf numFmtId="8" fontId="0" fillId="0" borderId="2" xfId="0" applyNumberFormat="1" applyBorder="1"/>
    <xf numFmtId="8" fontId="0" fillId="0" borderId="21" xfId="0" applyNumberFormat="1" applyBorder="1"/>
    <xf numFmtId="8" fontId="0" fillId="0" borderId="0" xfId="0" applyNumberFormat="1"/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9" fillId="0" borderId="3" xfId="0" applyFont="1" applyBorder="1"/>
    <xf numFmtId="10" fontId="9" fillId="0" borderId="3" xfId="0" applyNumberFormat="1" applyFont="1" applyBorder="1"/>
    <xf numFmtId="9" fontId="9" fillId="0" borderId="3" xfId="0" applyNumberFormat="1" applyFont="1" applyBorder="1"/>
    <xf numFmtId="9" fontId="0" fillId="0" borderId="3" xfId="5" applyFont="1" applyBorder="1"/>
    <xf numFmtId="0" fontId="8" fillId="10" borderId="3" xfId="0" applyFont="1" applyFill="1" applyBorder="1"/>
    <xf numFmtId="0" fontId="8" fillId="8" borderId="3" xfId="0" applyFont="1" applyFill="1" applyBorder="1"/>
    <xf numFmtId="0" fontId="8" fillId="11" borderId="3" xfId="0" applyFont="1" applyFill="1" applyBorder="1"/>
    <xf numFmtId="0" fontId="8" fillId="0" borderId="3" xfId="0" applyFont="1" applyBorder="1"/>
    <xf numFmtId="0" fontId="0" fillId="12" borderId="3" xfId="0" applyFill="1" applyBorder="1"/>
    <xf numFmtId="0" fontId="0" fillId="13" borderId="3" xfId="0" applyFill="1" applyBorder="1"/>
    <xf numFmtId="2" fontId="0" fillId="0" borderId="3" xfId="0" applyNumberFormat="1" applyBorder="1"/>
    <xf numFmtId="10" fontId="0" fillId="0" borderId="3" xfId="0" applyNumberFormat="1" applyBorder="1" applyAlignment="1">
      <alignment horizontal="right"/>
    </xf>
    <xf numFmtId="10" fontId="0" fillId="0" borderId="3" xfId="0" applyNumberFormat="1" applyBorder="1"/>
    <xf numFmtId="9" fontId="0" fillId="0" borderId="0" xfId="0" applyNumberFormat="1"/>
    <xf numFmtId="171" fontId="0" fillId="0" borderId="0" xfId="0" applyNumberFormat="1"/>
    <xf numFmtId="177" fontId="0" fillId="0" borderId="0" xfId="6" applyNumberFormat="1" applyFont="1"/>
    <xf numFmtId="0" fontId="0" fillId="0" borderId="1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0" xfId="0" applyBorder="1"/>
    <xf numFmtId="178" fontId="0" fillId="0" borderId="21" xfId="0" applyNumberFormat="1" applyBorder="1"/>
    <xf numFmtId="0" fontId="0" fillId="0" borderId="10" xfId="0" applyBorder="1"/>
    <xf numFmtId="178" fontId="0" fillId="0" borderId="17" xfId="0" applyNumberFormat="1" applyBorder="1"/>
    <xf numFmtId="0" fontId="2" fillId="14" borderId="2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/>
    </xf>
    <xf numFmtId="0" fontId="2" fillId="15" borderId="8" xfId="0" applyFont="1" applyFill="1" applyBorder="1" applyAlignment="1">
      <alignment horizontal="left" vertical="center"/>
    </xf>
    <xf numFmtId="0" fontId="2" fillId="16" borderId="3" xfId="0" applyFont="1" applyFill="1" applyBorder="1" applyAlignment="1">
      <alignment horizontal="center" vertical="center" wrapText="1"/>
    </xf>
    <xf numFmtId="42" fontId="3" fillId="0" borderId="3" xfId="2" applyFont="1" applyBorder="1"/>
    <xf numFmtId="0" fontId="3" fillId="0" borderId="22" xfId="0" applyFont="1" applyBorder="1"/>
    <xf numFmtId="42" fontId="3" fillId="0" borderId="7" xfId="2" applyFont="1" applyBorder="1"/>
    <xf numFmtId="0" fontId="2" fillId="17" borderId="1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center" vertical="center"/>
    </xf>
    <xf numFmtId="0" fontId="6" fillId="18" borderId="3" xfId="0" applyFont="1" applyFill="1" applyBorder="1" applyAlignment="1">
      <alignment horizontal="center" vertical="center" wrapText="1"/>
    </xf>
    <xf numFmtId="0" fontId="6" fillId="19" borderId="3" xfId="0" applyFont="1" applyFill="1" applyBorder="1" applyAlignment="1">
      <alignment horizontal="center" vertical="center" wrapText="1"/>
    </xf>
    <xf numFmtId="0" fontId="10" fillId="20" borderId="3" xfId="0" applyFont="1" applyFill="1" applyBorder="1" applyAlignment="1">
      <alignment horizontal="center" vertical="center" wrapText="1"/>
    </xf>
    <xf numFmtId="179" fontId="3" fillId="0" borderId="0" xfId="0" applyNumberFormat="1" applyFont="1" applyAlignment="1">
      <alignment wrapText="1"/>
    </xf>
    <xf numFmtId="42" fontId="3" fillId="0" borderId="0" xfId="0" applyNumberFormat="1" applyFont="1" applyAlignment="1">
      <alignment wrapText="1"/>
    </xf>
    <xf numFmtId="6" fontId="3" fillId="0" borderId="0" xfId="0" applyNumberFormat="1" applyFont="1" applyAlignment="1">
      <alignment wrapText="1"/>
    </xf>
    <xf numFmtId="42" fontId="0" fillId="0" borderId="3" xfId="2" applyFont="1" applyBorder="1" applyAlignment="1">
      <alignment vertical="center" wrapText="1"/>
    </xf>
    <xf numFmtId="42" fontId="0" fillId="0" borderId="3" xfId="2" applyFont="1" applyBorder="1"/>
    <xf numFmtId="0" fontId="8" fillId="0" borderId="24" xfId="0" applyFont="1" applyBorder="1"/>
    <xf numFmtId="0" fontId="8" fillId="0" borderId="2" xfId="0" applyFont="1" applyBorder="1"/>
    <xf numFmtId="0" fontId="0" fillId="0" borderId="25" xfId="0" applyBorder="1"/>
    <xf numFmtId="0" fontId="0" fillId="0" borderId="21" xfId="0" applyBorder="1"/>
    <xf numFmtId="0" fontId="8" fillId="0" borderId="20" xfId="0" applyFont="1" applyBorder="1"/>
    <xf numFmtId="0" fontId="8" fillId="0" borderId="25" xfId="0" applyFont="1" applyBorder="1"/>
    <xf numFmtId="0" fontId="8" fillId="0" borderId="21" xfId="0" applyFont="1" applyBorder="1"/>
    <xf numFmtId="0" fontId="8" fillId="21" borderId="1" xfId="0" applyFont="1" applyFill="1" applyBorder="1"/>
    <xf numFmtId="0" fontId="0" fillId="21" borderId="22" xfId="0" applyFill="1" applyBorder="1"/>
    <xf numFmtId="0" fontId="0" fillId="21" borderId="0" xfId="0" applyFill="1"/>
    <xf numFmtId="0" fontId="8" fillId="22" borderId="1" xfId="0" applyFont="1" applyFill="1" applyBorder="1"/>
    <xf numFmtId="0" fontId="8" fillId="0" borderId="8" xfId="0" applyFont="1" applyBorder="1"/>
    <xf numFmtId="0" fontId="8" fillId="0" borderId="26" xfId="0" applyFont="1" applyBorder="1"/>
    <xf numFmtId="0" fontId="8" fillId="0" borderId="9" xfId="0" applyFont="1" applyBorder="1"/>
    <xf numFmtId="0" fontId="0" fillId="0" borderId="24" xfId="0" applyBorder="1"/>
    <xf numFmtId="0" fontId="0" fillId="22" borderId="1" xfId="0" applyFill="1" applyBorder="1"/>
    <xf numFmtId="0" fontId="0" fillId="22" borderId="24" xfId="0" applyFill="1" applyBorder="1"/>
    <xf numFmtId="178" fontId="0" fillId="0" borderId="2" xfId="0" applyNumberFormat="1" applyBorder="1"/>
    <xf numFmtId="0" fontId="11" fillId="0" borderId="0" xfId="0" applyFont="1"/>
    <xf numFmtId="42" fontId="12" fillId="0" borderId="0" xfId="0" applyNumberFormat="1" applyFont="1"/>
    <xf numFmtId="0" fontId="13" fillId="0" borderId="13" xfId="0" applyFont="1" applyBorder="1"/>
    <xf numFmtId="42" fontId="14" fillId="0" borderId="14" xfId="2" applyFont="1" applyBorder="1"/>
    <xf numFmtId="42" fontId="13" fillId="0" borderId="14" xfId="2" applyFont="1" applyBorder="1"/>
    <xf numFmtId="0" fontId="13" fillId="0" borderId="15" xfId="0" applyFont="1" applyBorder="1"/>
    <xf numFmtId="42" fontId="13" fillId="0" borderId="17" xfId="2" applyFont="1" applyBorder="1"/>
    <xf numFmtId="0" fontId="7" fillId="0" borderId="10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9" fontId="0" fillId="0" borderId="28" xfId="3" applyFont="1" applyBorder="1"/>
    <xf numFmtId="0" fontId="7" fillId="0" borderId="27" xfId="0" applyFont="1" applyBorder="1"/>
    <xf numFmtId="0" fontId="0" fillId="22" borderId="19" xfId="0" applyFill="1" applyBorder="1"/>
    <xf numFmtId="42" fontId="0" fillId="0" borderId="3" xfId="0" applyNumberFormat="1" applyBorder="1"/>
    <xf numFmtId="42" fontId="0" fillId="0" borderId="14" xfId="0" applyNumberFormat="1" applyBorder="1"/>
    <xf numFmtId="42" fontId="0" fillId="0" borderId="17" xfId="0" applyNumberFormat="1" applyBorder="1"/>
    <xf numFmtId="0" fontId="0" fillId="0" borderId="29" xfId="0" applyBorder="1"/>
    <xf numFmtId="0" fontId="7" fillId="0" borderId="19" xfId="0" applyFont="1" applyBorder="1"/>
    <xf numFmtId="42" fontId="0" fillId="0" borderId="30" xfId="0" applyNumberFormat="1" applyBorder="1"/>
    <xf numFmtId="0" fontId="0" fillId="0" borderId="8" xfId="0" applyBorder="1"/>
    <xf numFmtId="8" fontId="0" fillId="0" borderId="9" xfId="0" applyNumberFormat="1" applyBorder="1"/>
    <xf numFmtId="9" fontId="0" fillId="0" borderId="2" xfId="0" applyNumberFormat="1" applyBorder="1"/>
    <xf numFmtId="9" fontId="0" fillId="0" borderId="13" xfId="3" applyFont="1" applyBorder="1"/>
    <xf numFmtId="42" fontId="0" fillId="0" borderId="16" xfId="0" applyNumberFormat="1" applyBorder="1"/>
    <xf numFmtId="9" fontId="0" fillId="0" borderId="29" xfId="3" applyFont="1" applyBorder="1"/>
    <xf numFmtId="42" fontId="0" fillId="0" borderId="31" xfId="0" applyNumberFormat="1" applyBorder="1"/>
    <xf numFmtId="0" fontId="7" fillId="0" borderId="32" xfId="0" applyFont="1" applyBorder="1" applyAlignment="1">
      <alignment horizontal="center" vertical="top"/>
    </xf>
    <xf numFmtId="0" fontId="7" fillId="0" borderId="33" xfId="0" applyFont="1" applyBorder="1" applyAlignment="1">
      <alignment horizontal="center" vertical="top"/>
    </xf>
    <xf numFmtId="0" fontId="7" fillId="0" borderId="18" xfId="0" applyFont="1" applyBorder="1" applyAlignment="1">
      <alignment horizontal="center" vertical="top"/>
    </xf>
    <xf numFmtId="6" fontId="3" fillId="0" borderId="2" xfId="2" applyNumberFormat="1" applyFont="1" applyBorder="1"/>
    <xf numFmtId="8" fontId="3" fillId="0" borderId="0" xfId="0" applyNumberFormat="1" applyFont="1" applyAlignment="1">
      <alignment wrapText="1"/>
    </xf>
    <xf numFmtId="0" fontId="5" fillId="8" borderId="3" xfId="4" applyFill="1" applyBorder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</cellXfs>
  <cellStyles count="7">
    <cellStyle name="Comma [0]" xfId="1" builtinId="6"/>
    <cellStyle name="Currency [0]" xfId="2" builtinId="7"/>
    <cellStyle name="Currency [0] 2" xfId="6" xr:uid="{C587235B-9BE1-2348-AEA5-306E9ED301E4}"/>
    <cellStyle name="Normal" xfId="0" builtinId="0"/>
    <cellStyle name="Normal 2" xfId="4" xr:uid="{20C069DE-0042-DF48-BBB2-D99965FD8066}"/>
    <cellStyle name="Percent" xfId="3" builtinId="5"/>
    <cellStyle name="Percent 2" xfId="5" xr:uid="{25A1B9B7-6EBB-864D-AD69-116A94B680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Cruce</a:t>
            </a:r>
            <a:r>
              <a:rPr lang="en-US" baseline="0"/>
              <a:t> de Fisher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'Cruce de Fischer'!$K$13</c:f>
              <c:strCache>
                <c:ptCount val="1"/>
                <c:pt idx="0">
                  <c:v>VAN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'Cruce de Fischer'!$J$14:$J$24</c:f>
              <c:numCache>
                <c:formatCode>0%</c:formatCode>
                <c:ptCount val="1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</c:numCache>
            </c:numRef>
          </c:cat>
          <c:val>
            <c:numRef>
              <c:f>'Cruce de Fischer'!$K$14:$K$24</c:f>
              <c:numCache>
                <c:formatCode>_("$"* #,##0_);_("$"* \(#,##0\);_("$"* "-"_);_(@_)</c:formatCode>
                <c:ptCount val="11"/>
                <c:pt idx="0">
                  <c:v>400</c:v>
                </c:pt>
                <c:pt idx="1">
                  <c:v>319.65985933012234</c:v>
                </c:pt>
                <c:pt idx="2">
                  <c:v>244.33602639963556</c:v>
                </c:pt>
                <c:pt idx="3">
                  <c:v>173.60908669572859</c:v>
                </c:pt>
                <c:pt idx="4">
                  <c:v>107.1025758268554</c:v>
                </c:pt>
                <c:pt idx="5">
                  <c:v>44.477836213373166</c:v>
                </c:pt>
                <c:pt idx="6">
                  <c:v>-14.570426384840175</c:v>
                </c:pt>
                <c:pt idx="7">
                  <c:v>-70.317992580713508</c:v>
                </c:pt>
                <c:pt idx="8">
                  <c:v>-123.01447373816063</c:v>
                </c:pt>
                <c:pt idx="9">
                  <c:v>-172.88622497918482</c:v>
                </c:pt>
                <c:pt idx="10">
                  <c:v>-220.13888888888869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1C-FF4B-982C-2C8767C6BFBE}"/>
            </c:ext>
          </c:extLst>
        </c:ser>
        <c:ser>
          <c:idx val="1"/>
          <c:order val="1"/>
          <c:tx>
            <c:strRef>
              <c:f>'Cruce de Fischer'!$L$13</c:f>
              <c:strCache>
                <c:ptCount val="1"/>
                <c:pt idx="0">
                  <c:v>VAN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'Cruce de Fischer'!$J$14:$J$24</c:f>
              <c:numCache>
                <c:formatCode>0%</c:formatCode>
                <c:ptCount val="1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</c:numCache>
            </c:numRef>
          </c:cat>
          <c:val>
            <c:numRef>
              <c:f>'Cruce de Fischer'!$L$14:$L$24</c:f>
              <c:numCache>
                <c:formatCode>_("$"* #,##0_);_("$"* \(#,##0\);_("$"* "-"_);_(@_)</c:formatCode>
                <c:ptCount val="11"/>
                <c:pt idx="0">
                  <c:v>450</c:v>
                </c:pt>
                <c:pt idx="1">
                  <c:v>362.9124544858314</c:v>
                </c:pt>
                <c:pt idx="2">
                  <c:v>281.31827492034563</c:v>
                </c:pt>
                <c:pt idx="3">
                  <c:v>204.7589620962267</c:v>
                </c:pt>
                <c:pt idx="4">
                  <c:v>132.82274043590905</c:v>
                </c:pt>
                <c:pt idx="5">
                  <c:v>65.138993238166449</c:v>
                </c:pt>
                <c:pt idx="6">
                  <c:v>1.37345116618053</c:v>
                </c:pt>
                <c:pt idx="7">
                  <c:v>-58.775979653659078</c:v>
                </c:pt>
                <c:pt idx="8">
                  <c:v>-115.5828447250808</c:v>
                </c:pt>
                <c:pt idx="9">
                  <c:v>-169.29530283037684</c:v>
                </c:pt>
                <c:pt idx="10">
                  <c:v>-220.13888888888869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1C-FF4B-982C-2C8767C6B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099407"/>
        <c:axId val="1287467663"/>
      </c:lineChart>
      <c:catAx>
        <c:axId val="128709940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287467663"/>
        <c:crosses val="autoZero"/>
        <c:auto val="1"/>
        <c:lblAlgn val="ctr"/>
        <c:lblOffset val="100"/>
        <c:noMultiLvlLbl val="0"/>
      </c:catAx>
      <c:valAx>
        <c:axId val="128746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287099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13" Type="http://schemas.openxmlformats.org/officeDocument/2006/relationships/image" Target="../media/image25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12" Type="http://schemas.openxmlformats.org/officeDocument/2006/relationships/image" Target="../media/image24.png"/><Relationship Id="rId2" Type="http://schemas.openxmlformats.org/officeDocument/2006/relationships/image" Target="../media/image14.png"/><Relationship Id="rId16" Type="http://schemas.openxmlformats.org/officeDocument/2006/relationships/image" Target="../media/image28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11" Type="http://schemas.openxmlformats.org/officeDocument/2006/relationships/image" Target="../media/image23.png"/><Relationship Id="rId5" Type="http://schemas.openxmlformats.org/officeDocument/2006/relationships/image" Target="../media/image17.png"/><Relationship Id="rId15" Type="http://schemas.openxmlformats.org/officeDocument/2006/relationships/image" Target="../media/image27.png"/><Relationship Id="rId10" Type="http://schemas.openxmlformats.org/officeDocument/2006/relationships/image" Target="../media/image22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Relationship Id="rId14" Type="http://schemas.openxmlformats.org/officeDocument/2006/relationships/image" Target="../media/image2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16</xdr:row>
      <xdr:rowOff>190501</xdr:rowOff>
    </xdr:from>
    <xdr:to>
      <xdr:col>6</xdr:col>
      <xdr:colOff>830054</xdr:colOff>
      <xdr:row>25</xdr:row>
      <xdr:rowOff>76201</xdr:rowOff>
    </xdr:to>
    <xdr:pic>
      <xdr:nvPicPr>
        <xdr:cNvPr id="3" name="Imagen 2" descr="Texto&#10;&#10;Descripción generada automáticamente">
          <a:extLst>
            <a:ext uri="{FF2B5EF4-FFF2-40B4-BE49-F238E27FC236}">
              <a16:creationId xmlns:a16="http://schemas.microsoft.com/office/drawing/2014/main" id="{50AFF06B-C1F8-B841-8D0D-E456A1E7A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695701"/>
          <a:ext cx="6062454" cy="17145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184106</xdr:colOff>
      <xdr:row>7</xdr:row>
      <xdr:rowOff>118785</xdr:rowOff>
    </xdr:from>
    <xdr:to>
      <xdr:col>5</xdr:col>
      <xdr:colOff>657914</xdr:colOff>
      <xdr:row>11</xdr:row>
      <xdr:rowOff>209417</xdr:rowOff>
    </xdr:to>
    <xdr:sp macro="" textlink="">
      <xdr:nvSpPr>
        <xdr:cNvPr id="4" name="CuadroTexto 1">
          <a:extLst>
            <a:ext uri="{FF2B5EF4-FFF2-40B4-BE49-F238E27FC236}">
              <a16:creationId xmlns:a16="http://schemas.microsoft.com/office/drawing/2014/main" id="{62E787BF-CD90-4C44-AAB1-63FCACE19D1E}"/>
            </a:ext>
          </a:extLst>
        </xdr:cNvPr>
        <xdr:cNvSpPr txBox="1"/>
      </xdr:nvSpPr>
      <xdr:spPr>
        <a:xfrm>
          <a:off x="2404386" y="1726268"/>
          <a:ext cx="2480941" cy="934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Nota: la cuota se calcula tipo payment PMT</a:t>
          </a:r>
        </a:p>
        <a:p>
          <a:r>
            <a:rPr lang="es-CL" sz="1100"/>
            <a:t>La diferencia</a:t>
          </a:r>
          <a:r>
            <a:rPr lang="es-CL" sz="1100" baseline="0"/>
            <a:t> entre la suma y el valor neto del leasing son los fondos propios iniciales</a:t>
          </a:r>
          <a:br>
            <a:rPr lang="es-CL" sz="1100"/>
          </a:br>
          <a:endParaRPr lang="es-CL" sz="1100"/>
        </a:p>
      </xdr:txBody>
    </xdr:sp>
    <xdr:clientData/>
  </xdr:twoCellAnchor>
  <xdr:twoCellAnchor>
    <xdr:from>
      <xdr:col>7</xdr:col>
      <xdr:colOff>97692</xdr:colOff>
      <xdr:row>16</xdr:row>
      <xdr:rowOff>186503</xdr:rowOff>
    </xdr:from>
    <xdr:to>
      <xdr:col>11</xdr:col>
      <xdr:colOff>44405</xdr:colOff>
      <xdr:row>22</xdr:row>
      <xdr:rowOff>26643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940C25D-5680-B186-F554-1C6768CD8277}"/>
            </a:ext>
          </a:extLst>
        </xdr:cNvPr>
        <xdr:cNvSpPr txBox="1"/>
      </xdr:nvSpPr>
      <xdr:spPr>
        <a:xfrm>
          <a:off x="6296713" y="3685664"/>
          <a:ext cx="3889930" cy="106573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Al momento de discernir entre leasing o prestamo se escoge la opcion con menor valor actual</a:t>
          </a:r>
          <a:r>
            <a:rPr lang="en-US" sz="1100" baseline="0"/>
            <a:t> para definir la alternativa menos riesgosa</a:t>
          </a:r>
          <a:endParaRPr lang="en-US" sz="1100"/>
        </a:p>
      </xdr:txBody>
    </xdr:sp>
    <xdr:clientData/>
  </xdr:twoCellAnchor>
  <xdr:twoCellAnchor>
    <xdr:from>
      <xdr:col>7</xdr:col>
      <xdr:colOff>79930</xdr:colOff>
      <xdr:row>23</xdr:row>
      <xdr:rowOff>17762</xdr:rowOff>
    </xdr:from>
    <xdr:to>
      <xdr:col>10</xdr:col>
      <xdr:colOff>790420</xdr:colOff>
      <xdr:row>26</xdr:row>
      <xdr:rowOff>177623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F7B4518-E506-FE5B-6FE5-B647ADD3973F}"/>
            </a:ext>
          </a:extLst>
        </xdr:cNvPr>
        <xdr:cNvSpPr txBox="1"/>
      </xdr:nvSpPr>
      <xdr:spPr>
        <a:xfrm>
          <a:off x="6278951" y="4946783"/>
          <a:ext cx="3206084" cy="7726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El leasing son flujos anticipados!!! por eso se parte del 0, los arriendos se pagan por anticipado, a principio de mes para poder ocuparlo todo el mes:)</a:t>
          </a:r>
        </a:p>
      </xdr:txBody>
    </xdr:sp>
    <xdr:clientData/>
  </xdr:twoCellAnchor>
  <xdr:twoCellAnchor>
    <xdr:from>
      <xdr:col>2</xdr:col>
      <xdr:colOff>390769</xdr:colOff>
      <xdr:row>11</xdr:row>
      <xdr:rowOff>106574</xdr:rowOff>
    </xdr:from>
    <xdr:to>
      <xdr:col>5</xdr:col>
      <xdr:colOff>1062180</xdr:colOff>
      <xdr:row>13</xdr:row>
      <xdr:rowOff>186503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FE5A09C-4531-A8F4-B64E-E59EF209241B}"/>
            </a:ext>
          </a:extLst>
        </xdr:cNvPr>
        <xdr:cNvSpPr txBox="1"/>
      </xdr:nvSpPr>
      <xdr:spPr>
        <a:xfrm>
          <a:off x="2611049" y="2557763"/>
          <a:ext cx="2678544" cy="5062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El flujo neto indica lo que sale de nuestro bolsillo, si es negativo implicaria un ingresos de caja</a:t>
          </a:r>
        </a:p>
      </xdr:txBody>
    </xdr:sp>
    <xdr:clientData/>
  </xdr:twoCellAnchor>
  <xdr:twoCellAnchor>
    <xdr:from>
      <xdr:col>0</xdr:col>
      <xdr:colOff>150979</xdr:colOff>
      <xdr:row>14</xdr:row>
      <xdr:rowOff>62168</xdr:rowOff>
    </xdr:from>
    <xdr:to>
      <xdr:col>6</xdr:col>
      <xdr:colOff>79930</xdr:colOff>
      <xdr:row>16</xdr:row>
      <xdr:rowOff>106573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5C52F7C-EEBC-1F25-089C-C7AC4273C5E4}"/>
            </a:ext>
          </a:extLst>
        </xdr:cNvPr>
        <xdr:cNvSpPr txBox="1"/>
      </xdr:nvSpPr>
      <xdr:spPr>
        <a:xfrm>
          <a:off x="150979" y="3152797"/>
          <a:ext cx="5222098" cy="452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Valor Neto es la suma de los flujos netos en valor actual junto</a:t>
          </a:r>
          <a:r>
            <a:rPr lang="en-US" sz="1100" baseline="0"/>
            <a:t> con todos los gastos que uno haria en el periodo 0 como un pie, gastos de puesta en marcha, etc.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54834</xdr:colOff>
      <xdr:row>19</xdr:row>
      <xdr:rowOff>197288</xdr:rowOff>
    </xdr:from>
    <xdr:to>
      <xdr:col>6</xdr:col>
      <xdr:colOff>914330</xdr:colOff>
      <xdr:row>27</xdr:row>
      <xdr:rowOff>125474</xdr:rowOff>
    </xdr:to>
    <xdr:pic>
      <xdr:nvPicPr>
        <xdr:cNvPr id="3" name="Imagen 4" descr="Texto&#10;&#10;Descripción generada automáticamente">
          <a:extLst>
            <a:ext uri="{FF2B5EF4-FFF2-40B4-BE49-F238E27FC236}">
              <a16:creationId xmlns:a16="http://schemas.microsoft.com/office/drawing/2014/main" id="{1F9FC8CE-5434-CA4E-9238-A098A872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4" y="4299388"/>
          <a:ext cx="6775462" cy="15537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56396</xdr:colOff>
      <xdr:row>28</xdr:row>
      <xdr:rowOff>134139</xdr:rowOff>
    </xdr:from>
    <xdr:to>
      <xdr:col>4</xdr:col>
      <xdr:colOff>12168</xdr:colOff>
      <xdr:row>36</xdr:row>
      <xdr:rowOff>183874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CCFBD836-B380-1D4D-82C8-A80F5C2D9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96" y="6065039"/>
          <a:ext cx="3551769" cy="16753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18951</xdr:colOff>
      <xdr:row>8</xdr:row>
      <xdr:rowOff>9301</xdr:rowOff>
    </xdr:from>
    <xdr:to>
      <xdr:col>9</xdr:col>
      <xdr:colOff>20320</xdr:colOff>
      <xdr:row>10</xdr:row>
      <xdr:rowOff>20320</xdr:rowOff>
    </xdr:to>
    <xdr:sp macro="" textlink="">
      <xdr:nvSpPr>
        <xdr:cNvPr id="5" name="CuadroTexto 2">
          <a:extLst>
            <a:ext uri="{FF2B5EF4-FFF2-40B4-BE49-F238E27FC236}">
              <a16:creationId xmlns:a16="http://schemas.microsoft.com/office/drawing/2014/main" id="{FFA5FC2F-8E1E-834C-B635-8F151BD0FE03}"/>
            </a:ext>
          </a:extLst>
        </xdr:cNvPr>
        <xdr:cNvSpPr txBox="1"/>
      </xdr:nvSpPr>
      <xdr:spPr>
        <a:xfrm>
          <a:off x="2558951" y="1787301"/>
          <a:ext cx="6463129" cy="4174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200"/>
            <a:t>la vida util no es lo mismo que el periodo del prestamo, ya que la vida util se usa para la depreciacion..</a:t>
          </a:r>
        </a:p>
      </xdr:txBody>
    </xdr:sp>
    <xdr:clientData/>
  </xdr:twoCellAnchor>
  <xdr:twoCellAnchor>
    <xdr:from>
      <xdr:col>9</xdr:col>
      <xdr:colOff>81280</xdr:colOff>
      <xdr:row>7</xdr:row>
      <xdr:rowOff>193040</xdr:rowOff>
    </xdr:from>
    <xdr:to>
      <xdr:col>9</xdr:col>
      <xdr:colOff>1026160</xdr:colOff>
      <xdr:row>17</xdr:row>
      <xdr:rowOff>162560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47676B9-AF87-DD97-3E31-C40F3DD786C8}"/>
            </a:ext>
          </a:extLst>
        </xdr:cNvPr>
        <xdr:cNvSpPr txBox="1"/>
      </xdr:nvSpPr>
      <xdr:spPr>
        <a:xfrm>
          <a:off x="9133840" y="1767840"/>
          <a:ext cx="944880" cy="2062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 leasing no hay depreciacion por que el equipo no es mio... en compras si se deprecia y</a:t>
          </a:r>
          <a:r>
            <a:rPr lang="en-US" sz="1100" baseline="0"/>
            <a:t> se agrega al ahorro impositivo</a:t>
          </a:r>
          <a:endParaRPr lang="en-US" sz="1100"/>
        </a:p>
      </xdr:txBody>
    </xdr:sp>
    <xdr:clientData/>
  </xdr:twoCellAnchor>
  <xdr:twoCellAnchor>
    <xdr:from>
      <xdr:col>11</xdr:col>
      <xdr:colOff>50800</xdr:colOff>
      <xdr:row>7</xdr:row>
      <xdr:rowOff>172720</xdr:rowOff>
    </xdr:from>
    <xdr:to>
      <xdr:col>11</xdr:col>
      <xdr:colOff>975360</xdr:colOff>
      <xdr:row>18</xdr:row>
      <xdr:rowOff>50800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7F74309-7910-551D-79D1-8133A59E5A43}"/>
            </a:ext>
          </a:extLst>
        </xdr:cNvPr>
        <xdr:cNvSpPr txBox="1"/>
      </xdr:nvSpPr>
      <xdr:spPr>
        <a:xfrm>
          <a:off x="11196320" y="1747520"/>
          <a:ext cx="924560" cy="218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El ahorro impositivo se considera como el mismo</a:t>
          </a:r>
          <a:r>
            <a:rPr lang="en-US" sz="1100" baseline="0"/>
            <a:t> periodo i a diferencia del leasing que es desde el periodo anterior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19</xdr:row>
      <xdr:rowOff>38101</xdr:rowOff>
    </xdr:from>
    <xdr:to>
      <xdr:col>3</xdr:col>
      <xdr:colOff>673100</xdr:colOff>
      <xdr:row>25</xdr:row>
      <xdr:rowOff>177801</xdr:rowOff>
    </xdr:to>
    <xdr:sp macro="" textlink="">
      <xdr:nvSpPr>
        <xdr:cNvPr id="2" name="CuadroTexto 2">
          <a:extLst>
            <a:ext uri="{FF2B5EF4-FFF2-40B4-BE49-F238E27FC236}">
              <a16:creationId xmlns:a16="http://schemas.microsoft.com/office/drawing/2014/main" id="{C4FF8703-32CA-2640-A806-2075DA7756B1}"/>
            </a:ext>
          </a:extLst>
        </xdr:cNvPr>
        <xdr:cNvSpPr txBox="1"/>
      </xdr:nvSpPr>
      <xdr:spPr>
        <a:xfrm>
          <a:off x="139700" y="4318001"/>
          <a:ext cx="3467100" cy="135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200"/>
            <a:t>Nota: No</a:t>
          </a:r>
          <a:r>
            <a:rPr lang="es-CL" sz="1200" baseline="0"/>
            <a:t> olvidar extender las columnas para el calculo de estas en caso de que sean más de 3 períodos. También considerar decimales dependiendo el tipo de moneda.</a:t>
          </a:r>
        </a:p>
        <a:p>
          <a:r>
            <a:rPr lang="es-CL" sz="1200" baseline="0"/>
            <a:t>En el prestamo americano se mantiene constante la tasa de interes</a:t>
          </a:r>
        </a:p>
        <a:p>
          <a:endParaRPr lang="es-CL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796191</xdr:colOff>
      <xdr:row>20</xdr:row>
      <xdr:rowOff>24541</xdr:rowOff>
    </xdr:from>
    <xdr:to>
      <xdr:col>13</xdr:col>
      <xdr:colOff>546100</xdr:colOff>
      <xdr:row>27</xdr:row>
      <xdr:rowOff>0</xdr:rowOff>
    </xdr:to>
    <xdr:sp macro="" textlink="">
      <xdr:nvSpPr>
        <xdr:cNvPr id="2" name="CuadroTexto 2">
          <a:extLst>
            <a:ext uri="{FF2B5EF4-FFF2-40B4-BE49-F238E27FC236}">
              <a16:creationId xmlns:a16="http://schemas.microsoft.com/office/drawing/2014/main" id="{A481F10E-CF5C-604B-8B0A-47EC8B2EAAEE}"/>
            </a:ext>
          </a:extLst>
        </xdr:cNvPr>
        <xdr:cNvSpPr txBox="1"/>
      </xdr:nvSpPr>
      <xdr:spPr>
        <a:xfrm>
          <a:off x="7781191" y="4329841"/>
          <a:ext cx="4093309" cy="13978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200"/>
            <a:t>Nota: No</a:t>
          </a:r>
          <a:r>
            <a:rPr lang="es-CL" sz="1200" baseline="0"/>
            <a:t> olvidar extender las columnas para el calculo de estas en caso de que sean más de 5 períodos. También considerar decimales dependiendo el tipo de moneda.</a:t>
          </a:r>
        </a:p>
        <a:p>
          <a:endParaRPr lang="es-CL" sz="1200" baseline="0"/>
        </a:p>
        <a:p>
          <a:r>
            <a:rPr lang="es-CL" sz="1200" baseline="0"/>
            <a:t>Prestamo aleman </a:t>
          </a:r>
          <a:r>
            <a:rPr lang="en-US" sz="1200"/>
            <a:t>La </a:t>
          </a:r>
          <a:r>
            <a:rPr lang="en-US" sz="1200" b="1"/>
            <a:t>cuota de capital (amortización)</a:t>
          </a:r>
          <a:r>
            <a:rPr lang="en-US" sz="1200"/>
            <a:t> es </a:t>
          </a:r>
          <a:r>
            <a:rPr lang="en-US" sz="1200" b="1"/>
            <a:t>constante</a:t>
          </a:r>
          <a:r>
            <a:rPr lang="en-US" sz="1200"/>
            <a:t> en todos los periodos</a:t>
          </a:r>
          <a:r>
            <a:rPr lang="en-US" sz="1200" baseline="0"/>
            <a:t> y </a:t>
          </a:r>
          <a:r>
            <a:rPr lang="en-US" sz="1200"/>
            <a:t>El </a:t>
          </a:r>
          <a:r>
            <a:rPr lang="en-US" sz="1200" b="1"/>
            <a:t>interés se calcula sobre el saldo insoluto</a:t>
          </a:r>
          <a:endParaRPr lang="es-CL" sz="1200"/>
        </a:p>
      </xdr:txBody>
    </xdr:sp>
    <xdr:clientData/>
  </xdr:twoCellAnchor>
  <xdr:twoCellAnchor editAs="oneCell">
    <xdr:from>
      <xdr:col>0</xdr:col>
      <xdr:colOff>54834</xdr:colOff>
      <xdr:row>19</xdr:row>
      <xdr:rowOff>197288</xdr:rowOff>
    </xdr:from>
    <xdr:to>
      <xdr:col>8</xdr:col>
      <xdr:colOff>251696</xdr:colOff>
      <xdr:row>27</xdr:row>
      <xdr:rowOff>125474</xdr:rowOff>
    </xdr:to>
    <xdr:pic>
      <xdr:nvPicPr>
        <xdr:cNvPr id="3" name="Imagen 4" descr="Texto&#10;&#10;Descripción generada automáticamente">
          <a:extLst>
            <a:ext uri="{FF2B5EF4-FFF2-40B4-BE49-F238E27FC236}">
              <a16:creationId xmlns:a16="http://schemas.microsoft.com/office/drawing/2014/main" id="{3B14B263-0CFF-6443-9D59-D7DE862DA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4" y="4299388"/>
          <a:ext cx="6775462" cy="15537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139700</xdr:colOff>
      <xdr:row>28</xdr:row>
      <xdr:rowOff>152400</xdr:rowOff>
    </xdr:from>
    <xdr:to>
      <xdr:col>4</xdr:col>
      <xdr:colOff>283063</xdr:colOff>
      <xdr:row>32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45BEDE-F945-6022-CA26-FF97E4E28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700" y="6083300"/>
          <a:ext cx="3699363" cy="685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45127</xdr:colOff>
      <xdr:row>11</xdr:row>
      <xdr:rowOff>183960</xdr:rowOff>
    </xdr:from>
    <xdr:to>
      <xdr:col>1</xdr:col>
      <xdr:colOff>402209</xdr:colOff>
      <xdr:row>13</xdr:row>
      <xdr:rowOff>94074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F3DE06-C768-AE4B-A8D2-5B39DC118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27" y="2291219"/>
          <a:ext cx="2135082" cy="286411"/>
        </a:xfrm>
        <a:prstGeom prst="rect">
          <a:avLst/>
        </a:prstGeom>
      </xdr:spPr>
    </xdr:pic>
    <xdr:clientData/>
  </xdr:twoCellAnchor>
  <xdr:twoCellAnchor editAs="oneCell">
    <xdr:from>
      <xdr:col>4</xdr:col>
      <xdr:colOff>17860</xdr:colOff>
      <xdr:row>1</xdr:row>
      <xdr:rowOff>59531</xdr:rowOff>
    </xdr:from>
    <xdr:to>
      <xdr:col>11</xdr:col>
      <xdr:colOff>381809</xdr:colOff>
      <xdr:row>2</xdr:row>
      <xdr:rowOff>126242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0ABC32-CFD3-9748-910B-9A66BCCB4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24760" y="250031"/>
          <a:ext cx="6559198" cy="257211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762000</xdr:colOff>
      <xdr:row>3</xdr:row>
      <xdr:rowOff>77392</xdr:rowOff>
    </xdr:from>
    <xdr:to>
      <xdr:col>9</xdr:col>
      <xdr:colOff>740780</xdr:colOff>
      <xdr:row>6</xdr:row>
      <xdr:rowOff>41486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EDDF4A-E619-2045-877F-130343AD1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648892"/>
          <a:ext cx="1578979" cy="552527"/>
        </a:xfrm>
        <a:prstGeom prst="rect">
          <a:avLst/>
        </a:prstGeom>
      </xdr:spPr>
    </xdr:pic>
    <xdr:clientData/>
  </xdr:twoCellAnchor>
  <xdr:twoCellAnchor editAs="oneCell">
    <xdr:from>
      <xdr:col>4</xdr:col>
      <xdr:colOff>41672</xdr:colOff>
      <xdr:row>13</xdr:row>
      <xdr:rowOff>53578</xdr:rowOff>
    </xdr:from>
    <xdr:to>
      <xdr:col>11</xdr:col>
      <xdr:colOff>329410</xdr:colOff>
      <xdr:row>14</xdr:row>
      <xdr:rowOff>82183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F8C5ECE-B32A-5C4F-90E7-0E9FBD69A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48572" y="2530078"/>
          <a:ext cx="6482987" cy="219106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</xdr:colOff>
      <xdr:row>21</xdr:row>
      <xdr:rowOff>71438</xdr:rowOff>
    </xdr:from>
    <xdr:to>
      <xdr:col>11</xdr:col>
      <xdr:colOff>483024</xdr:colOff>
      <xdr:row>23</xdr:row>
      <xdr:rowOff>54557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F4871C6-D7D7-7E4C-B0F5-E540709C0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30712" y="4071938"/>
          <a:ext cx="6654461" cy="38105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762000</xdr:colOff>
      <xdr:row>28</xdr:row>
      <xdr:rowOff>190499</xdr:rowOff>
    </xdr:from>
    <xdr:to>
      <xdr:col>13</xdr:col>
      <xdr:colOff>269778</xdr:colOff>
      <xdr:row>31</xdr:row>
      <xdr:rowOff>172640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E407DF7-42AA-A34F-AC76-AFCF358E2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43400" y="5524499"/>
          <a:ext cx="8179526" cy="553641"/>
        </a:xfrm>
        <a:prstGeom prst="rect">
          <a:avLst/>
        </a:prstGeom>
      </xdr:spPr>
    </xdr:pic>
    <xdr:clientData/>
  </xdr:twoCellAnchor>
  <xdr:twoCellAnchor editAs="oneCell">
    <xdr:from>
      <xdr:col>3</xdr:col>
      <xdr:colOff>738188</xdr:colOff>
      <xdr:row>39</xdr:row>
      <xdr:rowOff>154780</xdr:rowOff>
    </xdr:from>
    <xdr:to>
      <xdr:col>9</xdr:col>
      <xdr:colOff>222086</xdr:colOff>
      <xdr:row>41</xdr:row>
      <xdr:rowOff>47624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8B568B3-9D6F-BF49-886D-24A9339FB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19588" y="7584280"/>
          <a:ext cx="4853646" cy="273844"/>
        </a:xfrm>
        <a:prstGeom prst="rect">
          <a:avLst/>
        </a:prstGeom>
      </xdr:spPr>
    </xdr:pic>
    <xdr:clientData/>
  </xdr:twoCellAnchor>
  <xdr:twoCellAnchor editAs="oneCell">
    <xdr:from>
      <xdr:col>12</xdr:col>
      <xdr:colOff>53579</xdr:colOff>
      <xdr:row>0</xdr:row>
      <xdr:rowOff>166687</xdr:rowOff>
    </xdr:from>
    <xdr:to>
      <xdr:col>19</xdr:col>
      <xdr:colOff>648890</xdr:colOff>
      <xdr:row>10</xdr:row>
      <xdr:rowOff>169936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666E2C9-B42B-0F48-9410-E8DB8C671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93079" y="166687"/>
          <a:ext cx="6373811" cy="194634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0</xdr:row>
      <xdr:rowOff>198436</xdr:rowOff>
    </xdr:from>
    <xdr:to>
      <xdr:col>9</xdr:col>
      <xdr:colOff>571500</xdr:colOff>
      <xdr:row>5</xdr:row>
      <xdr:rowOff>206373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2D6F6B-8956-158E-8ABC-1F0C37160194}"/>
            </a:ext>
          </a:extLst>
        </xdr:cNvPr>
        <xdr:cNvSpPr txBox="1"/>
      </xdr:nvSpPr>
      <xdr:spPr>
        <a:xfrm>
          <a:off x="6032500" y="198436"/>
          <a:ext cx="2095500" cy="1063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La formula se llama</a:t>
          </a:r>
          <a:r>
            <a:rPr lang="en-US" sz="1100" baseline="0"/>
            <a:t> VNA() en espanol en excel para calcular el valor actual de los flujos a una misma tasa aun que sean de montos distintos los flujos</a:t>
          </a:r>
        </a:p>
        <a:p>
          <a:endParaRPr lang="en-US" sz="1100"/>
        </a:p>
      </xdr:txBody>
    </xdr:sp>
    <xdr:clientData/>
  </xdr:twoCellAnchor>
  <xdr:twoCellAnchor>
    <xdr:from>
      <xdr:col>10</xdr:col>
      <xdr:colOff>47625</xdr:colOff>
      <xdr:row>1</xdr:row>
      <xdr:rowOff>15875</xdr:rowOff>
    </xdr:from>
    <xdr:to>
      <xdr:col>12</xdr:col>
      <xdr:colOff>158750</xdr:colOff>
      <xdr:row>7</xdr:row>
      <xdr:rowOff>15875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BF4E8CB-C523-C8CD-656C-800152CFABD9}"/>
            </a:ext>
          </a:extLst>
        </xdr:cNvPr>
        <xdr:cNvSpPr txBox="1"/>
      </xdr:nvSpPr>
      <xdr:spPr>
        <a:xfrm>
          <a:off x="8429625" y="230188"/>
          <a:ext cx="1762125" cy="127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VAN&gt;0 -&gt; la inversion se recupera</a:t>
          </a:r>
        </a:p>
        <a:p>
          <a:endParaRPr lang="en-US" sz="1100"/>
        </a:p>
        <a:p>
          <a:r>
            <a:rPr lang="en-US" sz="1100"/>
            <a:t>VAN &lt;0 --&gt; no se recupera la inversion se rechaza el proyecto</a:t>
          </a: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698500</xdr:colOff>
      <xdr:row>0</xdr:row>
      <xdr:rowOff>166688</xdr:rowOff>
    </xdr:from>
    <xdr:to>
      <xdr:col>10</xdr:col>
      <xdr:colOff>412750</xdr:colOff>
      <xdr:row>3</xdr:row>
      <xdr:rowOff>182563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7A2CE9-19E4-ED07-B356-F5B3F1C5510C}"/>
            </a:ext>
          </a:extLst>
        </xdr:cNvPr>
        <xdr:cNvSpPr txBox="1"/>
      </xdr:nvSpPr>
      <xdr:spPr>
        <a:xfrm>
          <a:off x="6715125" y="166688"/>
          <a:ext cx="2190750" cy="650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El TIR o tasa interna de retorno es aquella tasa que hace que el VAN sea 0</a:t>
          </a:r>
        </a:p>
      </xdr:txBody>
    </xdr:sp>
    <xdr:clientData/>
  </xdr:twoCellAnchor>
  <xdr:twoCellAnchor>
    <xdr:from>
      <xdr:col>7</xdr:col>
      <xdr:colOff>730250</xdr:colOff>
      <xdr:row>4</xdr:row>
      <xdr:rowOff>79375</xdr:rowOff>
    </xdr:from>
    <xdr:to>
      <xdr:col>10</xdr:col>
      <xdr:colOff>365125</xdr:colOff>
      <xdr:row>6</xdr:row>
      <xdr:rowOff>174625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A4BABC4-DF34-942E-2FC0-FDFBAF7C6F57}"/>
            </a:ext>
          </a:extLst>
        </xdr:cNvPr>
        <xdr:cNvSpPr txBox="1"/>
      </xdr:nvSpPr>
      <xdr:spPr>
        <a:xfrm>
          <a:off x="6746875" y="928688"/>
          <a:ext cx="2111375" cy="515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Buscamos</a:t>
          </a:r>
          <a:r>
            <a:rPr lang="en-US" sz="1100" baseline="0"/>
            <a:t> TIR mayor a la tasa de interes de costo de capital</a:t>
          </a:r>
          <a:endParaRPr lang="en-US" sz="1100"/>
        </a:p>
      </xdr:txBody>
    </xdr:sp>
    <xdr:clientData/>
  </xdr:twoCellAnchor>
  <xdr:twoCellAnchor>
    <xdr:from>
      <xdr:col>2</xdr:col>
      <xdr:colOff>198437</xdr:colOff>
      <xdr:row>3</xdr:row>
      <xdr:rowOff>158750</xdr:rowOff>
    </xdr:from>
    <xdr:to>
      <xdr:col>4</xdr:col>
      <xdr:colOff>658812</xdr:colOff>
      <xdr:row>5</xdr:row>
      <xdr:rowOff>158750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B8938CA-8C1A-D2DF-1CD2-7C9076B977B6}"/>
            </a:ext>
          </a:extLst>
        </xdr:cNvPr>
        <xdr:cNvSpPr txBox="1"/>
      </xdr:nvSpPr>
      <xdr:spPr>
        <a:xfrm>
          <a:off x="2087562" y="793750"/>
          <a:ext cx="211137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La formula en excel se llama TIR en espanol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234950</xdr:colOff>
      <xdr:row>0</xdr:row>
      <xdr:rowOff>101600</xdr:rowOff>
    </xdr:from>
    <xdr:to>
      <xdr:col>5</xdr:col>
      <xdr:colOff>871842</xdr:colOff>
      <xdr:row>12</xdr:row>
      <xdr:rowOff>149225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534278-7D9E-5C4C-AA1F-71E52694A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950" y="101600"/>
          <a:ext cx="7177392" cy="248602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21</xdr:row>
      <xdr:rowOff>165101</xdr:rowOff>
    </xdr:from>
    <xdr:to>
      <xdr:col>5</xdr:col>
      <xdr:colOff>292100</xdr:colOff>
      <xdr:row>22</xdr:row>
      <xdr:rowOff>70367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5AFD76-24A3-604B-A9FE-AA0AD2E1F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1" y="4178301"/>
          <a:ext cx="6603999" cy="311666"/>
        </a:xfrm>
        <a:prstGeom prst="rect">
          <a:avLst/>
        </a:prstGeom>
      </xdr:spPr>
    </xdr:pic>
    <xdr:clientData/>
  </xdr:twoCellAnchor>
  <xdr:twoCellAnchor editAs="oneCell">
    <xdr:from>
      <xdr:col>0</xdr:col>
      <xdr:colOff>349250</xdr:colOff>
      <xdr:row>24</xdr:row>
      <xdr:rowOff>38100</xdr:rowOff>
    </xdr:from>
    <xdr:to>
      <xdr:col>3</xdr:col>
      <xdr:colOff>1346199</xdr:colOff>
      <xdr:row>27</xdr:row>
      <xdr:rowOff>184149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8020261-B0E4-C440-8247-F2937E797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9250" y="4622800"/>
          <a:ext cx="4756149" cy="7556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</xdr:rowOff>
    </xdr:from>
    <xdr:to>
      <xdr:col>5</xdr:col>
      <xdr:colOff>190500</xdr:colOff>
      <xdr:row>34</xdr:row>
      <xdr:rowOff>108861</xdr:rowOff>
    </xdr:to>
    <xdr:pic>
      <xdr:nvPicPr>
        <xdr:cNvPr id="5" name="Imagen 5">
          <a:extLst>
            <a:ext uri="{FF2B5EF4-FFF2-40B4-BE49-F238E27FC236}">
              <a16:creationId xmlns:a16="http://schemas.microsoft.com/office/drawing/2014/main" id="{D707DB7A-4A81-BB4B-AC4E-64DDBBC7D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299201"/>
          <a:ext cx="6616700" cy="31206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35</xdr:row>
      <xdr:rowOff>165101</xdr:rowOff>
    </xdr:from>
    <xdr:to>
      <xdr:col>5</xdr:col>
      <xdr:colOff>608741</xdr:colOff>
      <xdr:row>37</xdr:row>
      <xdr:rowOff>12702</xdr:rowOff>
    </xdr:to>
    <xdr:pic>
      <xdr:nvPicPr>
        <xdr:cNvPr id="6" name="Imagen 6">
          <a:extLst>
            <a:ext uri="{FF2B5EF4-FFF2-40B4-BE49-F238E27FC236}">
              <a16:creationId xmlns:a16="http://schemas.microsoft.com/office/drawing/2014/main" id="{61A56647-B896-6E46-8DBC-4F04CAEB3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9050" y="6845301"/>
          <a:ext cx="5491891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63501</xdr:rowOff>
    </xdr:from>
    <xdr:to>
      <xdr:col>4</xdr:col>
      <xdr:colOff>511608</xdr:colOff>
      <xdr:row>50</xdr:row>
      <xdr:rowOff>165100</xdr:rowOff>
    </xdr:to>
    <xdr:pic>
      <xdr:nvPicPr>
        <xdr:cNvPr id="7" name="Imagen 7">
          <a:extLst>
            <a:ext uri="{FF2B5EF4-FFF2-40B4-BE49-F238E27FC236}">
              <a16:creationId xmlns:a16="http://schemas.microsoft.com/office/drawing/2014/main" id="{607D10AE-BAD5-A747-B25F-D5C5E7D8E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6700" y="9029701"/>
          <a:ext cx="5464608" cy="7111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63501</xdr:rowOff>
    </xdr:from>
    <xdr:to>
      <xdr:col>3</xdr:col>
      <xdr:colOff>495300</xdr:colOff>
      <xdr:row>63</xdr:row>
      <xdr:rowOff>173490</xdr:rowOff>
    </xdr:to>
    <xdr:pic>
      <xdr:nvPicPr>
        <xdr:cNvPr id="8" name="Imagen 8">
          <a:extLst>
            <a:ext uri="{FF2B5EF4-FFF2-40B4-BE49-F238E27FC236}">
              <a16:creationId xmlns:a16="http://schemas.microsoft.com/office/drawing/2014/main" id="{14DF831E-EE8E-F44A-BCFB-B08B21307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887201"/>
          <a:ext cx="4076700" cy="313189"/>
        </a:xfrm>
        <a:prstGeom prst="rect">
          <a:avLst/>
        </a:prstGeom>
      </xdr:spPr>
    </xdr:pic>
    <xdr:clientData/>
  </xdr:twoCellAnchor>
  <xdr:twoCellAnchor editAs="oneCell">
    <xdr:from>
      <xdr:col>4</xdr:col>
      <xdr:colOff>433616</xdr:colOff>
      <xdr:row>66</xdr:row>
      <xdr:rowOff>133350</xdr:rowOff>
    </xdr:from>
    <xdr:to>
      <xdr:col>7</xdr:col>
      <xdr:colOff>63500</xdr:colOff>
      <xdr:row>70</xdr:row>
      <xdr:rowOff>148007</xdr:rowOff>
    </xdr:to>
    <xdr:pic>
      <xdr:nvPicPr>
        <xdr:cNvPr id="9" name="Imagen 9">
          <a:extLst>
            <a:ext uri="{FF2B5EF4-FFF2-40B4-BE49-F238E27FC236}">
              <a16:creationId xmlns:a16="http://schemas.microsoft.com/office/drawing/2014/main" id="{9C03D0D6-DFE5-634B-B447-BF5AE7407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24187" y="13513707"/>
          <a:ext cx="3140527" cy="812943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76</xdr:row>
      <xdr:rowOff>38100</xdr:rowOff>
    </xdr:from>
    <xdr:to>
      <xdr:col>4</xdr:col>
      <xdr:colOff>406400</xdr:colOff>
      <xdr:row>77</xdr:row>
      <xdr:rowOff>186887</xdr:rowOff>
    </xdr:to>
    <xdr:pic>
      <xdr:nvPicPr>
        <xdr:cNvPr id="10" name="Imagen 10">
          <a:extLst>
            <a:ext uri="{FF2B5EF4-FFF2-40B4-BE49-F238E27FC236}">
              <a16:creationId xmlns:a16="http://schemas.microsoft.com/office/drawing/2014/main" id="{A2E4F7E7-5D64-EB48-AB3F-6EB215AE8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9700" y="14541500"/>
          <a:ext cx="5410200" cy="351987"/>
        </a:xfrm>
        <a:prstGeom prst="rect">
          <a:avLst/>
        </a:prstGeom>
      </xdr:spPr>
    </xdr:pic>
    <xdr:clientData/>
  </xdr:twoCellAnchor>
  <xdr:twoCellAnchor editAs="oneCell">
    <xdr:from>
      <xdr:col>0</xdr:col>
      <xdr:colOff>1037361</xdr:colOff>
      <xdr:row>98</xdr:row>
      <xdr:rowOff>137970</xdr:rowOff>
    </xdr:from>
    <xdr:to>
      <xdr:col>3</xdr:col>
      <xdr:colOff>1203616</xdr:colOff>
      <xdr:row>100</xdr:row>
      <xdr:rowOff>69195</xdr:rowOff>
    </xdr:to>
    <xdr:pic>
      <xdr:nvPicPr>
        <xdr:cNvPr id="11" name="Imagen 11">
          <a:extLst>
            <a:ext uri="{FF2B5EF4-FFF2-40B4-BE49-F238E27FC236}">
              <a16:creationId xmlns:a16="http://schemas.microsoft.com/office/drawing/2014/main" id="{072CFE68-C1BB-4649-BEA9-E38F9A2E6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37361" y="18845070"/>
          <a:ext cx="3671455" cy="337624"/>
        </a:xfrm>
        <a:prstGeom prst="rect">
          <a:avLst/>
        </a:prstGeom>
      </xdr:spPr>
    </xdr:pic>
    <xdr:clientData/>
  </xdr:twoCellAnchor>
  <xdr:twoCellAnchor editAs="oneCell">
    <xdr:from>
      <xdr:col>0</xdr:col>
      <xdr:colOff>69272</xdr:colOff>
      <xdr:row>104</xdr:row>
      <xdr:rowOff>51956</xdr:rowOff>
    </xdr:from>
    <xdr:to>
      <xdr:col>3</xdr:col>
      <xdr:colOff>516658</xdr:colOff>
      <xdr:row>105</xdr:row>
      <xdr:rowOff>185674</xdr:rowOff>
    </xdr:to>
    <xdr:pic>
      <xdr:nvPicPr>
        <xdr:cNvPr id="12" name="Imagen 12">
          <a:extLst>
            <a:ext uri="{FF2B5EF4-FFF2-40B4-BE49-F238E27FC236}">
              <a16:creationId xmlns:a16="http://schemas.microsoft.com/office/drawing/2014/main" id="{5B2749C2-EB2C-CE49-B8CC-4E46CA5A8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272" y="19902056"/>
          <a:ext cx="4079586" cy="336918"/>
        </a:xfrm>
        <a:prstGeom prst="rect">
          <a:avLst/>
        </a:prstGeom>
      </xdr:spPr>
    </xdr:pic>
    <xdr:clientData/>
  </xdr:twoCellAnchor>
  <xdr:twoCellAnchor editAs="oneCell">
    <xdr:from>
      <xdr:col>5</xdr:col>
      <xdr:colOff>88322</xdr:colOff>
      <xdr:row>108</xdr:row>
      <xdr:rowOff>21357</xdr:rowOff>
    </xdr:from>
    <xdr:to>
      <xdr:col>9</xdr:col>
      <xdr:colOff>306410</xdr:colOff>
      <xdr:row>111</xdr:row>
      <xdr:rowOff>83704</xdr:rowOff>
    </xdr:to>
    <xdr:pic>
      <xdr:nvPicPr>
        <xdr:cNvPr id="13" name="Imagen 13">
          <a:extLst>
            <a:ext uri="{FF2B5EF4-FFF2-40B4-BE49-F238E27FC236}">
              <a16:creationId xmlns:a16="http://schemas.microsoft.com/office/drawing/2014/main" id="{33376D68-1769-F449-B371-708955FF2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8522" y="20646157"/>
          <a:ext cx="4739288" cy="710047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118</xdr:row>
      <xdr:rowOff>0</xdr:rowOff>
    </xdr:from>
    <xdr:to>
      <xdr:col>4</xdr:col>
      <xdr:colOff>506845</xdr:colOff>
      <xdr:row>119</xdr:row>
      <xdr:rowOff>144793</xdr:rowOff>
    </xdr:to>
    <xdr:pic>
      <xdr:nvPicPr>
        <xdr:cNvPr id="14" name="Imagen 14">
          <a:extLst>
            <a:ext uri="{FF2B5EF4-FFF2-40B4-BE49-F238E27FC236}">
              <a16:creationId xmlns:a16="http://schemas.microsoft.com/office/drawing/2014/main" id="{9E71BE7C-B645-414F-A022-11C10C75E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5250" y="22529800"/>
          <a:ext cx="5643995" cy="347993"/>
        </a:xfrm>
        <a:prstGeom prst="rect">
          <a:avLst/>
        </a:prstGeom>
      </xdr:spPr>
    </xdr:pic>
    <xdr:clientData/>
  </xdr:twoCellAnchor>
  <xdr:twoCellAnchor>
    <xdr:from>
      <xdr:col>0</xdr:col>
      <xdr:colOff>259773</xdr:colOff>
      <xdr:row>120</xdr:row>
      <xdr:rowOff>138545</xdr:rowOff>
    </xdr:from>
    <xdr:to>
      <xdr:col>5</xdr:col>
      <xdr:colOff>1065068</xdr:colOff>
      <xdr:row>127</xdr:row>
      <xdr:rowOff>60615</xdr:rowOff>
    </xdr:to>
    <xdr:sp macro="" textlink="">
      <xdr:nvSpPr>
        <xdr:cNvPr id="15" name="CuadroTexto 15">
          <a:extLst>
            <a:ext uri="{FF2B5EF4-FFF2-40B4-BE49-F238E27FC236}">
              <a16:creationId xmlns:a16="http://schemas.microsoft.com/office/drawing/2014/main" id="{52135BE6-D9BD-DE49-BE3C-AC9D83481D84}"/>
            </a:ext>
          </a:extLst>
        </xdr:cNvPr>
        <xdr:cNvSpPr txBox="1"/>
      </xdr:nvSpPr>
      <xdr:spPr>
        <a:xfrm>
          <a:off x="259773" y="23049345"/>
          <a:ext cx="6215495" cy="1255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400"/>
            <a:t>Dado que los proyectos son mutuamente excluyentes (ya que el presupuesto solo alcanza para desarrollar uno de ellos), entonces se selecciona aquel con mayor VAN y que sea positivo, seleccionando así el Proyecto B con VAN=$2.036</a:t>
          </a:r>
        </a:p>
      </xdr:txBody>
    </xdr:sp>
    <xdr:clientData/>
  </xdr:twoCellAnchor>
  <xdr:twoCellAnchor editAs="oneCell">
    <xdr:from>
      <xdr:col>13</xdr:col>
      <xdr:colOff>680019</xdr:colOff>
      <xdr:row>1</xdr:row>
      <xdr:rowOff>116341</xdr:rowOff>
    </xdr:from>
    <xdr:to>
      <xdr:col>25</xdr:col>
      <xdr:colOff>311353</xdr:colOff>
      <xdr:row>17</xdr:row>
      <xdr:rowOff>189366</xdr:rowOff>
    </xdr:to>
    <xdr:pic>
      <xdr:nvPicPr>
        <xdr:cNvPr id="16" name="Imagen 1">
          <a:extLst>
            <a:ext uri="{FF2B5EF4-FFF2-40B4-BE49-F238E27FC236}">
              <a16:creationId xmlns:a16="http://schemas.microsoft.com/office/drawing/2014/main" id="{81F952A9-0E6B-F145-93E8-A5ED25B8A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0019" y="319541"/>
          <a:ext cx="8013334" cy="3324225"/>
        </a:xfrm>
        <a:prstGeom prst="rect">
          <a:avLst/>
        </a:prstGeom>
      </xdr:spPr>
    </xdr:pic>
    <xdr:clientData/>
  </xdr:twoCellAnchor>
  <xdr:twoCellAnchor>
    <xdr:from>
      <xdr:col>19</xdr:col>
      <xdr:colOff>502804</xdr:colOff>
      <xdr:row>73</xdr:row>
      <xdr:rowOff>139987</xdr:rowOff>
    </xdr:from>
    <xdr:to>
      <xdr:col>25</xdr:col>
      <xdr:colOff>163078</xdr:colOff>
      <xdr:row>78</xdr:row>
      <xdr:rowOff>68551</xdr:rowOff>
    </xdr:to>
    <xdr:sp macro="" textlink="">
      <xdr:nvSpPr>
        <xdr:cNvPr id="17" name="CuadroTexto 3">
          <a:extLst>
            <a:ext uri="{FF2B5EF4-FFF2-40B4-BE49-F238E27FC236}">
              <a16:creationId xmlns:a16="http://schemas.microsoft.com/office/drawing/2014/main" id="{B50EF692-8636-7344-91FA-1C7954105D05}"/>
            </a:ext>
          </a:extLst>
        </xdr:cNvPr>
        <xdr:cNvSpPr txBox="1"/>
      </xdr:nvSpPr>
      <xdr:spPr>
        <a:xfrm>
          <a:off x="16695304" y="15206805"/>
          <a:ext cx="3816638" cy="9387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/>
            <a:t>Por método de la cadena de sustitución, se recomienda realizar el proyecto B por sobre el A al poseer un VAN mayor de UF 387,18.</a:t>
          </a:r>
          <a:endParaRPr lang="es-CL" sz="1100"/>
        </a:p>
      </xdr:txBody>
    </xdr:sp>
    <xdr:clientData/>
  </xdr:twoCellAnchor>
  <xdr:twoCellAnchor editAs="oneCell">
    <xdr:from>
      <xdr:col>14</xdr:col>
      <xdr:colOff>31750</xdr:colOff>
      <xdr:row>85</xdr:row>
      <xdr:rowOff>71438</xdr:rowOff>
    </xdr:from>
    <xdr:to>
      <xdr:col>20</xdr:col>
      <xdr:colOff>31750</xdr:colOff>
      <xdr:row>87</xdr:row>
      <xdr:rowOff>4658</xdr:rowOff>
    </xdr:to>
    <xdr:pic>
      <xdr:nvPicPr>
        <xdr:cNvPr id="18" name="Imagen 4">
          <a:extLst>
            <a:ext uri="{FF2B5EF4-FFF2-40B4-BE49-F238E27FC236}">
              <a16:creationId xmlns:a16="http://schemas.microsoft.com/office/drawing/2014/main" id="{53D98905-4385-B345-B20A-1A0650B7B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7250" y="17343438"/>
          <a:ext cx="4191000" cy="339620"/>
        </a:xfrm>
        <a:prstGeom prst="rect">
          <a:avLst/>
        </a:prstGeom>
      </xdr:spPr>
    </xdr:pic>
    <xdr:clientData/>
  </xdr:twoCellAnchor>
  <xdr:twoCellAnchor editAs="oneCell">
    <xdr:from>
      <xdr:col>14</xdr:col>
      <xdr:colOff>39688</xdr:colOff>
      <xdr:row>102</xdr:row>
      <xdr:rowOff>23813</xdr:rowOff>
    </xdr:from>
    <xdr:to>
      <xdr:col>19</xdr:col>
      <xdr:colOff>206375</xdr:colOff>
      <xdr:row>105</xdr:row>
      <xdr:rowOff>67734</xdr:rowOff>
    </xdr:to>
    <xdr:pic>
      <xdr:nvPicPr>
        <xdr:cNvPr id="19" name="Imagen 5">
          <a:extLst>
            <a:ext uri="{FF2B5EF4-FFF2-40B4-BE49-F238E27FC236}">
              <a16:creationId xmlns:a16="http://schemas.microsoft.com/office/drawing/2014/main" id="{10DC2E26-802E-2842-A516-4E052FAC5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5188" y="20750213"/>
          <a:ext cx="3659187" cy="653521"/>
        </a:xfrm>
        <a:prstGeom prst="rect">
          <a:avLst/>
        </a:prstGeom>
      </xdr:spPr>
    </xdr:pic>
    <xdr:clientData/>
  </xdr:twoCellAnchor>
  <xdr:twoCellAnchor>
    <xdr:from>
      <xdr:col>13</xdr:col>
      <xdr:colOff>746125</xdr:colOff>
      <xdr:row>110</xdr:row>
      <xdr:rowOff>182563</xdr:rowOff>
    </xdr:from>
    <xdr:to>
      <xdr:col>19</xdr:col>
      <xdr:colOff>476250</xdr:colOff>
      <xdr:row>115</xdr:row>
      <xdr:rowOff>7938</xdr:rowOff>
    </xdr:to>
    <xdr:sp macro="" textlink="">
      <xdr:nvSpPr>
        <xdr:cNvPr id="20" name="CuadroTexto 6">
          <a:extLst>
            <a:ext uri="{FF2B5EF4-FFF2-40B4-BE49-F238E27FC236}">
              <a16:creationId xmlns:a16="http://schemas.microsoft.com/office/drawing/2014/main" id="{9061CDFC-FD64-DC4D-B700-D98EF5294BAF}"/>
            </a:ext>
          </a:extLst>
        </xdr:cNvPr>
        <xdr:cNvSpPr txBox="1"/>
      </xdr:nvSpPr>
      <xdr:spPr>
        <a:xfrm>
          <a:off x="746125" y="22534563"/>
          <a:ext cx="4683125" cy="841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/>
            <a:t>Por método del valor anual equivalente, se prefiere realizar el proyecto B al poseer una anualización con un VAE de UF 51,38, el cuál es mayor al del proyecto A</a:t>
          </a:r>
          <a:endParaRPr lang="es-CL" sz="1100"/>
        </a:p>
      </xdr:txBody>
    </xdr:sp>
    <xdr:clientData/>
  </xdr:twoCellAnchor>
  <xdr:twoCellAnchor>
    <xdr:from>
      <xdr:col>19</xdr:col>
      <xdr:colOff>500518</xdr:colOff>
      <xdr:row>102</xdr:row>
      <xdr:rowOff>44225</xdr:rowOff>
    </xdr:from>
    <xdr:to>
      <xdr:col>25</xdr:col>
      <xdr:colOff>498930</xdr:colOff>
      <xdr:row>107</xdr:row>
      <xdr:rowOff>41299</xdr:rowOff>
    </xdr:to>
    <xdr:sp macro="" textlink="">
      <xdr:nvSpPr>
        <xdr:cNvPr id="21" name="CuadroTexto 7">
          <a:extLst>
            <a:ext uri="{FF2B5EF4-FFF2-40B4-BE49-F238E27FC236}">
              <a16:creationId xmlns:a16="http://schemas.microsoft.com/office/drawing/2014/main" id="{2AE71987-2878-6B45-9902-43DDDA3DED97}"/>
            </a:ext>
          </a:extLst>
        </xdr:cNvPr>
        <xdr:cNvSpPr txBox="1"/>
      </xdr:nvSpPr>
      <xdr:spPr>
        <a:xfrm>
          <a:off x="16783732" y="20872225"/>
          <a:ext cx="4189412" cy="9949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 b="1"/>
            <a:t>¿Que</a:t>
          </a:r>
          <a:r>
            <a:rPr lang="es-CL" sz="1100" b="1" baseline="0"/>
            <a:t> pasaría si fuera un proyecto de solo costos?</a:t>
          </a:r>
        </a:p>
        <a:p>
          <a:r>
            <a:rPr lang="es-CL" sz="1100" baseline="0"/>
            <a:t>- Utilizamos el CAE (Costo Anual Equivalente)</a:t>
          </a:r>
        </a:p>
        <a:p>
          <a:endParaRPr lang="es-CL" sz="1100" baseline="0"/>
        </a:p>
        <a:p>
          <a:r>
            <a:rPr lang="es-CL" sz="1100" baseline="0"/>
            <a:t>Mismo procedimiento y se elige el proyecto con menor CAE</a:t>
          </a:r>
          <a:endParaRPr lang="es-CL" sz="1100"/>
        </a:p>
      </xdr:txBody>
    </xdr:sp>
    <xdr:clientData/>
  </xdr:twoCellAnchor>
  <xdr:twoCellAnchor>
    <xdr:from>
      <xdr:col>6</xdr:col>
      <xdr:colOff>181428</xdr:colOff>
      <xdr:row>40</xdr:row>
      <xdr:rowOff>163286</xdr:rowOff>
    </xdr:from>
    <xdr:to>
      <xdr:col>10</xdr:col>
      <xdr:colOff>81643</xdr:colOff>
      <xdr:row>43</xdr:row>
      <xdr:rowOff>54429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997D2D-BC9D-EF5C-B586-4756045CB8E7}"/>
            </a:ext>
          </a:extLst>
        </xdr:cNvPr>
        <xdr:cNvSpPr txBox="1"/>
      </xdr:nvSpPr>
      <xdr:spPr>
        <a:xfrm>
          <a:off x="7384142" y="8354786"/>
          <a:ext cx="2694215" cy="489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Nos interesa encontrar el año</a:t>
          </a:r>
          <a:r>
            <a:rPr lang="en-US" sz="1100" baseline="0"/>
            <a:t> donde el saldo a recuperar se vuelve mayor o igual que cero</a:t>
          </a:r>
          <a:endParaRPr lang="en-US" sz="1100"/>
        </a:p>
      </xdr:txBody>
    </xdr:sp>
    <xdr:clientData/>
  </xdr:twoCellAnchor>
  <xdr:twoCellAnchor>
    <xdr:from>
      <xdr:col>7</xdr:col>
      <xdr:colOff>199572</xdr:colOff>
      <xdr:row>66</xdr:row>
      <xdr:rowOff>90714</xdr:rowOff>
    </xdr:from>
    <xdr:to>
      <xdr:col>9</xdr:col>
      <xdr:colOff>616857</xdr:colOff>
      <xdr:row>69</xdr:row>
      <xdr:rowOff>190500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762CCDD-50C0-76CD-97F5-BB28354EBFBA}"/>
            </a:ext>
          </a:extLst>
        </xdr:cNvPr>
        <xdr:cNvSpPr txBox="1"/>
      </xdr:nvSpPr>
      <xdr:spPr>
        <a:xfrm>
          <a:off x="8100786" y="13471071"/>
          <a:ext cx="1814285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Cual es la tasa de rentabilidad interna del proyecto????</a:t>
          </a:r>
        </a:p>
      </xdr:txBody>
    </xdr:sp>
    <xdr:clientData/>
  </xdr:twoCellAnchor>
  <xdr:twoCellAnchor>
    <xdr:from>
      <xdr:col>4</xdr:col>
      <xdr:colOff>108857</xdr:colOff>
      <xdr:row>72</xdr:row>
      <xdr:rowOff>136071</xdr:rowOff>
    </xdr:from>
    <xdr:to>
      <xdr:col>7</xdr:col>
      <xdr:colOff>480785</xdr:colOff>
      <xdr:row>74</xdr:row>
      <xdr:rowOff>54428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69C9D80-35C8-08A5-885B-90AD2CE75ADE}"/>
            </a:ext>
          </a:extLst>
        </xdr:cNvPr>
        <xdr:cNvSpPr txBox="1"/>
      </xdr:nvSpPr>
      <xdr:spPr>
        <a:xfrm>
          <a:off x="4499428" y="14713857"/>
          <a:ext cx="3882571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dos decimales es importante.. gana el</a:t>
          </a:r>
          <a:r>
            <a:rPr lang="en-US" sz="1100" baseline="0"/>
            <a:t> mayor TIR</a:t>
          </a:r>
          <a:endParaRPr lang="en-US" sz="1100"/>
        </a:p>
      </xdr:txBody>
    </xdr:sp>
    <xdr:clientData/>
  </xdr:twoCellAnchor>
  <xdr:twoCellAnchor>
    <xdr:from>
      <xdr:col>3</xdr:col>
      <xdr:colOff>279399</xdr:colOff>
      <xdr:row>90</xdr:row>
      <xdr:rowOff>188685</xdr:rowOff>
    </xdr:from>
    <xdr:to>
      <xdr:col>5</xdr:col>
      <xdr:colOff>1748970</xdr:colOff>
      <xdr:row>92</xdr:row>
      <xdr:rowOff>81642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CB0F194-2FA4-3349-B37C-51ECAF75EA27}"/>
            </a:ext>
          </a:extLst>
        </xdr:cNvPr>
        <xdr:cNvSpPr txBox="1"/>
      </xdr:nvSpPr>
      <xdr:spPr>
        <a:xfrm>
          <a:off x="3282042" y="18358756"/>
          <a:ext cx="3882571" cy="5007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 se considera el periodo 0 para la reinversion ya que queremos reinventir los ingresos del</a:t>
          </a:r>
          <a:r>
            <a:rPr lang="en-US" sz="1100" baseline="0"/>
            <a:t> proyecto</a:t>
          </a:r>
          <a:endParaRPr lang="en-US" sz="1100"/>
        </a:p>
      </xdr:txBody>
    </xdr:sp>
    <xdr:clientData/>
  </xdr:twoCellAnchor>
  <xdr:twoCellAnchor>
    <xdr:from>
      <xdr:col>19</xdr:col>
      <xdr:colOff>199572</xdr:colOff>
      <xdr:row>20</xdr:row>
      <xdr:rowOff>81642</xdr:rowOff>
    </xdr:from>
    <xdr:to>
      <xdr:col>24</xdr:col>
      <xdr:colOff>517072</xdr:colOff>
      <xdr:row>25</xdr:row>
      <xdr:rowOff>45357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DE4A140-AFE8-E6BC-8A08-DE604BFBA4B2}"/>
            </a:ext>
          </a:extLst>
        </xdr:cNvPr>
        <xdr:cNvSpPr txBox="1"/>
      </xdr:nvSpPr>
      <xdr:spPr>
        <a:xfrm>
          <a:off x="16482786" y="4073071"/>
          <a:ext cx="3810000" cy="11702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esto ocurre cuando queremos comparar dos proyectos que tienen horizontes de evaluacion distintos, se encuentra el minimo comun multiplo entre ambos horizontes y replicar los flujos hasta el minimo comun multiplo...</a:t>
          </a:r>
        </a:p>
      </xdr:txBody>
    </xdr:sp>
    <xdr:clientData/>
  </xdr:twoCellAnchor>
  <xdr:twoCellAnchor>
    <xdr:from>
      <xdr:col>20</xdr:col>
      <xdr:colOff>254000</xdr:colOff>
      <xdr:row>92</xdr:row>
      <xdr:rowOff>145143</xdr:rowOff>
    </xdr:from>
    <xdr:to>
      <xdr:col>23</xdr:col>
      <xdr:colOff>435428</xdr:colOff>
      <xdr:row>99</xdr:row>
      <xdr:rowOff>36286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0F8E947-5A39-96EC-FCFD-EFFEF9837C62}"/>
            </a:ext>
          </a:extLst>
        </xdr:cNvPr>
        <xdr:cNvSpPr txBox="1"/>
      </xdr:nvSpPr>
      <xdr:spPr>
        <a:xfrm>
          <a:off x="17235714" y="18977429"/>
          <a:ext cx="2276928" cy="1288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</a:t>
          </a:r>
          <a:r>
            <a:rPr lang="en-US" sz="1100" baseline="0"/>
            <a:t>l VAE es una forma de transformar cuotas en una sola cuota anual que seria equivalente.</a:t>
          </a:r>
        </a:p>
        <a:p>
          <a:endParaRPr lang="en-US" sz="1100" baseline="0"/>
        </a:p>
        <a:p>
          <a:r>
            <a:rPr lang="en-US" sz="1100" baseline="0"/>
            <a:t>En este paso no requerimos igualar los horizontes.. es mas directo</a:t>
          </a:r>
        </a:p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116514</xdr:colOff>
      <xdr:row>1</xdr:row>
      <xdr:rowOff>58257</xdr:rowOff>
    </xdr:from>
    <xdr:to>
      <xdr:col>5</xdr:col>
      <xdr:colOff>93211</xdr:colOff>
      <xdr:row>6</xdr:row>
      <xdr:rowOff>116514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957D1CA-89F9-2BEB-9062-7964978CC69B}"/>
            </a:ext>
          </a:extLst>
        </xdr:cNvPr>
        <xdr:cNvSpPr txBox="1"/>
      </xdr:nvSpPr>
      <xdr:spPr>
        <a:xfrm>
          <a:off x="10870734" y="1642844"/>
          <a:ext cx="3285688" cy="1048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Para buscar la probabilidad de que el Van sea mayor que 'x1' dado su valor esperado y su desviacion estandar sigma... se calcula z luego se busca Z en la tabla normal y finalmente se lee la probabilidad de la tabla...</a:t>
          </a:r>
        </a:p>
      </xdr:txBody>
    </xdr:sp>
    <xdr:clientData/>
  </xdr:twoCellAnchor>
  <xdr:twoCellAnchor>
    <xdr:from>
      <xdr:col>3</xdr:col>
      <xdr:colOff>291284</xdr:colOff>
      <xdr:row>14</xdr:row>
      <xdr:rowOff>46605</xdr:rowOff>
    </xdr:from>
    <xdr:to>
      <xdr:col>6</xdr:col>
      <xdr:colOff>734037</xdr:colOff>
      <xdr:row>17</xdr:row>
      <xdr:rowOff>128166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7B8CACE-C47F-1E80-E195-D682EB536E83}"/>
            </a:ext>
          </a:extLst>
        </xdr:cNvPr>
        <xdr:cNvSpPr txBox="1"/>
      </xdr:nvSpPr>
      <xdr:spPr>
        <a:xfrm>
          <a:off x="12863119" y="4252752"/>
          <a:ext cx="2924496" cy="722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Entonces existe una probabilidad de 'Proba mayor'</a:t>
          </a:r>
          <a:r>
            <a:rPr lang="en-US" sz="1100" baseline="0"/>
            <a:t> e que el VAN supere el valor de x1...</a:t>
          </a:r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558800</xdr:colOff>
      <xdr:row>5</xdr:row>
      <xdr:rowOff>203200</xdr:rowOff>
    </xdr:from>
    <xdr:to>
      <xdr:col>15</xdr:col>
      <xdr:colOff>381000</xdr:colOff>
      <xdr:row>8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C616050-8EAC-718F-FA52-FCF65636E24D}"/>
            </a:ext>
          </a:extLst>
        </xdr:cNvPr>
        <xdr:cNvSpPr txBox="1"/>
      </xdr:nvSpPr>
      <xdr:spPr>
        <a:xfrm>
          <a:off x="10160000" y="1257300"/>
          <a:ext cx="31242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El tir en este ejercicio es la tasa de equilibrio donde el Van del proyecto A es igual al VAN del proyecto B</a:t>
          </a:r>
        </a:p>
      </xdr:txBody>
    </xdr:sp>
    <xdr:clientData/>
  </xdr:twoCellAnchor>
  <xdr:twoCellAnchor>
    <xdr:from>
      <xdr:col>0</xdr:col>
      <xdr:colOff>647700</xdr:colOff>
      <xdr:row>14</xdr:row>
      <xdr:rowOff>101600</xdr:rowOff>
    </xdr:from>
    <xdr:to>
      <xdr:col>3</xdr:col>
      <xdr:colOff>889000</xdr:colOff>
      <xdr:row>19</xdr:row>
      <xdr:rowOff>165100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ED18BD4-50AC-12D0-377D-457F68EB8F22}"/>
            </a:ext>
          </a:extLst>
        </xdr:cNvPr>
        <xdr:cNvSpPr txBox="1"/>
      </xdr:nvSpPr>
      <xdr:spPr>
        <a:xfrm>
          <a:off x="647700" y="3060700"/>
          <a:ext cx="295910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Cual prefiere? en este caso los</a:t>
          </a:r>
          <a:r>
            <a:rPr lang="en-US" sz="1100" baseline="0"/>
            <a:t> resultados son contradictorios, por ende se escoge el  que tenga mayor VAN  ya que este es mas robusto y confiable por ende Proyecto A es mejor, un TIR mas alto no siempre es mas ganancia</a:t>
          </a:r>
          <a:endParaRPr lang="en-US" sz="1100"/>
        </a:p>
      </xdr:txBody>
    </xdr:sp>
    <xdr:clientData/>
  </xdr:twoCellAnchor>
  <xdr:twoCellAnchor>
    <xdr:from>
      <xdr:col>11</xdr:col>
      <xdr:colOff>533400</xdr:colOff>
      <xdr:row>1</xdr:row>
      <xdr:rowOff>76200</xdr:rowOff>
    </xdr:from>
    <xdr:to>
      <xdr:col>14</xdr:col>
      <xdr:colOff>622300</xdr:colOff>
      <xdr:row>5</xdr:row>
      <xdr:rowOff>127000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8CB4460-D013-10D5-8289-6486593BEEB5}"/>
            </a:ext>
          </a:extLst>
        </xdr:cNvPr>
        <xdr:cNvSpPr txBox="1"/>
      </xdr:nvSpPr>
      <xdr:spPr>
        <a:xfrm>
          <a:off x="10134600" y="292100"/>
          <a:ext cx="2565400" cy="88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 calculan</a:t>
          </a:r>
          <a:r>
            <a:rPr lang="en-US" sz="1100" baseline="0"/>
            <a:t> los flujos marginales y sobre estos flujos se calcula la tasa interna de retorno, a esta tasa los VAN de ambos proyectos se igualan</a:t>
          </a:r>
          <a:endParaRPr lang="en-US" sz="1100"/>
        </a:p>
      </xdr:txBody>
    </xdr:sp>
    <xdr:clientData/>
  </xdr:twoCellAnchor>
  <xdr:twoCellAnchor>
    <xdr:from>
      <xdr:col>12</xdr:col>
      <xdr:colOff>222250</xdr:colOff>
      <xdr:row>10</xdr:row>
      <xdr:rowOff>44450</xdr:rowOff>
    </xdr:from>
    <xdr:to>
      <xdr:col>20</xdr:col>
      <xdr:colOff>139700</xdr:colOff>
      <xdr:row>28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73DF8B-8BD3-9BBA-80DE-ED1D8B17A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50800</xdr:colOff>
      <xdr:row>13</xdr:row>
      <xdr:rowOff>38100</xdr:rowOff>
    </xdr:from>
    <xdr:to>
      <xdr:col>8</xdr:col>
      <xdr:colOff>609600</xdr:colOff>
      <xdr:row>24</xdr:row>
      <xdr:rowOff>12700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99714B4-6104-CA44-40FD-8784B08D8008}"/>
            </a:ext>
          </a:extLst>
        </xdr:cNvPr>
        <xdr:cNvSpPr txBox="1"/>
      </xdr:nvSpPr>
      <xdr:spPr>
        <a:xfrm>
          <a:off x="6375400" y="2806700"/>
          <a:ext cx="1485900" cy="222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Entonces, si el TIR se va</a:t>
          </a:r>
          <a:r>
            <a:rPr lang="en-US" sz="1100" baseline="0"/>
            <a:t> a la baja, antes del cruce, el VANA esta por encima del VAN B por ende este proyecto es mas deseable en este caso, por otro lado con la tasa TIR a la alta, el VAN B esta por encima del VAN A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DE8E-4B78-6E43-9E79-9BBF095E8F1C}">
  <dimension ref="A1:N16"/>
  <sheetViews>
    <sheetView topLeftCell="A16" zoomScale="143" workbookViewId="0">
      <selection activeCell="J11" sqref="J11"/>
    </sheetView>
  </sheetViews>
  <sheetFormatPr baseColWidth="10" defaultColWidth="11.5" defaultRowHeight="16" x14ac:dyDescent="0.2"/>
  <cols>
    <col min="1" max="1" width="15.1640625" bestFit="1" customWidth="1"/>
    <col min="2" max="2" width="14" bestFit="1" customWidth="1"/>
    <col min="3" max="3" width="6" customWidth="1"/>
    <col min="4" max="4" width="8.5" style="23" bestFit="1" customWidth="1"/>
    <col min="5" max="5" width="11.83203125" style="24" bestFit="1" customWidth="1"/>
    <col min="6" max="6" width="14" style="24" customWidth="1"/>
    <col min="7" max="7" width="11.83203125" style="24" bestFit="1" customWidth="1"/>
    <col min="8" max="8" width="12" style="24" bestFit="1" customWidth="1"/>
    <col min="9" max="9" width="19.5" style="24" customWidth="1"/>
    <col min="10" max="10" width="7" style="24" customWidth="1"/>
    <col min="11" max="11" width="12.83203125" style="24" bestFit="1" customWidth="1"/>
  </cols>
  <sheetData>
    <row r="1" spans="1:14" s="7" customFormat="1" ht="21" customHeight="1" x14ac:dyDescent="0.2">
      <c r="A1" s="109" t="s">
        <v>0</v>
      </c>
      <c r="B1" s="108"/>
      <c r="C1" s="3"/>
      <c r="D1" s="4" t="s">
        <v>1</v>
      </c>
      <c r="E1" s="111" t="s">
        <v>2</v>
      </c>
      <c r="F1" s="111" t="s">
        <v>3</v>
      </c>
      <c r="G1" s="111" t="s">
        <v>4</v>
      </c>
      <c r="H1" s="111" t="s">
        <v>5</v>
      </c>
      <c r="I1" s="111" t="s">
        <v>6</v>
      </c>
      <c r="J1" s="5" t="s">
        <v>7</v>
      </c>
      <c r="K1" s="5" t="s">
        <v>8</v>
      </c>
      <c r="L1" s="6"/>
      <c r="M1" s="6"/>
      <c r="N1" s="6"/>
    </row>
    <row r="2" spans="1:14" x14ac:dyDescent="0.2">
      <c r="A2" s="8" t="s">
        <v>9</v>
      </c>
      <c r="B2" s="9">
        <v>2689655</v>
      </c>
      <c r="C2" s="10"/>
      <c r="D2" s="11" cm="1">
        <f t="array" ref="D2:D7">_xlfn.SEQUENCE($B$8+1,,0,1)</f>
        <v>0</v>
      </c>
      <c r="E2" s="12">
        <f>$B$11</f>
        <v>527566.95498210529</v>
      </c>
      <c r="F2" s="12">
        <v>0</v>
      </c>
      <c r="G2" s="12">
        <f>E2+F2</f>
        <v>527566.95498210529</v>
      </c>
      <c r="H2" s="12">
        <v>0</v>
      </c>
      <c r="I2" s="12">
        <f>E2+F2-H2</f>
        <v>527566.95498210529</v>
      </c>
      <c r="J2" s="36">
        <f>1/(1+$B$9)^D2</f>
        <v>1</v>
      </c>
      <c r="K2" s="12">
        <f>I2*J2</f>
        <v>527566.95498210529</v>
      </c>
    </row>
    <row r="3" spans="1:14" x14ac:dyDescent="0.2">
      <c r="A3" s="8" t="s">
        <v>10</v>
      </c>
      <c r="B3" s="34">
        <v>0</v>
      </c>
      <c r="C3" s="10"/>
      <c r="D3" s="11">
        <v>1</v>
      </c>
      <c r="E3" s="12">
        <f t="shared" ref="E3:E6" si="0">$B$11</f>
        <v>527566.95498210529</v>
      </c>
      <c r="F3" s="12">
        <f>$B$5</f>
        <v>100000</v>
      </c>
      <c r="G3" s="12">
        <f t="shared" ref="G3:G7" si="1">E3+F3</f>
        <v>627566.95498210529</v>
      </c>
      <c r="H3" s="12">
        <f>$B$7*G2</f>
        <v>131891.73874552632</v>
      </c>
      <c r="I3" s="12">
        <f>E3+F3-H3</f>
        <v>495675.216236579</v>
      </c>
      <c r="J3" s="36">
        <f t="shared" ref="J3:J7" si="2">1/(1+$B$9)^D3</f>
        <v>0.90909090909090906</v>
      </c>
      <c r="K3" s="12">
        <f t="shared" ref="K3:K7" si="3">I3*J3</f>
        <v>450613.83294234454</v>
      </c>
    </row>
    <row r="4" spans="1:14" x14ac:dyDescent="0.2">
      <c r="A4" s="8" t="s">
        <v>11</v>
      </c>
      <c r="B4" s="9">
        <f>0.2*B2</f>
        <v>537931</v>
      </c>
      <c r="C4" s="10"/>
      <c r="D4" s="11">
        <v>2</v>
      </c>
      <c r="E4" s="12">
        <f t="shared" si="0"/>
        <v>527566.95498210529</v>
      </c>
      <c r="F4" s="12">
        <f t="shared" ref="F4:F7" si="4">$B$5</f>
        <v>100000</v>
      </c>
      <c r="G4" s="12">
        <f t="shared" si="1"/>
        <v>627566.95498210529</v>
      </c>
      <c r="H4" s="12">
        <f t="shared" ref="H4:H7" si="5">$B$7*G3</f>
        <v>156891.73874552632</v>
      </c>
      <c r="I4" s="12">
        <f t="shared" ref="I4:I7" si="6">E4+F4-H4</f>
        <v>470675.216236579</v>
      </c>
      <c r="J4" s="36">
        <f t="shared" si="2"/>
        <v>0.82644628099173545</v>
      </c>
      <c r="K4" s="12">
        <f t="shared" si="3"/>
        <v>388987.78201370162</v>
      </c>
    </row>
    <row r="5" spans="1:14" x14ac:dyDescent="0.2">
      <c r="A5" s="8" t="s">
        <v>12</v>
      </c>
      <c r="B5" s="9">
        <v>100000</v>
      </c>
      <c r="C5" s="10"/>
      <c r="D5" s="11">
        <v>3</v>
      </c>
      <c r="E5" s="12">
        <f t="shared" si="0"/>
        <v>527566.95498210529</v>
      </c>
      <c r="F5" s="12">
        <f t="shared" si="4"/>
        <v>100000</v>
      </c>
      <c r="G5" s="12">
        <f t="shared" si="1"/>
        <v>627566.95498210529</v>
      </c>
      <c r="H5" s="12">
        <f t="shared" si="5"/>
        <v>156891.73874552632</v>
      </c>
      <c r="I5" s="12">
        <f t="shared" si="6"/>
        <v>470675.216236579</v>
      </c>
      <c r="J5" s="36">
        <f t="shared" si="2"/>
        <v>0.75131480090157754</v>
      </c>
      <c r="K5" s="12">
        <f t="shared" si="3"/>
        <v>353625.25637609232</v>
      </c>
    </row>
    <row r="6" spans="1:14" x14ac:dyDescent="0.2">
      <c r="A6" s="8" t="s">
        <v>13</v>
      </c>
      <c r="B6" s="14">
        <v>0.06</v>
      </c>
      <c r="C6" s="10"/>
      <c r="D6" s="11">
        <v>4</v>
      </c>
      <c r="E6" s="12">
        <f t="shared" si="0"/>
        <v>527566.95498210529</v>
      </c>
      <c r="F6" s="12">
        <f t="shared" si="4"/>
        <v>100000</v>
      </c>
      <c r="G6" s="12">
        <f t="shared" si="1"/>
        <v>627566.95498210529</v>
      </c>
      <c r="H6" s="12">
        <f t="shared" si="5"/>
        <v>156891.73874552632</v>
      </c>
      <c r="I6" s="12">
        <f t="shared" si="6"/>
        <v>470675.216236579</v>
      </c>
      <c r="J6" s="36">
        <f t="shared" si="2"/>
        <v>0.68301345536507052</v>
      </c>
      <c r="K6" s="12">
        <f t="shared" si="3"/>
        <v>321477.50579644757</v>
      </c>
    </row>
    <row r="7" spans="1:14" x14ac:dyDescent="0.2">
      <c r="A7" s="8" t="s">
        <v>14</v>
      </c>
      <c r="B7" s="14">
        <v>0.25</v>
      </c>
      <c r="C7" s="10"/>
      <c r="D7" s="11">
        <v>5</v>
      </c>
      <c r="E7" s="12">
        <v>0</v>
      </c>
      <c r="F7" s="12">
        <f t="shared" si="4"/>
        <v>100000</v>
      </c>
      <c r="G7" s="12">
        <f t="shared" si="1"/>
        <v>100000</v>
      </c>
      <c r="H7" s="12">
        <f t="shared" si="5"/>
        <v>156891.73874552632</v>
      </c>
      <c r="I7" s="12">
        <f t="shared" si="6"/>
        <v>-56891.738745526323</v>
      </c>
      <c r="J7" s="36">
        <f t="shared" si="2"/>
        <v>0.62092132305915493</v>
      </c>
      <c r="K7" s="12">
        <f t="shared" si="3"/>
        <v>-35325.293693007989</v>
      </c>
    </row>
    <row r="8" spans="1:14" x14ac:dyDescent="0.2">
      <c r="A8" s="8" t="s">
        <v>15</v>
      </c>
      <c r="B8" s="15">
        <v>5</v>
      </c>
      <c r="C8" s="10"/>
      <c r="D8" s="16"/>
      <c r="E8" s="17"/>
      <c r="F8" s="17"/>
      <c r="G8" s="17"/>
      <c r="H8" s="17"/>
      <c r="I8" s="122">
        <f>NPV(B9,I3:I7)+I2</f>
        <v>2006946.038417683</v>
      </c>
      <c r="J8" s="17"/>
      <c r="K8" s="121">
        <f>SUM(K2:K7)</f>
        <v>2006946.0384176837</v>
      </c>
    </row>
    <row r="9" spans="1:14" ht="17" thickBot="1" x14ac:dyDescent="0.25">
      <c r="A9" s="18" t="s">
        <v>16</v>
      </c>
      <c r="B9" s="19">
        <v>0.1</v>
      </c>
      <c r="C9" s="10"/>
      <c r="D9" s="16"/>
      <c r="E9" s="17"/>
      <c r="F9" s="17"/>
      <c r="G9" s="17"/>
      <c r="H9" s="17"/>
      <c r="I9" s="17"/>
      <c r="J9" s="17"/>
      <c r="K9" s="17"/>
    </row>
    <row r="10" spans="1:14" ht="17" thickBot="1" x14ac:dyDescent="0.25">
      <c r="A10" s="10"/>
      <c r="B10" s="10"/>
      <c r="C10" s="10"/>
      <c r="D10" s="16"/>
      <c r="E10" s="17"/>
      <c r="F10" s="17"/>
      <c r="G10" s="17"/>
      <c r="H10" s="17"/>
      <c r="I10" s="17"/>
      <c r="J10" s="17"/>
      <c r="K10" s="17"/>
    </row>
    <row r="11" spans="1:14" ht="17" thickBot="1" x14ac:dyDescent="0.25">
      <c r="A11" s="110" t="s">
        <v>17</v>
      </c>
      <c r="B11" s="21">
        <f>PMT($B$6,$B$8,-($B$2-$B$4/(1+$B$9)^$B$8),,1)</f>
        <v>527566.95498210529</v>
      </c>
      <c r="C11" s="10"/>
      <c r="D11" s="16"/>
      <c r="E11" s="17"/>
      <c r="F11" s="17"/>
      <c r="G11" s="17"/>
      <c r="H11" s="17"/>
      <c r="I11" s="17"/>
      <c r="J11" s="17"/>
      <c r="K11" s="17"/>
    </row>
    <row r="12" spans="1:14" ht="17" thickBot="1" x14ac:dyDescent="0.25">
      <c r="A12" s="10"/>
      <c r="B12" s="10"/>
      <c r="C12" s="10"/>
      <c r="D12" s="16"/>
      <c r="E12" s="17"/>
      <c r="F12" s="17"/>
      <c r="G12" s="17"/>
      <c r="H12" s="17"/>
      <c r="I12" s="17"/>
      <c r="J12" s="17"/>
      <c r="K12" s="17"/>
    </row>
    <row r="13" spans="1:14" ht="17" thickBot="1" x14ac:dyDescent="0.25">
      <c r="A13" s="22" t="s">
        <v>18</v>
      </c>
      <c r="B13" s="21">
        <f>SUM(K2:K7)</f>
        <v>2006946.0384176837</v>
      </c>
      <c r="C13" s="10"/>
      <c r="D13" s="16"/>
      <c r="E13" s="17"/>
      <c r="F13" s="17"/>
      <c r="G13" s="17"/>
      <c r="H13" s="17"/>
      <c r="I13" s="17"/>
      <c r="J13" s="17"/>
      <c r="K13" s="17"/>
    </row>
    <row r="14" spans="1:14" ht="17" thickBot="1" x14ac:dyDescent="0.25">
      <c r="A14" s="22" t="s">
        <v>19</v>
      </c>
      <c r="B14" s="9">
        <f>$B$13+$B$3</f>
        <v>2006946.0384176837</v>
      </c>
      <c r="C14" s="10"/>
      <c r="D14" s="16"/>
      <c r="E14" s="17"/>
      <c r="F14" s="17"/>
      <c r="G14" s="17"/>
      <c r="H14" s="17"/>
      <c r="I14" s="17"/>
      <c r="J14" s="17"/>
      <c r="K14" s="17"/>
    </row>
    <row r="15" spans="1:14" x14ac:dyDescent="0.2">
      <c r="A15" s="10"/>
      <c r="B15" s="10"/>
      <c r="C15" s="10"/>
      <c r="D15" s="16"/>
      <c r="E15" s="17"/>
      <c r="F15" s="17"/>
      <c r="G15" s="17"/>
      <c r="H15" s="17"/>
      <c r="I15" s="17"/>
      <c r="J15" s="17"/>
      <c r="K15" s="17"/>
    </row>
    <row r="16" spans="1:14" x14ac:dyDescent="0.2">
      <c r="A16" s="10"/>
      <c r="B16" s="10"/>
      <c r="C16" s="10"/>
      <c r="D16" s="16"/>
      <c r="E16" s="17"/>
      <c r="F16" s="17"/>
      <c r="G16" s="17"/>
      <c r="H16" s="17"/>
      <c r="I16" s="17"/>
      <c r="J16" s="17"/>
      <c r="K16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28F4-AC23-2E4D-B49A-C53FF7C3A6C8}">
  <dimension ref="A1:R19"/>
  <sheetViews>
    <sheetView zoomScale="125" workbookViewId="0">
      <selection activeCell="L8" sqref="L8"/>
    </sheetView>
  </sheetViews>
  <sheetFormatPr baseColWidth="10" defaultColWidth="11.5" defaultRowHeight="16" x14ac:dyDescent="0.2"/>
  <cols>
    <col min="1" max="1" width="20" bestFit="1" customWidth="1"/>
    <col min="2" max="2" width="13.33203125" bestFit="1" customWidth="1"/>
    <col min="3" max="3" width="6" customWidth="1"/>
    <col min="4" max="4" width="7.83203125" style="23" customWidth="1"/>
    <col min="5" max="5" width="16.1640625" style="23" bestFit="1" customWidth="1"/>
    <col min="6" max="7" width="14.5" style="23" customWidth="1"/>
    <col min="8" max="8" width="13.83203125" style="24" customWidth="1"/>
    <col min="9" max="9" width="12.5" style="24" bestFit="1" customWidth="1"/>
    <col min="10" max="13" width="13.6640625" style="24" bestFit="1" customWidth="1"/>
    <col min="14" max="14" width="12.6640625" style="24" customWidth="1"/>
    <col min="15" max="15" width="14.5" style="24" bestFit="1" customWidth="1"/>
  </cols>
  <sheetData>
    <row r="1" spans="1:18" s="7" customFormat="1" ht="28" x14ac:dyDescent="0.2">
      <c r="A1" s="115" t="s">
        <v>0</v>
      </c>
      <c r="B1" s="116"/>
      <c r="C1" s="3"/>
      <c r="D1" s="117" t="s">
        <v>1</v>
      </c>
      <c r="E1" s="117" t="s">
        <v>20</v>
      </c>
      <c r="F1" s="117" t="s">
        <v>21</v>
      </c>
      <c r="G1" s="117" t="s">
        <v>22</v>
      </c>
      <c r="H1" s="117" t="s">
        <v>23</v>
      </c>
      <c r="I1" s="118" t="s">
        <v>3</v>
      </c>
      <c r="J1" s="119" t="s">
        <v>24</v>
      </c>
      <c r="K1" s="118" t="s">
        <v>4</v>
      </c>
      <c r="L1" s="118" t="s">
        <v>5</v>
      </c>
      <c r="M1" s="118" t="s">
        <v>6</v>
      </c>
      <c r="N1" s="118" t="s">
        <v>7</v>
      </c>
      <c r="O1" s="118" t="s">
        <v>8</v>
      </c>
      <c r="P1" s="6"/>
      <c r="Q1" s="6"/>
      <c r="R1" s="6"/>
    </row>
    <row r="2" spans="1:18" x14ac:dyDescent="0.2">
      <c r="A2" s="8" t="s">
        <v>25</v>
      </c>
      <c r="B2" s="9">
        <v>1800</v>
      </c>
      <c r="C2" s="10"/>
      <c r="D2" s="11" cm="1">
        <f t="array" ref="D2:D5">_xlfn.SEQUENCE($B$9+1,,0,1)</f>
        <v>0</v>
      </c>
      <c r="E2" s="112">
        <f>$B$4</f>
        <v>1800</v>
      </c>
      <c r="F2" s="112">
        <v>0</v>
      </c>
      <c r="G2" s="112">
        <v>0</v>
      </c>
      <c r="H2" s="112">
        <v>0</v>
      </c>
      <c r="I2" s="55">
        <v>0</v>
      </c>
      <c r="J2" s="55">
        <v>0</v>
      </c>
      <c r="K2" s="55">
        <f>H2+I2+J2</f>
        <v>0</v>
      </c>
      <c r="L2" s="55">
        <v>0</v>
      </c>
      <c r="M2" s="55">
        <f>F2+I2-L2</f>
        <v>0</v>
      </c>
      <c r="N2" s="35">
        <f>1/(1+$B$11)^D2</f>
        <v>1</v>
      </c>
      <c r="O2" s="112">
        <f>M2*N2</f>
        <v>0</v>
      </c>
    </row>
    <row r="3" spans="1:18" x14ac:dyDescent="0.2">
      <c r="A3" s="8" t="s">
        <v>10</v>
      </c>
      <c r="B3" s="9">
        <v>0</v>
      </c>
      <c r="C3" s="10"/>
      <c r="D3" s="11">
        <v>1</v>
      </c>
      <c r="E3" s="112">
        <f>E2-G3</f>
        <v>1245.5396747166092</v>
      </c>
      <c r="F3" s="112">
        <f>$B$14</f>
        <v>698.46032528339083</v>
      </c>
      <c r="G3" s="112">
        <f t="shared" ref="G3:G5" si="0">PPMT($B$7,D3,$B$9,-$B$4,0,0)</f>
        <v>554.46032528339083</v>
      </c>
      <c r="H3" s="112">
        <f>E2*$B$7</f>
        <v>144</v>
      </c>
      <c r="I3" s="112">
        <f>$B$6</f>
        <v>0</v>
      </c>
      <c r="J3" s="112">
        <f>$B$15</f>
        <v>0</v>
      </c>
      <c r="K3" s="112">
        <f>H3+I3+J3</f>
        <v>144</v>
      </c>
      <c r="L3" s="112">
        <f>$B$8*K3</f>
        <v>43.199999999999996</v>
      </c>
      <c r="M3" s="112">
        <f>F3+I3-L3</f>
        <v>655.26032528339078</v>
      </c>
      <c r="N3" s="35">
        <f t="shared" ref="N3:N5" si="1">1/(1+$B$11)^D3</f>
        <v>0.9174311926605504</v>
      </c>
      <c r="O3" s="112">
        <f t="shared" ref="O3:O5" si="2">M3*N3</f>
        <v>601.15626172788143</v>
      </c>
    </row>
    <row r="4" spans="1:18" x14ac:dyDescent="0.2">
      <c r="A4" s="8" t="s">
        <v>26</v>
      </c>
      <c r="B4" s="9">
        <f>$B$2-$B$3</f>
        <v>1800</v>
      </c>
      <c r="C4" s="10"/>
      <c r="D4" s="11">
        <v>2</v>
      </c>
      <c r="E4" s="112">
        <f t="shared" ref="E4:E5" si="3">E3-G4</f>
        <v>646.72252341054707</v>
      </c>
      <c r="F4" s="112">
        <f t="shared" ref="F4:F5" si="4">$B$14</f>
        <v>698.46032528339083</v>
      </c>
      <c r="G4" s="112">
        <f t="shared" si="0"/>
        <v>598.8171513060621</v>
      </c>
      <c r="H4" s="112">
        <f t="shared" ref="H4:H5" si="5">E3*$B$7</f>
        <v>99.643173977328729</v>
      </c>
      <c r="I4" s="112">
        <f t="shared" ref="I4:I5" si="6">$B$6</f>
        <v>0</v>
      </c>
      <c r="J4" s="112">
        <f t="shared" ref="J4:J5" si="7">$B$15</f>
        <v>0</v>
      </c>
      <c r="K4" s="112">
        <f>H4+I4+J4</f>
        <v>99.643173977328729</v>
      </c>
      <c r="L4" s="112">
        <f t="shared" ref="L4:L5" si="8">$B$8*K4</f>
        <v>29.892952193198617</v>
      </c>
      <c r="M4" s="112">
        <f t="shared" ref="M4:M5" si="9">F4+I4-L4</f>
        <v>668.56737309019218</v>
      </c>
      <c r="N4" s="35">
        <f t="shared" si="1"/>
        <v>0.84167999326655996</v>
      </c>
      <c r="O4" s="112">
        <f t="shared" si="2"/>
        <v>562.71978208079463</v>
      </c>
    </row>
    <row r="5" spans="1:18" x14ac:dyDescent="0.2">
      <c r="A5" s="8" t="s">
        <v>27</v>
      </c>
      <c r="B5" s="9">
        <v>0</v>
      </c>
      <c r="C5" s="10"/>
      <c r="D5" s="11">
        <v>3</v>
      </c>
      <c r="E5" s="112">
        <f t="shared" si="3"/>
        <v>0</v>
      </c>
      <c r="F5" s="112">
        <f t="shared" si="4"/>
        <v>698.46032528339083</v>
      </c>
      <c r="G5" s="112">
        <f t="shared" si="0"/>
        <v>646.72252341054707</v>
      </c>
      <c r="H5" s="112">
        <f t="shared" si="5"/>
        <v>51.737801872843768</v>
      </c>
      <c r="I5" s="112">
        <f t="shared" si="6"/>
        <v>0</v>
      </c>
      <c r="J5" s="112">
        <f t="shared" si="7"/>
        <v>0</v>
      </c>
      <c r="K5" s="112">
        <f t="shared" ref="K5" si="10">H5+I5+J5</f>
        <v>51.737801872843768</v>
      </c>
      <c r="L5" s="112">
        <f t="shared" si="8"/>
        <v>15.52134056185313</v>
      </c>
      <c r="M5" s="112">
        <f t="shared" si="9"/>
        <v>682.93898472153774</v>
      </c>
      <c r="N5" s="35">
        <f t="shared" si="1"/>
        <v>0.77218348006106419</v>
      </c>
      <c r="O5" s="112">
        <f t="shared" si="2"/>
        <v>527.35420189164699</v>
      </c>
    </row>
    <row r="6" spans="1:18" x14ac:dyDescent="0.2">
      <c r="A6" s="8" t="s">
        <v>28</v>
      </c>
      <c r="B6" s="9">
        <v>0</v>
      </c>
      <c r="C6" s="10"/>
      <c r="D6" s="11"/>
      <c r="E6" s="112"/>
      <c r="F6" s="112"/>
      <c r="G6" s="112"/>
      <c r="H6" s="112"/>
      <c r="I6" s="112"/>
      <c r="J6" s="112"/>
      <c r="K6" s="112"/>
      <c r="L6" s="112"/>
      <c r="M6" s="112"/>
      <c r="N6" s="35"/>
      <c r="O6" s="112"/>
    </row>
    <row r="7" spans="1:18" x14ac:dyDescent="0.2">
      <c r="A7" s="8" t="s">
        <v>29</v>
      </c>
      <c r="B7" s="54">
        <v>0.08</v>
      </c>
      <c r="C7" s="10"/>
      <c r="D7" s="11"/>
      <c r="E7" s="112"/>
      <c r="F7" s="112"/>
      <c r="G7" s="112"/>
      <c r="H7" s="112"/>
      <c r="I7" s="112"/>
      <c r="J7" s="112"/>
      <c r="K7" s="112"/>
      <c r="L7" s="112"/>
      <c r="M7" s="112"/>
      <c r="N7" s="35"/>
      <c r="O7" s="112"/>
    </row>
    <row r="8" spans="1:18" x14ac:dyDescent="0.2">
      <c r="A8" s="8" t="s">
        <v>30</v>
      </c>
      <c r="B8" s="14">
        <v>0.3</v>
      </c>
      <c r="C8" s="10"/>
      <c r="D8" s="16"/>
      <c r="E8" s="16"/>
      <c r="F8" s="16"/>
      <c r="G8" s="16"/>
      <c r="H8" s="17"/>
      <c r="I8" s="17"/>
      <c r="J8" s="17"/>
      <c r="K8" s="17"/>
      <c r="L8" s="172">
        <f>NPV(B11,L3:L5)</f>
        <v>76.778650093889496</v>
      </c>
      <c r="M8" s="80">
        <f>NPV(B11,M3:M5)</f>
        <v>1691.2302457003229</v>
      </c>
      <c r="N8" s="17"/>
      <c r="O8" s="120">
        <f>SUM(O2:O7)</f>
        <v>1691.2302457003229</v>
      </c>
    </row>
    <row r="9" spans="1:18" x14ac:dyDescent="0.2">
      <c r="A9" s="8" t="s">
        <v>31</v>
      </c>
      <c r="B9" s="30">
        <v>3</v>
      </c>
      <c r="C9" s="10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</row>
    <row r="10" spans="1:18" x14ac:dyDescent="0.2">
      <c r="A10" s="8" t="s">
        <v>32</v>
      </c>
      <c r="B10" s="30">
        <v>3</v>
      </c>
      <c r="C10" s="10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</row>
    <row r="11" spans="1:18" ht="17" thickBot="1" x14ac:dyDescent="0.25">
      <c r="A11" s="18" t="s">
        <v>33</v>
      </c>
      <c r="B11" s="19">
        <v>0.09</v>
      </c>
      <c r="C11" s="10"/>
      <c r="D11" s="16"/>
      <c r="E11" s="16"/>
      <c r="F11" s="16"/>
      <c r="G11" s="16"/>
      <c r="H11" s="17"/>
      <c r="I11" s="17"/>
      <c r="J11" s="17"/>
      <c r="K11" s="17"/>
      <c r="L11" s="17"/>
      <c r="M11" s="17"/>
      <c r="N11" s="17"/>
      <c r="O11" s="17"/>
    </row>
    <row r="12" spans="1:18" x14ac:dyDescent="0.2">
      <c r="A12" s="31"/>
      <c r="B12" s="32"/>
      <c r="C12" s="10"/>
      <c r="D12" s="16"/>
      <c r="E12" s="16"/>
      <c r="F12" s="16"/>
      <c r="G12" s="16"/>
      <c r="H12" s="17"/>
      <c r="I12" s="17"/>
      <c r="J12" s="17"/>
      <c r="K12" s="17"/>
      <c r="L12" s="17"/>
      <c r="M12" s="17"/>
      <c r="N12" s="17"/>
      <c r="O12" s="17"/>
    </row>
    <row r="13" spans="1:18" ht="17" thickBot="1" x14ac:dyDescent="0.25">
      <c r="A13" s="31"/>
      <c r="B13" s="32"/>
      <c r="C13" s="10"/>
      <c r="D13" s="16"/>
      <c r="E13" s="16"/>
      <c r="F13" s="16"/>
      <c r="G13" s="16"/>
      <c r="H13" s="17"/>
      <c r="I13" s="17"/>
      <c r="J13" s="17"/>
      <c r="K13" s="17"/>
      <c r="L13" s="17"/>
      <c r="M13" s="17"/>
      <c r="N13" s="17"/>
      <c r="O13" s="17"/>
    </row>
    <row r="14" spans="1:18" ht="17" thickBot="1" x14ac:dyDescent="0.25">
      <c r="A14" s="110" t="s">
        <v>17</v>
      </c>
      <c r="B14" s="171">
        <f>PMT($B$7,B9,-$B$4,,0)</f>
        <v>698.46032528339083</v>
      </c>
      <c r="C14" s="10"/>
      <c r="D14" s="16"/>
      <c r="E14" s="16"/>
      <c r="F14" s="16"/>
      <c r="G14" s="16"/>
      <c r="H14" s="17"/>
      <c r="I14" s="17"/>
      <c r="J14" s="17"/>
      <c r="K14" s="17"/>
      <c r="L14" s="17"/>
      <c r="M14" s="172">
        <f>75.32+L8</f>
        <v>152.09865009388949</v>
      </c>
      <c r="N14" s="17"/>
      <c r="O14" s="17"/>
    </row>
    <row r="15" spans="1:18" ht="17" thickBot="1" x14ac:dyDescent="0.25">
      <c r="A15" s="110" t="s">
        <v>24</v>
      </c>
      <c r="B15" s="9">
        <v>0</v>
      </c>
      <c r="C15" s="10"/>
      <c r="D15" s="16"/>
      <c r="E15" s="16"/>
      <c r="F15" s="16"/>
      <c r="G15" s="16"/>
      <c r="H15" s="17"/>
      <c r="I15" s="17"/>
      <c r="J15" s="17"/>
      <c r="K15" s="17"/>
      <c r="L15" s="17"/>
      <c r="M15" s="17"/>
      <c r="N15" s="17"/>
      <c r="O15" s="17"/>
    </row>
    <row r="16" spans="1:18" ht="17" thickBot="1" x14ac:dyDescent="0.25">
      <c r="A16" s="113"/>
      <c r="B16" s="34"/>
      <c r="C16" s="10"/>
      <c r="D16" s="16"/>
      <c r="E16" s="16"/>
      <c r="F16" s="16"/>
      <c r="G16" s="16"/>
      <c r="H16" s="17"/>
      <c r="I16" s="17"/>
      <c r="J16" s="17"/>
      <c r="K16" s="17"/>
      <c r="L16" s="17"/>
      <c r="M16" s="17"/>
      <c r="N16" s="17"/>
      <c r="O16" s="17"/>
    </row>
    <row r="17" spans="1:15" ht="17" thickBot="1" x14ac:dyDescent="0.25">
      <c r="A17" s="22" t="s">
        <v>18</v>
      </c>
      <c r="B17" s="9">
        <f>SUM(O2:O7)</f>
        <v>1691.2302457003229</v>
      </c>
      <c r="C17" s="10"/>
      <c r="D17" s="16"/>
      <c r="E17" s="16"/>
      <c r="F17" s="16"/>
      <c r="G17" s="16"/>
      <c r="H17" s="17"/>
      <c r="I17" s="17"/>
      <c r="J17" s="17"/>
      <c r="L17" s="17"/>
      <c r="M17" s="17"/>
      <c r="N17" s="17"/>
      <c r="O17" s="17"/>
    </row>
    <row r="18" spans="1:15" ht="17" thickBot="1" x14ac:dyDescent="0.25">
      <c r="A18" s="22" t="s">
        <v>34</v>
      </c>
      <c r="B18" s="114">
        <f>$B$17+$B$3-B5/(1+$B$11)^$B$9</f>
        <v>1691.2302457003229</v>
      </c>
      <c r="C18" s="10"/>
      <c r="D18" s="16"/>
      <c r="E18" s="16"/>
      <c r="F18" s="16"/>
      <c r="G18" s="16"/>
      <c r="H18" s="17"/>
      <c r="I18" s="17"/>
      <c r="J18" s="17"/>
      <c r="K18" s="17"/>
      <c r="L18" s="17"/>
      <c r="M18" s="17"/>
      <c r="N18" s="17"/>
      <c r="O18" s="17"/>
    </row>
    <row r="19" spans="1:15" x14ac:dyDescent="0.2">
      <c r="A19" s="10"/>
      <c r="B19" s="10"/>
      <c r="C19" s="10"/>
      <c r="D19" s="16"/>
      <c r="E19" s="16"/>
      <c r="F19" s="16"/>
      <c r="G19" s="16"/>
      <c r="H19" s="17"/>
      <c r="I19" s="17"/>
      <c r="J19" s="17"/>
      <c r="K19" s="17"/>
      <c r="L19" s="17"/>
      <c r="M19" s="17"/>
      <c r="N19" s="17"/>
      <c r="O19" s="1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D80E-D966-554F-9295-8D49B1E366C5}">
  <dimension ref="A1:O19"/>
  <sheetViews>
    <sheetView zoomScale="172" workbookViewId="0">
      <selection activeCell="C17" sqref="C17"/>
    </sheetView>
  </sheetViews>
  <sheetFormatPr baseColWidth="10" defaultRowHeight="16" x14ac:dyDescent="0.2"/>
  <cols>
    <col min="1" max="1" width="16.83203125" bestFit="1" customWidth="1"/>
    <col min="2" max="2" width="11.1640625" bestFit="1" customWidth="1"/>
    <col min="4" max="15" width="11" bestFit="1" customWidth="1"/>
  </cols>
  <sheetData>
    <row r="1" spans="1:15" ht="42" x14ac:dyDescent="0.2">
      <c r="A1" s="1" t="s">
        <v>0</v>
      </c>
      <c r="B1" s="2"/>
      <c r="C1" s="3"/>
      <c r="D1" s="25" t="s">
        <v>1</v>
      </c>
      <c r="E1" s="25" t="s">
        <v>20</v>
      </c>
      <c r="F1" s="25" t="s">
        <v>21</v>
      </c>
      <c r="G1" s="25" t="s">
        <v>22</v>
      </c>
      <c r="H1" s="25" t="s">
        <v>23</v>
      </c>
      <c r="I1" s="26" t="s">
        <v>3</v>
      </c>
      <c r="J1" s="26" t="s">
        <v>24</v>
      </c>
      <c r="K1" s="26" t="s">
        <v>4</v>
      </c>
      <c r="L1" s="26" t="s">
        <v>5</v>
      </c>
      <c r="M1" s="26" t="s">
        <v>6</v>
      </c>
      <c r="N1" s="26" t="s">
        <v>7</v>
      </c>
      <c r="O1" s="26" t="s">
        <v>8</v>
      </c>
    </row>
    <row r="2" spans="1:15" x14ac:dyDescent="0.2">
      <c r="A2" s="8" t="s">
        <v>25</v>
      </c>
      <c r="B2" s="9">
        <v>180000</v>
      </c>
      <c r="C2" s="10"/>
      <c r="D2" s="11" cm="1">
        <f t="array" ref="D2:D7">_xlfn.SEQUENCE($B$9+1,,0,1)</f>
        <v>0</v>
      </c>
      <c r="E2" s="12">
        <f>$B$4</f>
        <v>180000</v>
      </c>
      <c r="F2" s="27"/>
      <c r="G2" s="27"/>
      <c r="H2" s="27"/>
      <c r="I2" s="12">
        <v>0</v>
      </c>
      <c r="J2" s="12">
        <v>0</v>
      </c>
      <c r="K2" s="12">
        <f>H2+I2+J2</f>
        <v>0</v>
      </c>
      <c r="L2" s="12">
        <v>0</v>
      </c>
      <c r="M2" s="12">
        <f>F2+I2-L2</f>
        <v>0</v>
      </c>
      <c r="N2" s="13">
        <f>1/(1+$B$11)^D2</f>
        <v>1</v>
      </c>
      <c r="O2" s="12">
        <f>M2*N2</f>
        <v>0</v>
      </c>
    </row>
    <row r="3" spans="1:15" x14ac:dyDescent="0.2">
      <c r="A3" s="8" t="s">
        <v>10</v>
      </c>
      <c r="B3" s="9">
        <v>0</v>
      </c>
      <c r="C3" s="10"/>
      <c r="D3" s="11">
        <v>1</v>
      </c>
      <c r="E3" s="12">
        <f>E2-G3</f>
        <v>180000</v>
      </c>
      <c r="F3" s="28">
        <f>G3+H3</f>
        <v>5400</v>
      </c>
      <c r="G3" s="28"/>
      <c r="H3" s="27">
        <f>$B$7*$B$4</f>
        <v>5400</v>
      </c>
      <c r="I3" s="12">
        <v>0</v>
      </c>
      <c r="J3" s="29">
        <f>$B$15</f>
        <v>33310</v>
      </c>
      <c r="K3" s="12">
        <f>H3+I3+J3</f>
        <v>38710</v>
      </c>
      <c r="L3" s="12">
        <f>$B$8*K3</f>
        <v>7742</v>
      </c>
      <c r="M3" s="29">
        <f>F3+I3-L3</f>
        <v>-2342</v>
      </c>
      <c r="N3" s="13">
        <f>1/(1+$B$11)^D3</f>
        <v>0.94339622641509424</v>
      </c>
      <c r="O3" s="12">
        <f>M3*N3</f>
        <v>-2209.4339622641505</v>
      </c>
    </row>
    <row r="4" spans="1:15" x14ac:dyDescent="0.2">
      <c r="A4" s="8" t="s">
        <v>26</v>
      </c>
      <c r="B4" s="9">
        <f>$B$2-$B$3</f>
        <v>180000</v>
      </c>
      <c r="C4" s="10"/>
      <c r="D4" s="11">
        <v>2</v>
      </c>
      <c r="E4" s="12">
        <f t="shared" ref="E4:E7" si="0">E3-G4</f>
        <v>180000</v>
      </c>
      <c r="F4" s="28">
        <f t="shared" ref="F4:F7" si="1">G4+H4</f>
        <v>5400</v>
      </c>
      <c r="G4" s="28"/>
      <c r="H4" s="27">
        <f t="shared" ref="H4:H7" si="2">$B$7*$B$4</f>
        <v>5400</v>
      </c>
      <c r="I4" s="12">
        <v>0</v>
      </c>
      <c r="J4" s="29">
        <f t="shared" ref="J4:J7" si="3">$B$15</f>
        <v>33310</v>
      </c>
      <c r="K4" s="12">
        <f t="shared" ref="K4:K7" si="4">H4+I4+J4</f>
        <v>38710</v>
      </c>
      <c r="L4" s="12">
        <f t="shared" ref="L4:L7" si="5">$B$8*K4</f>
        <v>7742</v>
      </c>
      <c r="M4" s="12">
        <f t="shared" ref="M4:M6" si="6">F4+I4-L4</f>
        <v>-2342</v>
      </c>
      <c r="N4" s="13">
        <f t="shared" ref="N4:N7" si="7">1/(1+$B$11)^D4</f>
        <v>0.88999644001423983</v>
      </c>
      <c r="O4" s="12">
        <f t="shared" ref="O4:O7" si="8">M4*N4</f>
        <v>-2084.3716625133497</v>
      </c>
    </row>
    <row r="5" spans="1:15" x14ac:dyDescent="0.2">
      <c r="A5" s="8" t="s">
        <v>27</v>
      </c>
      <c r="B5" s="9">
        <f>10%*$B$2</f>
        <v>18000</v>
      </c>
      <c r="C5" s="10"/>
      <c r="D5" s="11">
        <v>3</v>
      </c>
      <c r="E5" s="12">
        <f t="shared" si="0"/>
        <v>180000</v>
      </c>
      <c r="F5" s="28">
        <f t="shared" si="1"/>
        <v>5400</v>
      </c>
      <c r="G5" s="28"/>
      <c r="H5" s="27">
        <f t="shared" si="2"/>
        <v>5400</v>
      </c>
      <c r="I5" s="12">
        <v>0</v>
      </c>
      <c r="J5" s="29">
        <f t="shared" si="3"/>
        <v>33310</v>
      </c>
      <c r="K5" s="12">
        <f t="shared" si="4"/>
        <v>38710</v>
      </c>
      <c r="L5" s="12">
        <f t="shared" si="5"/>
        <v>7742</v>
      </c>
      <c r="M5" s="12">
        <f t="shared" si="6"/>
        <v>-2342</v>
      </c>
      <c r="N5" s="13">
        <f t="shared" si="7"/>
        <v>0.8396192830323016</v>
      </c>
      <c r="O5" s="12">
        <f t="shared" si="8"/>
        <v>-1966.3883608616504</v>
      </c>
    </row>
    <row r="6" spans="1:15" x14ac:dyDescent="0.2">
      <c r="A6" s="8" t="s">
        <v>28</v>
      </c>
      <c r="B6" s="9">
        <v>100000</v>
      </c>
      <c r="C6" s="10"/>
      <c r="D6" s="11">
        <v>4</v>
      </c>
      <c r="E6" s="12">
        <f t="shared" si="0"/>
        <v>180000</v>
      </c>
      <c r="F6" s="28">
        <f t="shared" si="1"/>
        <v>5400</v>
      </c>
      <c r="G6" s="28"/>
      <c r="H6" s="27">
        <f t="shared" si="2"/>
        <v>5400</v>
      </c>
      <c r="I6" s="12"/>
      <c r="J6" s="29">
        <f t="shared" si="3"/>
        <v>33310</v>
      </c>
      <c r="K6" s="12">
        <f t="shared" si="4"/>
        <v>38710</v>
      </c>
      <c r="L6" s="12">
        <f t="shared" si="5"/>
        <v>7742</v>
      </c>
      <c r="M6" s="12">
        <f t="shared" si="6"/>
        <v>-2342</v>
      </c>
      <c r="N6" s="13">
        <f t="shared" si="7"/>
        <v>0.79209366323802044</v>
      </c>
      <c r="O6" s="12">
        <f t="shared" si="8"/>
        <v>-1855.0833593034438</v>
      </c>
    </row>
    <row r="7" spans="1:15" x14ac:dyDescent="0.2">
      <c r="A7" s="8" t="s">
        <v>29</v>
      </c>
      <c r="B7" s="14">
        <v>0.03</v>
      </c>
      <c r="C7" s="10"/>
      <c r="D7" s="11">
        <v>5</v>
      </c>
      <c r="E7" s="12">
        <f t="shared" si="0"/>
        <v>0</v>
      </c>
      <c r="F7" s="28">
        <f t="shared" si="1"/>
        <v>185400</v>
      </c>
      <c r="G7" s="28">
        <f t="shared" ref="G7" si="9">E4</f>
        <v>180000</v>
      </c>
      <c r="H7" s="27">
        <f t="shared" si="2"/>
        <v>5400</v>
      </c>
      <c r="I7" s="12"/>
      <c r="J7" s="29">
        <f t="shared" si="3"/>
        <v>33310</v>
      </c>
      <c r="K7" s="12">
        <f t="shared" si="4"/>
        <v>38710</v>
      </c>
      <c r="L7" s="12">
        <f t="shared" si="5"/>
        <v>7742</v>
      </c>
      <c r="M7" s="29">
        <f>F7+I7-L7</f>
        <v>177658</v>
      </c>
      <c r="N7" s="13">
        <f t="shared" si="7"/>
        <v>0.74725817286605689</v>
      </c>
      <c r="O7" s="12">
        <f t="shared" si="8"/>
        <v>132756.39247503792</v>
      </c>
    </row>
    <row r="8" spans="1:15" x14ac:dyDescent="0.2">
      <c r="A8" s="8" t="s">
        <v>30</v>
      </c>
      <c r="B8" s="14">
        <v>0.2</v>
      </c>
      <c r="C8" s="10"/>
      <c r="D8" s="16"/>
      <c r="E8" s="16"/>
      <c r="F8" s="16"/>
      <c r="G8" s="16"/>
      <c r="H8" s="17"/>
      <c r="I8" s="17"/>
      <c r="J8" s="17"/>
      <c r="K8" s="17"/>
      <c r="L8" s="17"/>
      <c r="M8" s="17"/>
      <c r="N8" s="17"/>
      <c r="O8" s="17"/>
    </row>
    <row r="9" spans="1:15" x14ac:dyDescent="0.2">
      <c r="A9" s="8" t="s">
        <v>31</v>
      </c>
      <c r="B9" s="30">
        <v>5</v>
      </c>
      <c r="C9" s="10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</row>
    <row r="10" spans="1:15" x14ac:dyDescent="0.2">
      <c r="A10" s="8" t="s">
        <v>32</v>
      </c>
      <c r="B10" s="30">
        <v>5</v>
      </c>
      <c r="C10" s="10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</row>
    <row r="11" spans="1:15" ht="17" thickBot="1" x14ac:dyDescent="0.25">
      <c r="A11" s="18" t="s">
        <v>33</v>
      </c>
      <c r="B11" s="19">
        <v>0.06</v>
      </c>
      <c r="C11" s="10"/>
      <c r="D11" s="16"/>
      <c r="E11" s="16"/>
      <c r="F11" s="16"/>
      <c r="G11" s="16"/>
      <c r="H11" s="17"/>
      <c r="I11" s="17"/>
      <c r="J11" s="17"/>
      <c r="K11" s="17"/>
      <c r="L11" s="17"/>
      <c r="M11" s="17"/>
      <c r="N11" s="17"/>
      <c r="O11" s="17"/>
    </row>
    <row r="12" spans="1:15" x14ac:dyDescent="0.2">
      <c r="A12" s="31"/>
      <c r="B12" s="32"/>
      <c r="C12" s="10"/>
      <c r="D12" s="16"/>
      <c r="E12" s="16"/>
      <c r="F12" s="16"/>
      <c r="G12" s="16"/>
      <c r="H12" s="17"/>
      <c r="I12" s="17"/>
      <c r="J12" s="17"/>
      <c r="K12" s="17"/>
      <c r="L12" s="17"/>
      <c r="M12" s="17"/>
      <c r="N12" s="17"/>
      <c r="O12" s="17"/>
    </row>
    <row r="13" spans="1:15" ht="17" thickBot="1" x14ac:dyDescent="0.25">
      <c r="A13" s="31"/>
      <c r="B13" s="32"/>
      <c r="C13" s="10"/>
      <c r="D13" s="16"/>
      <c r="E13" s="16"/>
      <c r="F13" s="16"/>
      <c r="G13" s="16"/>
      <c r="H13" s="17"/>
      <c r="I13" s="17"/>
      <c r="J13" s="17"/>
      <c r="K13" s="17"/>
      <c r="L13" s="17"/>
      <c r="M13" s="17"/>
      <c r="N13" s="17"/>
      <c r="O13" s="17"/>
    </row>
    <row r="14" spans="1:15" ht="17" thickBot="1" x14ac:dyDescent="0.25">
      <c r="A14" s="20" t="s">
        <v>17</v>
      </c>
      <c r="B14" s="33"/>
      <c r="C14" s="10"/>
      <c r="D14" s="16"/>
      <c r="E14" s="16"/>
      <c r="F14" s="16"/>
      <c r="G14" s="16"/>
      <c r="H14" s="17"/>
      <c r="I14" s="17"/>
      <c r="J14" s="17"/>
      <c r="K14" s="17"/>
      <c r="L14" s="17"/>
      <c r="M14" s="17"/>
      <c r="N14" s="17"/>
      <c r="O14" s="17"/>
    </row>
    <row r="15" spans="1:15" ht="17" thickBot="1" x14ac:dyDescent="0.25">
      <c r="A15" s="20" t="s">
        <v>24</v>
      </c>
      <c r="B15" s="33">
        <v>33310</v>
      </c>
      <c r="C15" s="10"/>
      <c r="D15" s="16"/>
      <c r="E15" s="16"/>
      <c r="F15" s="16"/>
      <c r="G15" s="16"/>
      <c r="H15" s="17"/>
      <c r="I15" s="17"/>
      <c r="J15" s="17"/>
      <c r="K15" s="17"/>
      <c r="L15" s="17"/>
      <c r="M15" s="17"/>
      <c r="N15" s="17"/>
      <c r="O15" s="17"/>
    </row>
    <row r="16" spans="1:15" ht="17" thickBot="1" x14ac:dyDescent="0.25">
      <c r="A16" s="10"/>
      <c r="B16" s="10"/>
      <c r="C16" s="10"/>
      <c r="D16" s="16"/>
      <c r="E16" s="16"/>
      <c r="F16" s="16"/>
      <c r="G16" s="16"/>
      <c r="H16" s="17"/>
      <c r="I16" s="17"/>
      <c r="J16" s="17"/>
      <c r="K16" s="17"/>
      <c r="L16" s="17"/>
      <c r="M16" s="17"/>
      <c r="N16" s="17"/>
      <c r="O16" s="17"/>
    </row>
    <row r="17" spans="1:15" ht="17" thickBot="1" x14ac:dyDescent="0.25">
      <c r="A17" s="22" t="s">
        <v>18</v>
      </c>
      <c r="B17" s="21">
        <f>SUM(O2:O7)</f>
        <v>124641.11513009534</v>
      </c>
      <c r="C17" s="10"/>
      <c r="D17" s="16"/>
      <c r="E17" s="16"/>
      <c r="F17" s="16"/>
      <c r="G17" s="16"/>
      <c r="H17" s="17"/>
      <c r="I17" s="17"/>
      <c r="J17" s="17"/>
      <c r="K17" s="17"/>
      <c r="L17" s="17"/>
      <c r="M17" s="17"/>
      <c r="N17" s="17"/>
      <c r="O17" s="17"/>
    </row>
    <row r="18" spans="1:15" ht="17" thickBot="1" x14ac:dyDescent="0.25">
      <c r="A18" s="22" t="s">
        <v>34</v>
      </c>
      <c r="B18" s="21">
        <f>$B$17+$B$3-B5/(1+$B$11)^$B$9</f>
        <v>111190.4680185063</v>
      </c>
      <c r="C18" s="10"/>
      <c r="D18" s="16"/>
      <c r="E18" s="16"/>
      <c r="F18" s="16"/>
      <c r="G18" s="16"/>
      <c r="H18" s="17"/>
      <c r="I18" s="17"/>
      <c r="J18" s="17"/>
      <c r="K18" s="17"/>
      <c r="L18" s="17"/>
      <c r="M18" s="17"/>
      <c r="N18" s="17"/>
      <c r="O18" s="17"/>
    </row>
    <row r="19" spans="1:15" x14ac:dyDescent="0.2">
      <c r="A19" s="10"/>
      <c r="B19" s="10"/>
      <c r="C19" s="10"/>
      <c r="D19" s="16"/>
      <c r="E19" s="16"/>
      <c r="F19" s="16"/>
      <c r="G19" s="16"/>
      <c r="H19" s="17"/>
      <c r="I19" s="17"/>
      <c r="J19" s="17"/>
      <c r="K19" s="17"/>
      <c r="L19" s="17"/>
      <c r="M19" s="17"/>
      <c r="N19" s="17"/>
      <c r="O19" s="1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27F5-535B-1B46-A73C-FC1B92D3A79F}">
  <dimension ref="A1:R19"/>
  <sheetViews>
    <sheetView topLeftCell="A7" workbookViewId="0">
      <selection activeCell="G31" sqref="G31"/>
    </sheetView>
  </sheetViews>
  <sheetFormatPr baseColWidth="10" defaultColWidth="11.5" defaultRowHeight="16" x14ac:dyDescent="0.2"/>
  <cols>
    <col min="1" max="1" width="20" bestFit="1" customWidth="1"/>
    <col min="2" max="2" width="12.83203125" bestFit="1" customWidth="1"/>
    <col min="3" max="3" width="6" customWidth="1"/>
    <col min="4" max="4" width="7.83203125" style="23" customWidth="1"/>
    <col min="5" max="5" width="12.5" style="23" bestFit="1" customWidth="1"/>
    <col min="6" max="7" width="10.83203125" style="23" bestFit="1" customWidth="1"/>
    <col min="8" max="8" width="10.83203125" style="24" bestFit="1" customWidth="1"/>
    <col min="9" max="9" width="11.83203125" style="24" customWidth="1"/>
    <col min="10" max="10" width="12.6640625" style="24" customWidth="1"/>
    <col min="11" max="13" width="10.83203125" style="24" bestFit="1" customWidth="1"/>
    <col min="14" max="14" width="12.6640625" style="24" customWidth="1"/>
    <col min="15" max="15" width="10.83203125" style="24" bestFit="1" customWidth="1"/>
  </cols>
  <sheetData>
    <row r="1" spans="1:18" s="7" customFormat="1" ht="28" x14ac:dyDescent="0.2">
      <c r="A1" s="1" t="s">
        <v>0</v>
      </c>
      <c r="B1" s="2"/>
      <c r="C1" s="3"/>
      <c r="D1" s="25" t="s">
        <v>1</v>
      </c>
      <c r="E1" s="25" t="s">
        <v>20</v>
      </c>
      <c r="F1" s="25" t="s">
        <v>21</v>
      </c>
      <c r="G1" s="25" t="s">
        <v>22</v>
      </c>
      <c r="H1" s="25" t="s">
        <v>23</v>
      </c>
      <c r="I1" s="26" t="s">
        <v>3</v>
      </c>
      <c r="J1" s="26" t="s">
        <v>24</v>
      </c>
      <c r="K1" s="26" t="s">
        <v>4</v>
      </c>
      <c r="L1" s="26" t="s">
        <v>5</v>
      </c>
      <c r="M1" s="26" t="s">
        <v>6</v>
      </c>
      <c r="N1" s="26" t="s">
        <v>7</v>
      </c>
      <c r="O1" s="26" t="s">
        <v>8</v>
      </c>
      <c r="P1" s="6"/>
      <c r="Q1" s="6"/>
      <c r="R1" s="6"/>
    </row>
    <row r="2" spans="1:18" x14ac:dyDescent="0.2">
      <c r="A2" s="8" t="s">
        <v>25</v>
      </c>
      <c r="B2" s="9">
        <v>60000</v>
      </c>
      <c r="C2" s="10"/>
      <c r="D2" s="11" cm="1">
        <f t="array" ref="D2:D6">_xlfn.SEQUENCE($B$9+1,,0,1)</f>
        <v>0</v>
      </c>
      <c r="E2" s="12">
        <f>$B$4</f>
        <v>60000</v>
      </c>
      <c r="F2" s="27"/>
      <c r="G2" s="27"/>
      <c r="H2" s="27"/>
      <c r="I2" s="12">
        <v>0</v>
      </c>
      <c r="J2" s="12">
        <v>0</v>
      </c>
      <c r="K2" s="12">
        <f>H2+I2+J2</f>
        <v>0</v>
      </c>
      <c r="L2" s="12">
        <v>0</v>
      </c>
      <c r="M2" s="12">
        <f>F2+I2-L2</f>
        <v>0</v>
      </c>
      <c r="N2" s="13">
        <f>1/(1+$B$11)^D2</f>
        <v>1</v>
      </c>
      <c r="O2" s="12">
        <f>M2*N2</f>
        <v>0</v>
      </c>
    </row>
    <row r="3" spans="1:18" x14ac:dyDescent="0.2">
      <c r="A3" s="8" t="s">
        <v>10</v>
      </c>
      <c r="B3" s="9">
        <v>0</v>
      </c>
      <c r="C3" s="10"/>
      <c r="D3" s="11">
        <v>1</v>
      </c>
      <c r="E3" s="12">
        <f>E2-G3</f>
        <v>45000</v>
      </c>
      <c r="F3" s="28">
        <f>G3+H3</f>
        <v>17100</v>
      </c>
      <c r="G3" s="28">
        <f>$B$4/$B$9</f>
        <v>15000</v>
      </c>
      <c r="H3" s="27">
        <f>E2*$B$7</f>
        <v>2100</v>
      </c>
      <c r="I3" s="12">
        <f>$B$6</f>
        <v>100000</v>
      </c>
      <c r="J3" s="29">
        <f>$B$15</f>
        <v>10360.767707123832</v>
      </c>
      <c r="K3" s="12">
        <f t="shared" ref="K3:K5" si="0">H3+I3+J3</f>
        <v>112460.76770712383</v>
      </c>
      <c r="L3" s="12">
        <f>$B$8*K3</f>
        <v>28115.191926780957</v>
      </c>
      <c r="M3" s="12">
        <f t="shared" ref="M3:M5" si="1">F3+I3-L3</f>
        <v>88984.808073219043</v>
      </c>
      <c r="N3" s="13">
        <f t="shared" ref="N3:N5" si="2">1/(1+$B$11)^D3</f>
        <v>0.90909090909090906</v>
      </c>
      <c r="O3" s="12">
        <f t="shared" ref="O3:O5" si="3">M3*N3</f>
        <v>80895.280066562758</v>
      </c>
    </row>
    <row r="4" spans="1:18" x14ac:dyDescent="0.2">
      <c r="A4" s="8" t="s">
        <v>26</v>
      </c>
      <c r="B4" s="9">
        <f>$B$2-$B$3</f>
        <v>60000</v>
      </c>
      <c r="C4" s="10"/>
      <c r="D4" s="11">
        <v>2</v>
      </c>
      <c r="E4" s="12">
        <f t="shared" ref="E4:E6" si="4">E3-G4</f>
        <v>30000</v>
      </c>
      <c r="F4" s="28">
        <f t="shared" ref="F4:F6" si="5">G4+H4</f>
        <v>16575</v>
      </c>
      <c r="G4" s="28">
        <f t="shared" ref="G4:G6" si="6">$B$4/$B$9</f>
        <v>15000</v>
      </c>
      <c r="H4" s="27">
        <f t="shared" ref="H4:H6" si="7">E3*$B$7</f>
        <v>1575.0000000000002</v>
      </c>
      <c r="I4" s="12">
        <f t="shared" ref="I4:I5" si="8">$B$6</f>
        <v>100000</v>
      </c>
      <c r="J4" s="29">
        <f t="shared" ref="J4:J5" si="9">$B$15</f>
        <v>10360.767707123832</v>
      </c>
      <c r="K4" s="12">
        <f t="shared" si="0"/>
        <v>111935.76770712383</v>
      </c>
      <c r="L4" s="12">
        <f t="shared" ref="L4:L5" si="10">$B$8*K4</f>
        <v>27983.941926780957</v>
      </c>
      <c r="M4" s="12">
        <f t="shared" si="1"/>
        <v>88591.058073219043</v>
      </c>
      <c r="N4" s="13">
        <f t="shared" si="2"/>
        <v>0.82644628099173545</v>
      </c>
      <c r="O4" s="12">
        <f t="shared" si="3"/>
        <v>73215.750473734734</v>
      </c>
    </row>
    <row r="5" spans="1:18" x14ac:dyDescent="0.2">
      <c r="A5" s="8" t="s">
        <v>27</v>
      </c>
      <c r="B5" s="9">
        <f>20%*$B$2</f>
        <v>12000</v>
      </c>
      <c r="C5" s="10"/>
      <c r="D5" s="11">
        <v>3</v>
      </c>
      <c r="E5" s="12">
        <f t="shared" si="4"/>
        <v>15000</v>
      </c>
      <c r="F5" s="28">
        <f t="shared" si="5"/>
        <v>16050</v>
      </c>
      <c r="G5" s="28">
        <f t="shared" si="6"/>
        <v>15000</v>
      </c>
      <c r="H5" s="27">
        <f t="shared" si="7"/>
        <v>1050</v>
      </c>
      <c r="I5" s="12">
        <f t="shared" si="8"/>
        <v>100000</v>
      </c>
      <c r="J5" s="29">
        <f t="shared" si="9"/>
        <v>10360.767707123832</v>
      </c>
      <c r="K5" s="12">
        <f t="shared" si="0"/>
        <v>111410.76770712383</v>
      </c>
      <c r="L5" s="12">
        <f t="shared" si="10"/>
        <v>27852.691926780957</v>
      </c>
      <c r="M5" s="12">
        <f t="shared" si="1"/>
        <v>88197.308073219043</v>
      </c>
      <c r="N5" s="13">
        <f t="shared" si="2"/>
        <v>0.75131480090157754</v>
      </c>
      <c r="O5" s="12">
        <f t="shared" si="3"/>
        <v>66263.942955085658</v>
      </c>
    </row>
    <row r="6" spans="1:18" x14ac:dyDescent="0.2">
      <c r="A6" s="8" t="s">
        <v>28</v>
      </c>
      <c r="B6" s="9">
        <v>100000</v>
      </c>
      <c r="C6" s="10"/>
      <c r="D6" s="11">
        <v>4</v>
      </c>
      <c r="E6" s="12">
        <f t="shared" si="4"/>
        <v>0</v>
      </c>
      <c r="F6" s="28">
        <f t="shared" si="5"/>
        <v>15525</v>
      </c>
      <c r="G6" s="28">
        <f t="shared" si="6"/>
        <v>15000</v>
      </c>
      <c r="H6" s="27">
        <f t="shared" si="7"/>
        <v>525</v>
      </c>
      <c r="I6" s="12"/>
      <c r="J6" s="29"/>
      <c r="K6" s="12"/>
      <c r="L6" s="12"/>
      <c r="M6" s="12"/>
      <c r="N6" s="13"/>
      <c r="O6" s="12"/>
    </row>
    <row r="7" spans="1:18" x14ac:dyDescent="0.2">
      <c r="A7" s="8" t="s">
        <v>29</v>
      </c>
      <c r="B7" s="14">
        <v>3.5000000000000003E-2</v>
      </c>
      <c r="C7" s="10"/>
      <c r="D7" s="11"/>
      <c r="E7" s="12"/>
      <c r="F7" s="28"/>
      <c r="G7" s="28"/>
      <c r="H7" s="27"/>
      <c r="I7" s="12"/>
      <c r="J7" s="29"/>
      <c r="K7" s="12"/>
      <c r="L7" s="12"/>
      <c r="M7" s="12"/>
      <c r="N7" s="13"/>
      <c r="O7" s="12"/>
    </row>
    <row r="8" spans="1:18" x14ac:dyDescent="0.2">
      <c r="A8" s="8" t="s">
        <v>30</v>
      </c>
      <c r="B8" s="14">
        <v>0.25</v>
      </c>
      <c r="C8" s="10"/>
      <c r="D8" s="16"/>
      <c r="E8" s="16"/>
      <c r="F8" s="16"/>
      <c r="G8" s="16"/>
      <c r="H8" s="17"/>
      <c r="I8" s="17"/>
      <c r="J8" s="17"/>
      <c r="K8" s="17"/>
      <c r="L8" s="17"/>
      <c r="M8" s="17"/>
      <c r="N8" s="17"/>
      <c r="O8" s="17"/>
    </row>
    <row r="9" spans="1:18" x14ac:dyDescent="0.2">
      <c r="A9" s="8" t="s">
        <v>31</v>
      </c>
      <c r="B9" s="30">
        <v>4</v>
      </c>
      <c r="C9" s="10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</row>
    <row r="10" spans="1:18" x14ac:dyDescent="0.2">
      <c r="A10" s="8" t="s">
        <v>32</v>
      </c>
      <c r="B10" s="30">
        <v>5</v>
      </c>
      <c r="C10" s="10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</row>
    <row r="11" spans="1:18" ht="17" thickBot="1" x14ac:dyDescent="0.25">
      <c r="A11" s="18" t="s">
        <v>33</v>
      </c>
      <c r="B11" s="19">
        <v>0.1</v>
      </c>
      <c r="C11" s="10"/>
      <c r="D11" s="16"/>
      <c r="E11" s="16"/>
      <c r="F11" s="16"/>
      <c r="G11" s="16"/>
      <c r="H11" s="17"/>
      <c r="I11" s="17"/>
      <c r="J11" s="17"/>
      <c r="K11" s="17"/>
      <c r="L11" s="17"/>
      <c r="M11" s="17"/>
      <c r="N11" s="17"/>
      <c r="O11" s="17"/>
    </row>
    <row r="12" spans="1:18" x14ac:dyDescent="0.2">
      <c r="A12" s="31"/>
      <c r="B12" s="32"/>
      <c r="C12" s="10"/>
      <c r="D12" s="16"/>
      <c r="E12" s="16"/>
      <c r="F12" s="16"/>
      <c r="G12" s="16"/>
      <c r="H12" s="17"/>
      <c r="I12" s="17"/>
      <c r="J12" s="17"/>
      <c r="K12" s="17"/>
      <c r="L12" s="17"/>
      <c r="M12" s="17"/>
      <c r="N12" s="17"/>
      <c r="O12" s="17"/>
    </row>
    <row r="13" spans="1:18" ht="17" thickBot="1" x14ac:dyDescent="0.25">
      <c r="A13" s="31"/>
      <c r="B13" s="32"/>
      <c r="C13" s="10"/>
      <c r="D13" s="16"/>
      <c r="E13" s="16"/>
      <c r="F13" s="16"/>
      <c r="G13" s="16"/>
      <c r="H13" s="17"/>
      <c r="I13" s="17"/>
      <c r="J13" s="17"/>
      <c r="K13" s="17"/>
      <c r="L13" s="17"/>
      <c r="M13" s="17"/>
      <c r="N13" s="17"/>
      <c r="O13" s="17"/>
    </row>
    <row r="14" spans="1:18" ht="17" thickBot="1" x14ac:dyDescent="0.25">
      <c r="A14" s="20" t="s">
        <v>17</v>
      </c>
      <c r="B14" s="33">
        <f>PMT($B$7,B9,-$B$4,,0)</f>
        <v>16335.068369698844</v>
      </c>
      <c r="C14" s="10"/>
      <c r="D14" s="16"/>
      <c r="E14" s="16"/>
      <c r="F14" s="16"/>
      <c r="G14" s="16"/>
      <c r="H14" s="17"/>
      <c r="I14" s="17"/>
      <c r="J14" s="17"/>
      <c r="K14" s="17"/>
      <c r="L14" s="17"/>
      <c r="M14" s="17"/>
      <c r="N14" s="17"/>
      <c r="O14" s="17"/>
    </row>
    <row r="15" spans="1:18" ht="17" thickBot="1" x14ac:dyDescent="0.25">
      <c r="A15" s="20" t="s">
        <v>24</v>
      </c>
      <c r="B15" s="33">
        <f>($B$2-$B$5/(1+$B$11)^$B$9)/$B$10</f>
        <v>10360.767707123832</v>
      </c>
      <c r="C15" s="10"/>
      <c r="D15" s="16"/>
      <c r="E15" s="16"/>
      <c r="F15" s="16"/>
      <c r="G15" s="16"/>
      <c r="H15" s="17"/>
      <c r="I15" s="17"/>
      <c r="J15" s="17"/>
      <c r="K15" s="17"/>
      <c r="L15" s="17"/>
      <c r="M15" s="17"/>
      <c r="N15" s="17"/>
      <c r="O15" s="17"/>
    </row>
    <row r="16" spans="1:18" ht="17" thickBot="1" x14ac:dyDescent="0.25">
      <c r="A16" s="10"/>
      <c r="B16" s="10"/>
      <c r="C16" s="10"/>
      <c r="D16" s="16"/>
      <c r="E16" s="16"/>
      <c r="F16" s="16"/>
      <c r="G16" s="16"/>
      <c r="H16" s="17"/>
      <c r="I16" s="17"/>
      <c r="J16" s="17"/>
      <c r="K16" s="17"/>
      <c r="L16" s="17"/>
      <c r="M16" s="17"/>
      <c r="N16" s="17"/>
      <c r="O16" s="17"/>
    </row>
    <row r="17" spans="1:15" ht="17" thickBot="1" x14ac:dyDescent="0.25">
      <c r="A17" s="22" t="s">
        <v>18</v>
      </c>
      <c r="B17" s="21">
        <f>SUM(O2:O7)</f>
        <v>220374.97349538316</v>
      </c>
      <c r="C17" s="10"/>
      <c r="D17" s="16"/>
      <c r="E17" s="16"/>
      <c r="F17" s="16"/>
      <c r="G17" s="16"/>
      <c r="H17" s="17"/>
      <c r="I17" s="17"/>
      <c r="J17" s="17"/>
      <c r="K17" s="17"/>
      <c r="L17" s="17"/>
      <c r="M17" s="17"/>
      <c r="N17" s="17"/>
      <c r="O17" s="17"/>
    </row>
    <row r="18" spans="1:15" ht="17" thickBot="1" x14ac:dyDescent="0.25">
      <c r="A18" s="22" t="s">
        <v>34</v>
      </c>
      <c r="B18" s="21">
        <f>$B$17+$B$3-B5/(1+$B$11)^$B$9</f>
        <v>212178.81203100231</v>
      </c>
      <c r="C18" s="10"/>
      <c r="D18" s="16"/>
      <c r="E18" s="16"/>
      <c r="F18" s="16"/>
      <c r="G18" s="16"/>
      <c r="H18" s="17"/>
      <c r="I18" s="17"/>
      <c r="J18" s="17"/>
      <c r="K18" s="17"/>
      <c r="L18" s="17"/>
      <c r="M18" s="17"/>
      <c r="N18" s="17"/>
      <c r="O18" s="17"/>
    </row>
    <row r="19" spans="1:15" x14ac:dyDescent="0.2">
      <c r="A19" s="10"/>
      <c r="B19" s="10"/>
      <c r="C19" s="10"/>
      <c r="D19" s="16"/>
      <c r="E19" s="16"/>
      <c r="F19" s="16"/>
      <c r="G19" s="16"/>
      <c r="H19" s="17"/>
      <c r="I19" s="17"/>
      <c r="J19" s="17"/>
      <c r="K19" s="17"/>
      <c r="L19" s="17"/>
      <c r="M19" s="17"/>
      <c r="N19" s="17"/>
      <c r="O19" s="1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86B4-EB38-424B-AB0C-A90A4E4F6E43}">
  <dimension ref="A3:I44"/>
  <sheetViews>
    <sheetView zoomScale="135" zoomScaleNormal="160" workbookViewId="0">
      <selection activeCell="B20" sqref="B20"/>
    </sheetView>
  </sheetViews>
  <sheetFormatPr baseColWidth="10" defaultColWidth="10.83203125" defaultRowHeight="15" x14ac:dyDescent="0.2"/>
  <cols>
    <col min="1" max="1" width="23.33203125" style="38" customWidth="1"/>
    <col min="2" max="2" width="30.1640625" style="38" customWidth="1"/>
    <col min="3" max="4" width="10.83203125" style="38"/>
    <col min="5" max="5" width="14.5" style="38" bestFit="1" customWidth="1"/>
    <col min="6" max="6" width="13.33203125" style="38" customWidth="1"/>
    <col min="7" max="7" width="10.83203125" style="38"/>
    <col min="8" max="8" width="10.1640625" style="38" customWidth="1"/>
    <col min="9" max="16384" width="10.83203125" style="38"/>
  </cols>
  <sheetData>
    <row r="3" spans="1:9" x14ac:dyDescent="0.2">
      <c r="B3" s="173" t="s">
        <v>35</v>
      </c>
      <c r="C3" s="173"/>
    </row>
    <row r="4" spans="1:9" x14ac:dyDescent="0.2">
      <c r="A4" s="38" t="s">
        <v>71</v>
      </c>
      <c r="B4" s="39" t="s">
        <v>36</v>
      </c>
      <c r="C4" s="39">
        <v>4000</v>
      </c>
    </row>
    <row r="5" spans="1:9" ht="16" x14ac:dyDescent="0.2">
      <c r="B5" s="39" t="s">
        <v>37</v>
      </c>
      <c r="C5" s="39">
        <v>24</v>
      </c>
      <c r="E5" s="38" t="s">
        <v>38</v>
      </c>
      <c r="F5" s="40">
        <f>C4/C4</f>
        <v>1</v>
      </c>
    </row>
    <row r="6" spans="1:9" x14ac:dyDescent="0.2">
      <c r="B6" s="39" t="s">
        <v>39</v>
      </c>
      <c r="C6" s="61">
        <v>3.3198999999999999E-2</v>
      </c>
    </row>
    <row r="7" spans="1:9" x14ac:dyDescent="0.2">
      <c r="B7" s="39" t="s">
        <v>58</v>
      </c>
      <c r="C7" s="58"/>
      <c r="E7" s="39" t="s">
        <v>40</v>
      </c>
      <c r="F7" s="41">
        <v>0.05</v>
      </c>
    </row>
    <row r="8" spans="1:9" x14ac:dyDescent="0.2">
      <c r="B8" s="39" t="s">
        <v>59</v>
      </c>
      <c r="C8" s="39">
        <v>100</v>
      </c>
      <c r="E8" s="39" t="s">
        <v>41</v>
      </c>
      <c r="F8" s="42">
        <f>PV(F7,$C$5,-$C$13,-$C$4,0)</f>
        <v>3072.6760768527038</v>
      </c>
      <c r="I8" s="38" t="s">
        <v>42</v>
      </c>
    </row>
    <row r="9" spans="1:9" ht="16" x14ac:dyDescent="0.2">
      <c r="B9" s="39" t="s">
        <v>60</v>
      </c>
      <c r="C9" s="39">
        <f>C10-C8</f>
        <v>3500</v>
      </c>
      <c r="E9" s="39" t="s">
        <v>43</v>
      </c>
      <c r="F9" s="43">
        <f>F8/C4</f>
        <v>0.76816901921317593</v>
      </c>
      <c r="I9" s="38" t="s">
        <v>44</v>
      </c>
    </row>
    <row r="10" spans="1:9" x14ac:dyDescent="0.2">
      <c r="B10" s="39" t="s">
        <v>61</v>
      </c>
      <c r="C10" s="39">
        <f>0.9*C4</f>
        <v>3600</v>
      </c>
    </row>
    <row r="11" spans="1:9" x14ac:dyDescent="0.2">
      <c r="E11" s="38" t="s">
        <v>55</v>
      </c>
      <c r="F11" s="44"/>
    </row>
    <row r="12" spans="1:9" x14ac:dyDescent="0.2">
      <c r="B12" s="38" t="s">
        <v>65</v>
      </c>
      <c r="C12" s="60">
        <f>PMT(C6,C5,-C4,,0)</f>
        <v>244.40283264621746</v>
      </c>
    </row>
    <row r="13" spans="1:9" x14ac:dyDescent="0.2">
      <c r="B13" s="49" t="s">
        <v>45</v>
      </c>
      <c r="C13" s="39">
        <f>C4*C6</f>
        <v>132.79599999999999</v>
      </c>
    </row>
    <row r="16" spans="1:9" x14ac:dyDescent="0.2">
      <c r="A16" s="38" t="s">
        <v>67</v>
      </c>
      <c r="B16" s="59">
        <f>C13/0.15</f>
        <v>885.30666666666662</v>
      </c>
      <c r="C16" s="38" t="s">
        <v>68</v>
      </c>
    </row>
    <row r="17" spans="1:8" x14ac:dyDescent="0.2">
      <c r="A17" s="38" t="s">
        <v>69</v>
      </c>
      <c r="B17" s="59">
        <f>PV(0.06,C5,0,-C4)</f>
        <v>987.91419333651584</v>
      </c>
      <c r="E17" s="39" t="s">
        <v>40</v>
      </c>
      <c r="F17" s="41">
        <v>0.06</v>
      </c>
    </row>
    <row r="18" spans="1:8" x14ac:dyDescent="0.2">
      <c r="A18" s="38" t="s">
        <v>70</v>
      </c>
      <c r="B18" s="59">
        <f>PV(0.12,3,C13,C4)</f>
        <v>-3166.0745763483956</v>
      </c>
      <c r="E18" s="39" t="s">
        <v>41</v>
      </c>
      <c r="F18" s="42">
        <f>PV(F17,$C$5,-$C$13,-$C$4,0)</f>
        <v>2654.5514715935328</v>
      </c>
    </row>
    <row r="19" spans="1:8" ht="16" x14ac:dyDescent="0.2">
      <c r="E19" s="39" t="s">
        <v>43</v>
      </c>
      <c r="F19" s="43">
        <f>F18/C4</f>
        <v>0.66363786789838319</v>
      </c>
      <c r="H19" s="38" t="s">
        <v>56</v>
      </c>
    </row>
    <row r="20" spans="1:8" x14ac:dyDescent="0.2">
      <c r="A20" s="38" t="s">
        <v>62</v>
      </c>
      <c r="B20" s="62">
        <f>RATE(C5,-C12,C9)</f>
        <v>4.6219861949487219E-2</v>
      </c>
    </row>
    <row r="21" spans="1:8" x14ac:dyDescent="0.2">
      <c r="A21" s="38" t="s">
        <v>63</v>
      </c>
      <c r="B21" s="57">
        <f>B20*(1-C7)</f>
        <v>4.6219861949487219E-2</v>
      </c>
    </row>
    <row r="22" spans="1:8" ht="16" x14ac:dyDescent="0.2">
      <c r="A22" s="38" t="s">
        <v>64</v>
      </c>
      <c r="B22" s="56">
        <f>C13/C10</f>
        <v>3.6887777777777776E-2</v>
      </c>
      <c r="G22" s="45"/>
    </row>
    <row r="23" spans="1:8" x14ac:dyDescent="0.2">
      <c r="A23" s="38" t="s">
        <v>66</v>
      </c>
      <c r="B23" s="62">
        <f>RATE(C5,C12,-C10)</f>
        <v>4.3399906724846365E-2</v>
      </c>
    </row>
    <row r="26" spans="1:8" x14ac:dyDescent="0.2">
      <c r="E26" s="39" t="s">
        <v>40</v>
      </c>
      <c r="F26" s="46">
        <f>RATE(C5,C13,-F27,C4,0)</f>
        <v>-8.0814396521843843E-2</v>
      </c>
      <c r="G26" s="38" t="s">
        <v>46</v>
      </c>
      <c r="H26" s="47"/>
    </row>
    <row r="27" spans="1:8" ht="16" x14ac:dyDescent="0.2">
      <c r="E27" s="39" t="s">
        <v>47</v>
      </c>
      <c r="F27" s="48">
        <v>41000</v>
      </c>
      <c r="H27" s="38" t="s">
        <v>57</v>
      </c>
    </row>
    <row r="34" spans="5:6" x14ac:dyDescent="0.2">
      <c r="E34" s="39" t="s">
        <v>48</v>
      </c>
      <c r="F34" s="39">
        <v>1500</v>
      </c>
    </row>
    <row r="35" spans="5:6" x14ac:dyDescent="0.2">
      <c r="E35" s="39" t="s">
        <v>49</v>
      </c>
      <c r="F35" s="41">
        <v>0.05</v>
      </c>
    </row>
    <row r="36" spans="5:6" x14ac:dyDescent="0.2">
      <c r="E36" s="39" t="s">
        <v>50</v>
      </c>
      <c r="F36" s="39">
        <v>75</v>
      </c>
    </row>
    <row r="37" spans="5:6" x14ac:dyDescent="0.2">
      <c r="E37" s="39" t="s">
        <v>51</v>
      </c>
      <c r="F37" s="39">
        <v>1900</v>
      </c>
    </row>
    <row r="38" spans="5:6" x14ac:dyDescent="0.2">
      <c r="E38" s="39" t="s">
        <v>52</v>
      </c>
      <c r="F38" s="39">
        <v>100</v>
      </c>
    </row>
    <row r="39" spans="5:6" x14ac:dyDescent="0.2">
      <c r="E39" s="39" t="s">
        <v>31</v>
      </c>
      <c r="F39" s="39">
        <v>10</v>
      </c>
    </row>
    <row r="43" spans="5:6" x14ac:dyDescent="0.2">
      <c r="E43" s="46" t="s">
        <v>53</v>
      </c>
      <c r="F43" s="39">
        <f>F37-F38</f>
        <v>1800</v>
      </c>
    </row>
    <row r="44" spans="5:6" x14ac:dyDescent="0.2">
      <c r="E44" s="39" t="s">
        <v>54</v>
      </c>
      <c r="F44" s="46">
        <f>RATE(F39,F36,-F43,F34,0)</f>
        <v>2.6920847251004552E-2</v>
      </c>
    </row>
  </sheetData>
  <mergeCells count="1">
    <mergeCell ref="B3:C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085C-5C7B-5F4B-B081-CD709F769005}">
  <dimension ref="A1:G13"/>
  <sheetViews>
    <sheetView zoomScale="160" zoomScaleNormal="160" workbookViewId="0">
      <selection activeCell="B2" sqref="B2:G3"/>
    </sheetView>
  </sheetViews>
  <sheetFormatPr baseColWidth="10" defaultRowHeight="16" x14ac:dyDescent="0.2"/>
  <cols>
    <col min="1" max="1" width="9.5" bestFit="1" customWidth="1"/>
    <col min="2" max="2" width="13.83203125" bestFit="1" customWidth="1"/>
  </cols>
  <sheetData>
    <row r="1" spans="1:7" ht="17" thickBot="1" x14ac:dyDescent="0.25">
      <c r="A1" s="70" t="s">
        <v>81</v>
      </c>
    </row>
    <row r="2" spans="1:7" x14ac:dyDescent="0.2">
      <c r="A2" s="64" t="s">
        <v>75</v>
      </c>
      <c r="B2" s="65" t="s">
        <v>72</v>
      </c>
      <c r="C2" s="65" t="s">
        <v>73</v>
      </c>
      <c r="D2" s="65" t="s">
        <v>74</v>
      </c>
      <c r="E2" s="65" t="s">
        <v>78</v>
      </c>
      <c r="F2" s="65" t="s">
        <v>79</v>
      </c>
      <c r="G2" s="68" t="s">
        <v>80</v>
      </c>
    </row>
    <row r="3" spans="1:7" ht="17" thickBot="1" x14ac:dyDescent="0.25">
      <c r="A3" s="63">
        <v>0.12</v>
      </c>
      <c r="B3" s="69">
        <v>3000</v>
      </c>
      <c r="C3" s="69">
        <v>0</v>
      </c>
      <c r="D3" s="69">
        <v>0</v>
      </c>
      <c r="E3" s="69">
        <v>5500</v>
      </c>
      <c r="F3" s="69">
        <v>0</v>
      </c>
      <c r="G3" s="69">
        <v>0</v>
      </c>
    </row>
    <row r="4" spans="1:7" ht="17" thickBot="1" x14ac:dyDescent="0.25"/>
    <row r="5" spans="1:7" x14ac:dyDescent="0.2">
      <c r="A5" s="66" t="s">
        <v>77</v>
      </c>
      <c r="B5" s="78">
        <f>NPV(A3,C3:E3)</f>
        <v>3914.7913629737604</v>
      </c>
    </row>
    <row r="6" spans="1:7" ht="17" thickBot="1" x14ac:dyDescent="0.25">
      <c r="A6" s="67" t="s">
        <v>76</v>
      </c>
      <c r="B6" s="79">
        <f>-B3+B5</f>
        <v>914.79136297376044</v>
      </c>
    </row>
    <row r="7" spans="1:7" ht="17" thickBot="1" x14ac:dyDescent="0.25"/>
    <row r="8" spans="1:7" ht="17" thickBot="1" x14ac:dyDescent="0.25">
      <c r="A8" s="70" t="s">
        <v>82</v>
      </c>
    </row>
    <row r="9" spans="1:7" x14ac:dyDescent="0.2">
      <c r="A9" s="64" t="s">
        <v>75</v>
      </c>
      <c r="B9" s="65" t="s">
        <v>72</v>
      </c>
      <c r="C9" s="65" t="s">
        <v>73</v>
      </c>
      <c r="D9" s="65" t="s">
        <v>74</v>
      </c>
      <c r="E9" s="65" t="s">
        <v>78</v>
      </c>
      <c r="F9" s="65" t="s">
        <v>79</v>
      </c>
      <c r="G9" s="68" t="s">
        <v>80</v>
      </c>
    </row>
    <row r="10" spans="1:7" ht="17" thickBot="1" x14ac:dyDescent="0.25">
      <c r="A10" s="63">
        <v>0.12</v>
      </c>
      <c r="B10" s="69">
        <v>3000</v>
      </c>
      <c r="C10" s="69">
        <v>1600</v>
      </c>
      <c r="D10" s="69">
        <v>1600</v>
      </c>
      <c r="E10" s="69">
        <v>1600</v>
      </c>
      <c r="F10" s="69">
        <v>0</v>
      </c>
      <c r="G10" s="69"/>
    </row>
    <row r="11" spans="1:7" ht="17" thickBot="1" x14ac:dyDescent="0.25"/>
    <row r="12" spans="1:7" x14ac:dyDescent="0.2">
      <c r="A12" s="66" t="s">
        <v>77</v>
      </c>
      <c r="B12" s="78">
        <f>NPV(A10,C10:E10)</f>
        <v>3842.9300291545187</v>
      </c>
      <c r="E12" s="80"/>
    </row>
    <row r="13" spans="1:7" ht="17" thickBot="1" x14ac:dyDescent="0.25">
      <c r="A13" s="67" t="s">
        <v>76</v>
      </c>
      <c r="B13" s="79">
        <f>-B10+B12</f>
        <v>842.93002915451871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19CB-3A1A-A34B-B7D4-E9273C124716}">
  <dimension ref="A1:G13"/>
  <sheetViews>
    <sheetView zoomScale="160" zoomScaleNormal="160" workbookViewId="0">
      <selection activeCell="B5" sqref="B5"/>
    </sheetView>
  </sheetViews>
  <sheetFormatPr baseColWidth="10" defaultRowHeight="16" x14ac:dyDescent="0.2"/>
  <cols>
    <col min="2" max="2" width="14" bestFit="1" customWidth="1"/>
  </cols>
  <sheetData>
    <row r="1" spans="1:7" ht="17" thickBot="1" x14ac:dyDescent="0.25">
      <c r="A1" s="70" t="s">
        <v>81</v>
      </c>
    </row>
    <row r="2" spans="1:7" x14ac:dyDescent="0.2">
      <c r="A2" s="71"/>
      <c r="B2" s="64" t="s">
        <v>72</v>
      </c>
      <c r="C2" s="65" t="s">
        <v>73</v>
      </c>
      <c r="D2" s="65" t="s">
        <v>74</v>
      </c>
      <c r="E2" s="65" t="s">
        <v>78</v>
      </c>
      <c r="F2" s="65" t="s">
        <v>79</v>
      </c>
      <c r="G2" s="68" t="s">
        <v>80</v>
      </c>
    </row>
    <row r="3" spans="1:7" ht="17" thickBot="1" x14ac:dyDescent="0.25">
      <c r="A3" s="72"/>
      <c r="B3" s="73">
        <v>-150</v>
      </c>
      <c r="C3" s="69">
        <v>83</v>
      </c>
      <c r="D3" s="69">
        <v>45</v>
      </c>
      <c r="E3" s="69">
        <v>35</v>
      </c>
      <c r="F3" s="69">
        <v>0</v>
      </c>
      <c r="G3" s="74">
        <v>0</v>
      </c>
    </row>
    <row r="4" spans="1:7" ht="17" thickBot="1" x14ac:dyDescent="0.25"/>
    <row r="5" spans="1:7" ht="17" thickBot="1" x14ac:dyDescent="0.25">
      <c r="A5" s="76" t="s">
        <v>83</v>
      </c>
      <c r="B5" s="77">
        <f>IRR(B3:E3)</f>
        <v>5.0410672084391095E-2</v>
      </c>
    </row>
    <row r="6" spans="1:7" x14ac:dyDescent="0.2">
      <c r="A6" s="71"/>
      <c r="B6" s="75"/>
    </row>
    <row r="7" spans="1:7" ht="17" thickBot="1" x14ac:dyDescent="0.25"/>
    <row r="8" spans="1:7" ht="17" thickBot="1" x14ac:dyDescent="0.25">
      <c r="A8" s="70" t="s">
        <v>82</v>
      </c>
    </row>
    <row r="9" spans="1:7" x14ac:dyDescent="0.2">
      <c r="A9" s="71"/>
      <c r="B9" s="64" t="s">
        <v>72</v>
      </c>
      <c r="C9" s="65" t="s">
        <v>73</v>
      </c>
      <c r="D9" s="65" t="s">
        <v>74</v>
      </c>
      <c r="E9" s="65" t="s">
        <v>78</v>
      </c>
      <c r="F9" s="65" t="s">
        <v>79</v>
      </c>
      <c r="G9" s="68" t="s">
        <v>80</v>
      </c>
    </row>
    <row r="10" spans="1:7" ht="17" thickBot="1" x14ac:dyDescent="0.25">
      <c r="A10" s="72"/>
      <c r="B10" s="73">
        <v>-3000</v>
      </c>
      <c r="C10" s="69">
        <v>1600</v>
      </c>
      <c r="D10" s="69">
        <v>1600</v>
      </c>
      <c r="E10" s="69">
        <v>1600</v>
      </c>
      <c r="F10" s="69">
        <v>0</v>
      </c>
      <c r="G10" s="74">
        <v>0</v>
      </c>
    </row>
    <row r="11" spans="1:7" ht="17" thickBot="1" x14ac:dyDescent="0.25"/>
    <row r="12" spans="1:7" ht="17" thickBot="1" x14ac:dyDescent="0.25">
      <c r="A12" s="76" t="s">
        <v>83</v>
      </c>
      <c r="B12" s="77">
        <f>IRR(B10:E10)</f>
        <v>0.27756066744811991</v>
      </c>
    </row>
    <row r="13" spans="1:7" x14ac:dyDescent="0.2">
      <c r="A13" s="71"/>
      <c r="B13" s="7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00EB-EFEB-A244-9958-A1798DFBD526}">
  <dimension ref="A15:AB116"/>
  <sheetViews>
    <sheetView zoomScale="89" workbookViewId="0">
      <selection activeCell="Y84" sqref="Y84"/>
    </sheetView>
  </sheetViews>
  <sheetFormatPr baseColWidth="10" defaultColWidth="9.1640625" defaultRowHeight="16" x14ac:dyDescent="0.2"/>
  <cols>
    <col min="1" max="1" width="16.5" customWidth="1"/>
    <col min="3" max="3" width="13.6640625" bestFit="1" customWidth="1"/>
    <col min="4" max="4" width="18.1640625" bestFit="1" customWidth="1"/>
    <col min="5" max="5" width="13.5" bestFit="1" customWidth="1"/>
    <col min="6" max="6" width="23.5" bestFit="1" customWidth="1"/>
  </cols>
  <sheetData>
    <row r="15" spans="2:7" x14ac:dyDescent="0.2">
      <c r="B15" s="81" t="s">
        <v>84</v>
      </c>
      <c r="C15" s="81" t="s">
        <v>85</v>
      </c>
      <c r="D15" s="81" t="s">
        <v>86</v>
      </c>
      <c r="F15" s="82" t="s">
        <v>87</v>
      </c>
    </row>
    <row r="16" spans="2:7" x14ac:dyDescent="0.2">
      <c r="B16" s="83">
        <v>0</v>
      </c>
      <c r="C16" s="83">
        <v>-10000</v>
      </c>
      <c r="D16" s="83">
        <v>-10000</v>
      </c>
      <c r="F16" s="84" t="s">
        <v>88</v>
      </c>
      <c r="G16" s="84">
        <v>10000</v>
      </c>
    </row>
    <row r="17" spans="1:18" x14ac:dyDescent="0.2">
      <c r="B17" s="83">
        <v>1</v>
      </c>
      <c r="C17" s="83">
        <v>3000</v>
      </c>
      <c r="D17" s="83">
        <v>5000</v>
      </c>
      <c r="F17" s="84" t="s">
        <v>89</v>
      </c>
      <c r="G17" s="84">
        <v>4000</v>
      </c>
    </row>
    <row r="18" spans="1:18" x14ac:dyDescent="0.2">
      <c r="B18" s="83">
        <v>2</v>
      </c>
      <c r="C18" s="83">
        <v>4000</v>
      </c>
      <c r="D18" s="83">
        <v>3000</v>
      </c>
      <c r="F18" s="84" t="s">
        <v>90</v>
      </c>
      <c r="G18" s="84">
        <v>6000</v>
      </c>
    </row>
    <row r="19" spans="1:18" x14ac:dyDescent="0.2">
      <c r="B19" s="83">
        <v>3</v>
      </c>
      <c r="C19" s="83">
        <v>5000</v>
      </c>
      <c r="D19" s="83">
        <v>2000</v>
      </c>
      <c r="F19" s="84" t="s">
        <v>91</v>
      </c>
      <c r="G19" s="85">
        <v>2.5000000000000001E-2</v>
      </c>
    </row>
    <row r="20" spans="1:18" x14ac:dyDescent="0.2">
      <c r="B20" s="83">
        <v>4</v>
      </c>
      <c r="C20" s="83">
        <v>2000</v>
      </c>
      <c r="D20" s="83">
        <v>1500</v>
      </c>
      <c r="F20" s="84" t="s">
        <v>92</v>
      </c>
      <c r="G20" s="86">
        <v>0.15</v>
      </c>
    </row>
    <row r="21" spans="1:18" x14ac:dyDescent="0.2">
      <c r="B21" s="83">
        <v>5</v>
      </c>
      <c r="C21" s="83">
        <v>1000</v>
      </c>
      <c r="D21" s="83">
        <v>4000</v>
      </c>
    </row>
    <row r="22" spans="1:18" ht="32" x14ac:dyDescent="0.2">
      <c r="P22" s="81" t="s">
        <v>84</v>
      </c>
      <c r="Q22" s="81" t="s">
        <v>120</v>
      </c>
      <c r="R22" s="81" t="s">
        <v>121</v>
      </c>
    </row>
    <row r="23" spans="1:18" x14ac:dyDescent="0.2">
      <c r="P23" s="83">
        <v>0</v>
      </c>
      <c r="Q23" s="83">
        <v>-900</v>
      </c>
      <c r="R23" s="83">
        <v>-800</v>
      </c>
    </row>
    <row r="24" spans="1:18" x14ac:dyDescent="0.2">
      <c r="P24" s="83">
        <v>1</v>
      </c>
      <c r="Q24" s="83">
        <v>300</v>
      </c>
      <c r="R24" s="83">
        <v>400</v>
      </c>
    </row>
    <row r="25" spans="1:18" x14ac:dyDescent="0.2">
      <c r="P25" s="83">
        <v>2</v>
      </c>
      <c r="Q25" s="83">
        <v>400</v>
      </c>
      <c r="R25" s="83">
        <v>100</v>
      </c>
    </row>
    <row r="26" spans="1:18" x14ac:dyDescent="0.2">
      <c r="P26" s="83">
        <v>3</v>
      </c>
      <c r="Q26" s="83">
        <v>0</v>
      </c>
      <c r="R26" s="83">
        <v>600</v>
      </c>
    </row>
    <row r="27" spans="1:18" x14ac:dyDescent="0.2">
      <c r="P27" s="83">
        <v>4</v>
      </c>
      <c r="Q27" s="83">
        <v>500</v>
      </c>
      <c r="R27" s="83"/>
    </row>
    <row r="30" spans="1:18" x14ac:dyDescent="0.2">
      <c r="A30" s="87" t="s">
        <v>93</v>
      </c>
      <c r="B30" s="37"/>
      <c r="C30" s="37"/>
      <c r="D30" s="37">
        <v>10000</v>
      </c>
      <c r="P30" t="s">
        <v>122</v>
      </c>
    </row>
    <row r="32" spans="1:18" x14ac:dyDescent="0.2">
      <c r="B32" t="s">
        <v>94</v>
      </c>
      <c r="C32" s="40">
        <f>G19*(G17/D30)+G20*(G18/D30)</f>
        <v>0.1</v>
      </c>
      <c r="P32" t="s">
        <v>123</v>
      </c>
      <c r="Q32">
        <v>12</v>
      </c>
    </row>
    <row r="33" spans="2:28" ht="17" thickBot="1" x14ac:dyDescent="0.25"/>
    <row r="34" spans="2:28" x14ac:dyDescent="0.2">
      <c r="P34" s="132" t="s">
        <v>81</v>
      </c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6"/>
    </row>
    <row r="35" spans="2:28" ht="17" thickBot="1" x14ac:dyDescent="0.25">
      <c r="P35" s="129">
        <v>0</v>
      </c>
      <c r="Q35" s="130">
        <v>1</v>
      </c>
      <c r="R35" s="130">
        <v>2</v>
      </c>
      <c r="S35" s="130">
        <v>3</v>
      </c>
      <c r="T35" s="130">
        <v>4</v>
      </c>
      <c r="U35" s="130">
        <v>5</v>
      </c>
      <c r="V35" s="130">
        <v>6</v>
      </c>
      <c r="W35" s="130">
        <v>7</v>
      </c>
      <c r="X35" s="130">
        <v>8</v>
      </c>
      <c r="Y35" s="130">
        <v>9</v>
      </c>
      <c r="Z35" s="130">
        <v>10</v>
      </c>
      <c r="AA35" s="130">
        <v>11</v>
      </c>
      <c r="AB35" s="131">
        <v>12</v>
      </c>
    </row>
    <row r="36" spans="2:28" x14ac:dyDescent="0.2">
      <c r="P36" s="133">
        <v>-900</v>
      </c>
      <c r="Q36" s="134">
        <v>300</v>
      </c>
      <c r="R36" s="134">
        <v>400</v>
      </c>
      <c r="S36" s="134">
        <v>0</v>
      </c>
      <c r="T36" s="134">
        <v>500</v>
      </c>
      <c r="AB36" s="103"/>
    </row>
    <row r="37" spans="2:28" x14ac:dyDescent="0.2">
      <c r="P37" s="102"/>
      <c r="T37">
        <v>-900</v>
      </c>
      <c r="U37">
        <v>300</v>
      </c>
      <c r="V37">
        <v>400</v>
      </c>
      <c r="W37">
        <v>0</v>
      </c>
      <c r="X37">
        <v>500</v>
      </c>
      <c r="AB37" s="103"/>
    </row>
    <row r="38" spans="2:28" ht="17" thickBot="1" x14ac:dyDescent="0.25">
      <c r="P38" s="104"/>
      <c r="Q38" s="127"/>
      <c r="R38" s="127"/>
      <c r="S38" s="127"/>
      <c r="T38" s="127"/>
      <c r="U38" s="127"/>
      <c r="V38" s="127"/>
      <c r="W38" s="127"/>
      <c r="X38" s="127">
        <v>-900</v>
      </c>
      <c r="Y38" s="127">
        <v>300</v>
      </c>
      <c r="Z38" s="127">
        <v>400</v>
      </c>
      <c r="AA38" s="127">
        <v>0</v>
      </c>
      <c r="AB38" s="128">
        <v>500</v>
      </c>
    </row>
    <row r="39" spans="2:28" x14ac:dyDescent="0.2">
      <c r="O39" t="s">
        <v>140</v>
      </c>
      <c r="P39">
        <f>SUM(P36:P38)</f>
        <v>-900</v>
      </c>
      <c r="Q39">
        <f t="shared" ref="Q39:AB39" si="0">SUM(Q36:Q38)</f>
        <v>300</v>
      </c>
      <c r="R39">
        <f t="shared" si="0"/>
        <v>400</v>
      </c>
      <c r="S39">
        <f t="shared" si="0"/>
        <v>0</v>
      </c>
      <c r="T39">
        <f t="shared" si="0"/>
        <v>-400</v>
      </c>
      <c r="U39">
        <f t="shared" si="0"/>
        <v>300</v>
      </c>
      <c r="V39">
        <f t="shared" si="0"/>
        <v>400</v>
      </c>
      <c r="W39">
        <f t="shared" si="0"/>
        <v>0</v>
      </c>
      <c r="X39">
        <f t="shared" si="0"/>
        <v>-400</v>
      </c>
      <c r="Y39">
        <f t="shared" si="0"/>
        <v>300</v>
      </c>
      <c r="Z39">
        <f t="shared" si="0"/>
        <v>400</v>
      </c>
      <c r="AA39">
        <f t="shared" si="0"/>
        <v>0</v>
      </c>
      <c r="AB39">
        <f t="shared" si="0"/>
        <v>500</v>
      </c>
    </row>
    <row r="40" spans="2:28" x14ac:dyDescent="0.2">
      <c r="B40" s="88" t="s">
        <v>84</v>
      </c>
      <c r="C40" s="89" t="s">
        <v>95</v>
      </c>
      <c r="D40" s="89" t="s">
        <v>96</v>
      </c>
      <c r="E40" s="90" t="s">
        <v>97</v>
      </c>
      <c r="F40" s="90" t="s">
        <v>98</v>
      </c>
    </row>
    <row r="41" spans="2:28" x14ac:dyDescent="0.2">
      <c r="B41" s="91">
        <v>0</v>
      </c>
      <c r="C41" s="37">
        <v>-10000</v>
      </c>
      <c r="D41" s="37">
        <f>C41</f>
        <v>-10000</v>
      </c>
      <c r="E41" s="37">
        <v>-10000</v>
      </c>
      <c r="F41" s="37">
        <f>E41</f>
        <v>-10000</v>
      </c>
    </row>
    <row r="42" spans="2:28" x14ac:dyDescent="0.2">
      <c r="B42" s="91">
        <v>1</v>
      </c>
      <c r="C42" s="37">
        <v>3000</v>
      </c>
      <c r="D42" s="37">
        <f>D41+C42</f>
        <v>-7000</v>
      </c>
      <c r="E42" s="37">
        <v>5000</v>
      </c>
      <c r="F42" s="37">
        <f>F41+E42</f>
        <v>-5000</v>
      </c>
    </row>
    <row r="43" spans="2:28" x14ac:dyDescent="0.2">
      <c r="B43" s="91">
        <v>2</v>
      </c>
      <c r="C43" s="37">
        <v>4000</v>
      </c>
      <c r="D43" s="37">
        <f>D42+C43</f>
        <v>-3000</v>
      </c>
      <c r="E43" s="37">
        <v>3000</v>
      </c>
      <c r="F43" s="37">
        <f>F42+E43</f>
        <v>-2000</v>
      </c>
    </row>
    <row r="44" spans="2:28" x14ac:dyDescent="0.2">
      <c r="B44" s="91">
        <v>3</v>
      </c>
      <c r="C44" s="37">
        <v>5000</v>
      </c>
      <c r="D44" s="92">
        <f>D43+C44</f>
        <v>2000</v>
      </c>
      <c r="E44" s="37">
        <v>2000</v>
      </c>
      <c r="F44" s="93">
        <f>F43+E44</f>
        <v>0</v>
      </c>
    </row>
    <row r="45" spans="2:28" ht="17" thickBot="1" x14ac:dyDescent="0.25">
      <c r="B45" s="91">
        <v>4</v>
      </c>
      <c r="C45" s="37">
        <v>2000</v>
      </c>
      <c r="D45" s="37" t="s">
        <v>99</v>
      </c>
      <c r="E45" s="37">
        <v>1500</v>
      </c>
      <c r="F45" s="37" t="s">
        <v>100</v>
      </c>
    </row>
    <row r="46" spans="2:28" ht="17" thickBot="1" x14ac:dyDescent="0.25">
      <c r="B46" s="91">
        <v>5</v>
      </c>
      <c r="C46" s="37">
        <v>1000</v>
      </c>
      <c r="D46" s="37" t="s">
        <v>99</v>
      </c>
      <c r="E46" s="37">
        <v>4000</v>
      </c>
      <c r="F46" s="37" t="s">
        <v>100</v>
      </c>
      <c r="P46" s="135" t="s">
        <v>82</v>
      </c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6"/>
    </row>
    <row r="47" spans="2:28" ht="17" thickBot="1" x14ac:dyDescent="0.25">
      <c r="P47" s="136">
        <v>0</v>
      </c>
      <c r="Q47" s="137">
        <v>1</v>
      </c>
      <c r="R47" s="137">
        <v>2</v>
      </c>
      <c r="S47" s="137">
        <v>3</v>
      </c>
      <c r="T47" s="137">
        <v>4</v>
      </c>
      <c r="U47" s="137">
        <v>5</v>
      </c>
      <c r="V47" s="137">
        <v>6</v>
      </c>
      <c r="W47" s="137">
        <v>7</v>
      </c>
      <c r="X47" s="137">
        <v>8</v>
      </c>
      <c r="Y47" s="137">
        <v>9</v>
      </c>
      <c r="Z47" s="137">
        <v>10</v>
      </c>
      <c r="AA47" s="137">
        <v>11</v>
      </c>
      <c r="AB47" s="138">
        <v>12</v>
      </c>
    </row>
    <row r="48" spans="2:28" x14ac:dyDescent="0.2">
      <c r="P48" s="140">
        <v>-800</v>
      </c>
      <c r="Q48" s="141">
        <v>400</v>
      </c>
      <c r="R48" s="141">
        <v>100</v>
      </c>
      <c r="S48" s="141">
        <v>600</v>
      </c>
      <c r="T48" s="139"/>
      <c r="U48" s="139"/>
      <c r="V48" s="139"/>
      <c r="W48" s="139"/>
      <c r="X48" s="139"/>
      <c r="Y48" s="139"/>
      <c r="Z48" s="139"/>
      <c r="AA48" s="139"/>
      <c r="AB48" s="101"/>
    </row>
    <row r="49" spans="1:28" x14ac:dyDescent="0.2">
      <c r="P49" s="102"/>
      <c r="S49">
        <v>-800</v>
      </c>
      <c r="T49">
        <v>400</v>
      </c>
      <c r="U49">
        <v>100</v>
      </c>
      <c r="V49">
        <v>600</v>
      </c>
      <c r="AB49" s="103"/>
    </row>
    <row r="50" spans="1:28" x14ac:dyDescent="0.2">
      <c r="P50" s="102"/>
      <c r="V50">
        <v>-800</v>
      </c>
      <c r="W50">
        <v>400</v>
      </c>
      <c r="X50">
        <v>100</v>
      </c>
      <c r="Y50">
        <v>600</v>
      </c>
      <c r="AB50" s="103"/>
    </row>
    <row r="51" spans="1:28" ht="17" thickBot="1" x14ac:dyDescent="0.25">
      <c r="P51" s="104"/>
      <c r="Q51" s="127"/>
      <c r="R51" s="127"/>
      <c r="S51" s="127"/>
      <c r="T51" s="127"/>
      <c r="U51" s="127"/>
      <c r="V51" s="127"/>
      <c r="W51" s="127"/>
      <c r="X51" s="127"/>
      <c r="Y51" s="127">
        <v>-800</v>
      </c>
      <c r="Z51" s="127">
        <v>400</v>
      </c>
      <c r="AA51" s="127">
        <v>100</v>
      </c>
      <c r="AB51" s="128">
        <v>600</v>
      </c>
    </row>
    <row r="52" spans="1:28" ht="17" thickBot="1" x14ac:dyDescent="0.25">
      <c r="O52" t="s">
        <v>140</v>
      </c>
      <c r="P52" s="104">
        <f>SUM(P48:P51)</f>
        <v>-800</v>
      </c>
      <c r="Q52" s="104">
        <f t="shared" ref="Q52:AB52" si="1">SUM(Q48:Q51)</f>
        <v>400</v>
      </c>
      <c r="R52" s="104">
        <f t="shared" si="1"/>
        <v>100</v>
      </c>
      <c r="S52" s="104">
        <f t="shared" si="1"/>
        <v>-200</v>
      </c>
      <c r="T52" s="104">
        <f t="shared" si="1"/>
        <v>400</v>
      </c>
      <c r="U52" s="104">
        <f t="shared" si="1"/>
        <v>100</v>
      </c>
      <c r="V52" s="104">
        <f t="shared" si="1"/>
        <v>-200</v>
      </c>
      <c r="W52" s="104">
        <f t="shared" si="1"/>
        <v>400</v>
      </c>
      <c r="X52" s="104">
        <f t="shared" si="1"/>
        <v>100</v>
      </c>
      <c r="Y52" s="104">
        <f t="shared" si="1"/>
        <v>-200</v>
      </c>
      <c r="Z52" s="104">
        <f t="shared" si="1"/>
        <v>400</v>
      </c>
      <c r="AA52" s="104">
        <f t="shared" si="1"/>
        <v>100</v>
      </c>
      <c r="AB52" s="104">
        <f t="shared" si="1"/>
        <v>600</v>
      </c>
    </row>
    <row r="53" spans="1:28" x14ac:dyDescent="0.2">
      <c r="A53" s="37"/>
      <c r="B53" s="37" t="s">
        <v>101</v>
      </c>
      <c r="C53" s="37" t="s">
        <v>102</v>
      </c>
    </row>
    <row r="54" spans="1:28" x14ac:dyDescent="0.2">
      <c r="A54" s="37" t="s">
        <v>103</v>
      </c>
      <c r="B54" s="37">
        <v>2</v>
      </c>
      <c r="C54" s="37">
        <v>2</v>
      </c>
      <c r="P54" s="175" t="s">
        <v>124</v>
      </c>
      <c r="Q54" s="175"/>
      <c r="R54" s="175"/>
      <c r="S54" s="175"/>
      <c r="T54" s="175"/>
      <c r="U54" s="175"/>
      <c r="V54" s="175"/>
      <c r="W54" s="175"/>
      <c r="X54" s="175"/>
      <c r="Y54" s="175"/>
      <c r="Z54" s="175"/>
      <c r="AA54" s="175"/>
      <c r="AB54" s="175"/>
    </row>
    <row r="55" spans="1:28" x14ac:dyDescent="0.2">
      <c r="A55" s="37" t="s">
        <v>104</v>
      </c>
      <c r="B55" s="37">
        <v>-3000</v>
      </c>
      <c r="C55" s="37">
        <v>-2000</v>
      </c>
    </row>
    <row r="56" spans="1:28" x14ac:dyDescent="0.2">
      <c r="A56" s="37" t="s">
        <v>105</v>
      </c>
      <c r="B56" s="37">
        <v>5000</v>
      </c>
      <c r="C56" s="37">
        <v>2000</v>
      </c>
    </row>
    <row r="57" spans="1:28" x14ac:dyDescent="0.2">
      <c r="P57" s="91" t="s">
        <v>84</v>
      </c>
      <c r="Q57" s="91" t="s">
        <v>85</v>
      </c>
      <c r="R57" s="91" t="s">
        <v>86</v>
      </c>
    </row>
    <row r="58" spans="1:28" x14ac:dyDescent="0.2">
      <c r="A58" s="37" t="s">
        <v>106</v>
      </c>
      <c r="B58" s="94">
        <f>B54+(ABS(B55)/B56)</f>
        <v>2.6</v>
      </c>
      <c r="C58" t="s">
        <v>107</v>
      </c>
      <c r="D58" t="s">
        <v>108</v>
      </c>
      <c r="P58" s="37">
        <v>0</v>
      </c>
      <c r="Q58" cm="1">
        <f t="array" ref="Q58:Q70">TRANSPOSE(P39:AB39)</f>
        <v>-900</v>
      </c>
      <c r="R58" s="37">
        <v>-800</v>
      </c>
    </row>
    <row r="59" spans="1:28" x14ac:dyDescent="0.2">
      <c r="A59" s="37" t="s">
        <v>109</v>
      </c>
      <c r="B59" s="37">
        <f>C54+(ABS(C55)/C56)</f>
        <v>3</v>
      </c>
      <c r="C59" t="s">
        <v>107</v>
      </c>
      <c r="P59" s="37">
        <v>1</v>
      </c>
      <c r="Q59" s="37">
        <v>300</v>
      </c>
      <c r="R59" s="37">
        <v>400</v>
      </c>
    </row>
    <row r="60" spans="1:28" x14ac:dyDescent="0.2">
      <c r="P60" s="37">
        <v>2</v>
      </c>
      <c r="Q60" s="37">
        <v>400</v>
      </c>
      <c r="R60" s="37">
        <v>100</v>
      </c>
    </row>
    <row r="61" spans="1:28" x14ac:dyDescent="0.2">
      <c r="P61" s="37">
        <v>3</v>
      </c>
      <c r="Q61" s="37">
        <v>0</v>
      </c>
      <c r="R61" s="37">
        <v>-200</v>
      </c>
    </row>
    <row r="62" spans="1:28" x14ac:dyDescent="0.2">
      <c r="P62" s="37">
        <v>4</v>
      </c>
      <c r="Q62" s="37">
        <v>-400</v>
      </c>
      <c r="R62" s="37">
        <v>400</v>
      </c>
    </row>
    <row r="63" spans="1:28" x14ac:dyDescent="0.2">
      <c r="P63" s="37">
        <v>5</v>
      </c>
      <c r="Q63" s="37">
        <v>300</v>
      </c>
      <c r="R63" s="37">
        <v>100</v>
      </c>
    </row>
    <row r="64" spans="1:28" x14ac:dyDescent="0.2">
      <c r="P64" s="37">
        <v>6</v>
      </c>
      <c r="Q64" s="37">
        <v>400</v>
      </c>
      <c r="R64" s="37">
        <v>-200</v>
      </c>
    </row>
    <row r="65" spans="1:28" x14ac:dyDescent="0.2">
      <c r="P65" s="37">
        <v>7</v>
      </c>
      <c r="Q65" s="37">
        <v>0</v>
      </c>
      <c r="R65" s="37">
        <v>400</v>
      </c>
    </row>
    <row r="66" spans="1:28" x14ac:dyDescent="0.2">
      <c r="B66" s="81" t="s">
        <v>84</v>
      </c>
      <c r="C66" s="81" t="s">
        <v>85</v>
      </c>
      <c r="D66" s="81" t="s">
        <v>86</v>
      </c>
      <c r="F66" s="82" t="s">
        <v>110</v>
      </c>
      <c r="P66" s="37">
        <v>8</v>
      </c>
      <c r="Q66" s="37">
        <v>-400</v>
      </c>
      <c r="R66" s="37">
        <v>100</v>
      </c>
    </row>
    <row r="67" spans="1:28" x14ac:dyDescent="0.2">
      <c r="B67" s="83">
        <v>0</v>
      </c>
      <c r="C67" s="83">
        <v>-10000</v>
      </c>
      <c r="D67" s="83">
        <v>-10000</v>
      </c>
      <c r="P67" s="37">
        <v>9</v>
      </c>
      <c r="Q67" s="37">
        <v>300</v>
      </c>
      <c r="R67" s="37">
        <v>-200</v>
      </c>
    </row>
    <row r="68" spans="1:28" x14ac:dyDescent="0.2">
      <c r="B68" s="83">
        <v>1</v>
      </c>
      <c r="C68" s="83">
        <v>3000</v>
      </c>
      <c r="D68" s="83">
        <v>5000</v>
      </c>
      <c r="P68" s="37">
        <v>10</v>
      </c>
      <c r="Q68" s="37">
        <v>400</v>
      </c>
      <c r="R68" s="37">
        <v>400</v>
      </c>
    </row>
    <row r="69" spans="1:28" x14ac:dyDescent="0.2">
      <c r="B69" s="83">
        <v>2</v>
      </c>
      <c r="C69" s="83">
        <v>4000</v>
      </c>
      <c r="D69" s="83">
        <v>3000</v>
      </c>
      <c r="P69" s="37">
        <v>11</v>
      </c>
      <c r="Q69" s="37">
        <v>0</v>
      </c>
      <c r="R69" s="37">
        <v>100</v>
      </c>
    </row>
    <row r="70" spans="1:28" x14ac:dyDescent="0.2">
      <c r="B70" s="83">
        <v>3</v>
      </c>
      <c r="C70" s="83">
        <v>5000</v>
      </c>
      <c r="D70" s="83">
        <v>2000</v>
      </c>
      <c r="P70" s="37">
        <v>12</v>
      </c>
      <c r="Q70" s="37">
        <v>500</v>
      </c>
      <c r="R70" s="37">
        <v>600</v>
      </c>
    </row>
    <row r="71" spans="1:28" x14ac:dyDescent="0.2">
      <c r="B71" s="83">
        <v>4</v>
      </c>
      <c r="C71" s="83">
        <v>2000</v>
      </c>
      <c r="D71" s="83">
        <v>1500</v>
      </c>
    </row>
    <row r="72" spans="1:28" x14ac:dyDescent="0.2">
      <c r="B72" s="83">
        <v>5</v>
      </c>
      <c r="C72" s="83">
        <v>1000</v>
      </c>
      <c r="D72" s="83">
        <v>4000</v>
      </c>
    </row>
    <row r="73" spans="1:28" x14ac:dyDescent="0.2">
      <c r="P73" s="175" t="s">
        <v>125</v>
      </c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5"/>
    </row>
    <row r="74" spans="1:28" x14ac:dyDescent="0.2">
      <c r="B74" s="37" t="s">
        <v>83</v>
      </c>
      <c r="C74" s="95">
        <f>IRR(C67:C72)</f>
        <v>0.17638914889488211</v>
      </c>
      <c r="D74" s="96">
        <f>IRR(D67:D72)</f>
        <v>0.18651943986442987</v>
      </c>
    </row>
    <row r="75" spans="1:28" x14ac:dyDescent="0.2">
      <c r="P75" t="s">
        <v>112</v>
      </c>
      <c r="Q75" s="97">
        <v>0.08</v>
      </c>
    </row>
    <row r="76" spans="1:28" x14ac:dyDescent="0.2">
      <c r="P76" t="s">
        <v>126</v>
      </c>
      <c r="Q76" s="98" t="e">
        <f>NPV(Q75,Q59:Q70)+#REF!</f>
        <v>#REF!</v>
      </c>
      <c r="R76" t="s">
        <v>45</v>
      </c>
    </row>
    <row r="77" spans="1:28" x14ac:dyDescent="0.2">
      <c r="P77" t="s">
        <v>127</v>
      </c>
      <c r="Q77" s="99">
        <f>NPV(Q75,R59:R70)+R58</f>
        <v>387.1813291258452</v>
      </c>
      <c r="R77" t="s">
        <v>45</v>
      </c>
    </row>
    <row r="80" spans="1:28" x14ac:dyDescent="0.2">
      <c r="A80" t="s">
        <v>111</v>
      </c>
    </row>
    <row r="82" spans="1:24" x14ac:dyDescent="0.2">
      <c r="B82" s="81" t="s">
        <v>84</v>
      </c>
      <c r="C82" s="81" t="s">
        <v>85</v>
      </c>
      <c r="D82" s="81" t="s">
        <v>86</v>
      </c>
    </row>
    <row r="83" spans="1:24" x14ac:dyDescent="0.2">
      <c r="B83" s="83">
        <v>0</v>
      </c>
      <c r="C83" s="83">
        <v>-10000</v>
      </c>
      <c r="D83" s="83">
        <v>-10000</v>
      </c>
    </row>
    <row r="84" spans="1:24" x14ac:dyDescent="0.2">
      <c r="B84" s="83">
        <v>1</v>
      </c>
      <c r="C84" s="83">
        <v>3000</v>
      </c>
      <c r="D84" s="83">
        <v>5000</v>
      </c>
    </row>
    <row r="85" spans="1:24" x14ac:dyDescent="0.2">
      <c r="B85" s="83">
        <v>2</v>
      </c>
      <c r="C85" s="83">
        <v>4000</v>
      </c>
      <c r="D85" s="83">
        <v>3000</v>
      </c>
    </row>
    <row r="86" spans="1:24" x14ac:dyDescent="0.2">
      <c r="B86" s="83">
        <v>3</v>
      </c>
      <c r="C86" s="83">
        <v>5000</v>
      </c>
      <c r="D86" s="83">
        <v>2000</v>
      </c>
    </row>
    <row r="87" spans="1:24" x14ac:dyDescent="0.2">
      <c r="B87" s="83">
        <v>4</v>
      </c>
      <c r="C87" s="83">
        <v>2000</v>
      </c>
      <c r="D87" s="83">
        <v>1500</v>
      </c>
    </row>
    <row r="88" spans="1:24" x14ac:dyDescent="0.2">
      <c r="B88" s="83">
        <v>5</v>
      </c>
      <c r="C88" s="83">
        <v>1000</v>
      </c>
      <c r="D88" s="83">
        <v>4000</v>
      </c>
    </row>
    <row r="90" spans="1:24" x14ac:dyDescent="0.2">
      <c r="B90" t="s">
        <v>112</v>
      </c>
      <c r="C90" s="97">
        <v>0.1</v>
      </c>
      <c r="O90" s="174" t="s">
        <v>128</v>
      </c>
      <c r="P90" s="174"/>
      <c r="Q90" s="174"/>
      <c r="R90" s="174"/>
      <c r="S90" s="174"/>
      <c r="T90" s="174"/>
      <c r="U90" s="174"/>
      <c r="V90" s="174"/>
      <c r="W90" s="174"/>
      <c r="X90" s="174"/>
    </row>
    <row r="91" spans="1:24" x14ac:dyDescent="0.2">
      <c r="T91" t="s">
        <v>112</v>
      </c>
    </row>
    <row r="92" spans="1:24" ht="32" x14ac:dyDescent="0.2">
      <c r="B92" t="s">
        <v>113</v>
      </c>
      <c r="C92" s="98">
        <f>NPV(C90,C84:C88)</f>
        <v>11776.580089536852</v>
      </c>
      <c r="P92" s="81" t="s">
        <v>84</v>
      </c>
      <c r="Q92" s="81" t="s">
        <v>120</v>
      </c>
      <c r="R92" s="81" t="s">
        <v>121</v>
      </c>
      <c r="T92" s="97">
        <v>0.08</v>
      </c>
    </row>
    <row r="93" spans="1:24" x14ac:dyDescent="0.2">
      <c r="P93" s="83">
        <v>0</v>
      </c>
      <c r="Q93" s="83">
        <v>-900</v>
      </c>
      <c r="R93" s="83">
        <v>-800</v>
      </c>
    </row>
    <row r="94" spans="1:24" x14ac:dyDescent="0.2">
      <c r="A94" t="s">
        <v>114</v>
      </c>
      <c r="P94" s="83">
        <v>1</v>
      </c>
      <c r="Q94" s="83">
        <v>300</v>
      </c>
      <c r="R94" s="83">
        <v>400</v>
      </c>
    </row>
    <row r="95" spans="1:24" x14ac:dyDescent="0.2">
      <c r="P95" s="83">
        <v>2</v>
      </c>
      <c r="Q95" s="83">
        <v>400</v>
      </c>
      <c r="R95" s="83">
        <v>100</v>
      </c>
    </row>
    <row r="96" spans="1:24" x14ac:dyDescent="0.2">
      <c r="B96" t="s">
        <v>115</v>
      </c>
      <c r="C96" s="98">
        <f>C92*(1+10%)^5</f>
        <v>18966.300000000003</v>
      </c>
      <c r="P96" s="83">
        <v>3</v>
      </c>
      <c r="Q96" s="83">
        <v>0</v>
      </c>
      <c r="R96" s="83">
        <v>600</v>
      </c>
    </row>
    <row r="97" spans="1:26" x14ac:dyDescent="0.2">
      <c r="P97" s="83">
        <v>4</v>
      </c>
      <c r="Q97" s="83">
        <v>500</v>
      </c>
      <c r="R97" s="83"/>
    </row>
    <row r="98" spans="1:26" x14ac:dyDescent="0.2">
      <c r="A98" t="s">
        <v>116</v>
      </c>
      <c r="P98" t="s">
        <v>129</v>
      </c>
      <c r="Q98" s="98">
        <f>NPV(T92,Q94:Q97)+Q93</f>
        <v>88.228232296717692</v>
      </c>
      <c r="R98" s="99">
        <f>NPV(T92,R94:R96)+R93</f>
        <v>132.40359701265038</v>
      </c>
    </row>
    <row r="101" spans="1:26" x14ac:dyDescent="0.2">
      <c r="O101" s="174" t="s">
        <v>130</v>
      </c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</row>
    <row r="102" spans="1:26" x14ac:dyDescent="0.2">
      <c r="B102" t="s">
        <v>25</v>
      </c>
      <c r="C102">
        <v>10000</v>
      </c>
    </row>
    <row r="103" spans="1:26" x14ac:dyDescent="0.2">
      <c r="B103" t="s">
        <v>117</v>
      </c>
      <c r="C103" s="45">
        <f>(C96/C102)^(1/B88)-1</f>
        <v>0.13657087561581327</v>
      </c>
      <c r="D103" t="s">
        <v>118</v>
      </c>
      <c r="E103" t="s">
        <v>119</v>
      </c>
    </row>
    <row r="108" spans="1:26" x14ac:dyDescent="0.2">
      <c r="B108" s="81" t="s">
        <v>84</v>
      </c>
      <c r="C108" s="81" t="s">
        <v>85</v>
      </c>
      <c r="D108" s="81" t="s">
        <v>86</v>
      </c>
      <c r="F108" s="82" t="s">
        <v>110</v>
      </c>
      <c r="O108" s="37" t="s">
        <v>131</v>
      </c>
      <c r="P108" s="94">
        <f xml:space="preserve"> 88.23 * (8% / (1 - (1 + 8%)^-4))</f>
        <v>26.638472576979879</v>
      </c>
      <c r="Q108" t="s">
        <v>45</v>
      </c>
    </row>
    <row r="109" spans="1:26" x14ac:dyDescent="0.2">
      <c r="B109" s="83">
        <v>0</v>
      </c>
      <c r="C109" s="123">
        <v>-10000</v>
      </c>
      <c r="D109" s="123">
        <v>-10000</v>
      </c>
      <c r="O109" s="37" t="s">
        <v>132</v>
      </c>
      <c r="P109" s="94">
        <f xml:space="preserve"> 132.4 * (8% / (1 - (1 + 8%)^-3))</f>
        <v>51.375637259733836</v>
      </c>
      <c r="Q109" t="s">
        <v>45</v>
      </c>
    </row>
    <row r="110" spans="1:26" x14ac:dyDescent="0.2">
      <c r="B110" s="83">
        <v>1</v>
      </c>
      <c r="C110" s="123">
        <v>3000</v>
      </c>
      <c r="D110" s="123">
        <v>5000</v>
      </c>
    </row>
    <row r="111" spans="1:26" x14ac:dyDescent="0.2">
      <c r="B111" s="83">
        <v>2</v>
      </c>
      <c r="C111" s="123">
        <v>4000</v>
      </c>
      <c r="D111" s="123">
        <v>3000</v>
      </c>
    </row>
    <row r="112" spans="1:26" x14ac:dyDescent="0.2">
      <c r="B112" s="83">
        <v>3</v>
      </c>
      <c r="C112" s="123">
        <v>5000</v>
      </c>
      <c r="D112" s="123">
        <v>2000</v>
      </c>
    </row>
    <row r="113" spans="2:4" x14ac:dyDescent="0.2">
      <c r="B113" s="83">
        <v>4</v>
      </c>
      <c r="C113" s="123">
        <v>2000</v>
      </c>
      <c r="D113" s="123">
        <v>1500</v>
      </c>
    </row>
    <row r="114" spans="2:4" x14ac:dyDescent="0.2">
      <c r="B114" s="83">
        <v>5</v>
      </c>
      <c r="C114" s="123">
        <v>1000</v>
      </c>
      <c r="D114" s="123">
        <v>4000</v>
      </c>
    </row>
    <row r="116" spans="2:4" x14ac:dyDescent="0.2">
      <c r="B116" s="37" t="s">
        <v>76</v>
      </c>
      <c r="C116" s="124">
        <f>NPV(10%,C110:C114)+C109</f>
        <v>1776.580089536852</v>
      </c>
      <c r="D116" s="124">
        <f>NPV(10%,D110:D114)+D109</f>
        <v>2035.6284655171312</v>
      </c>
    </row>
  </sheetData>
  <mergeCells count="4">
    <mergeCell ref="O101:Z101"/>
    <mergeCell ref="O90:X90"/>
    <mergeCell ref="P54:AB54"/>
    <mergeCell ref="P73:AB7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FA40-F8AC-ED43-8BCD-DCA98B857906}">
  <dimension ref="B8:C17"/>
  <sheetViews>
    <sheetView workbookViewId="0">
      <selection activeCell="F27" sqref="F27"/>
    </sheetView>
  </sheetViews>
  <sheetFormatPr baseColWidth="10" defaultRowHeight="16" x14ac:dyDescent="0.2"/>
  <cols>
    <col min="14" max="14" width="13" bestFit="1" customWidth="1"/>
  </cols>
  <sheetData>
    <row r="8" spans="2:3" ht="17" thickBot="1" x14ac:dyDescent="0.25"/>
    <row r="9" spans="2:3" x14ac:dyDescent="0.2">
      <c r="B9" s="106" t="s">
        <v>134</v>
      </c>
      <c r="C9" s="53"/>
    </row>
    <row r="10" spans="2:3" x14ac:dyDescent="0.2">
      <c r="B10" s="50" t="s">
        <v>135</v>
      </c>
      <c r="C10" s="52">
        <v>4060</v>
      </c>
    </row>
    <row r="11" spans="2:3" x14ac:dyDescent="0.2">
      <c r="B11" s="50" t="s">
        <v>136</v>
      </c>
      <c r="C11" s="52">
        <v>2250</v>
      </c>
    </row>
    <row r="12" spans="2:3" x14ac:dyDescent="0.2">
      <c r="B12" s="50" t="s">
        <v>137</v>
      </c>
      <c r="C12" s="52">
        <v>3010</v>
      </c>
    </row>
    <row r="13" spans="2:3" ht="17" thickBot="1" x14ac:dyDescent="0.25">
      <c r="B13" s="51" t="s">
        <v>133</v>
      </c>
      <c r="C13" s="107">
        <f>(C10-C11)/C12</f>
        <v>0.6013289036544851</v>
      </c>
    </row>
    <row r="15" spans="2:3" ht="17" thickBot="1" x14ac:dyDescent="0.25"/>
    <row r="16" spans="2:3" x14ac:dyDescent="0.2">
      <c r="B16" s="100" t="s">
        <v>138</v>
      </c>
      <c r="C16" s="142">
        <f>_xlfn.NORM.S.DIST(C13,TRUE)</f>
        <v>0.72618952901823952</v>
      </c>
    </row>
    <row r="17" spans="2:3" ht="17" thickBot="1" x14ac:dyDescent="0.25">
      <c r="B17" s="104" t="s">
        <v>139</v>
      </c>
      <c r="C17" s="105">
        <f>1-C16</f>
        <v>0.27381047098176048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4560-12A9-AF49-88ED-37C7BFB88CBA}">
  <dimension ref="A1:L24"/>
  <sheetViews>
    <sheetView tabSelected="1" topLeftCell="A9" zoomScale="174" workbookViewId="0">
      <selection activeCell="E16" sqref="E16"/>
    </sheetView>
  </sheetViews>
  <sheetFormatPr baseColWidth="10" defaultRowHeight="16" x14ac:dyDescent="0.2"/>
  <cols>
    <col min="3" max="3" width="14" bestFit="1" customWidth="1"/>
    <col min="4" max="5" width="12.1640625" bestFit="1" customWidth="1"/>
    <col min="7" max="8" width="12.1640625" bestFit="1" customWidth="1"/>
    <col min="10" max="10" width="7.33203125" bestFit="1" customWidth="1"/>
    <col min="11" max="11" width="12.6640625" bestFit="1" customWidth="1"/>
  </cols>
  <sheetData>
    <row r="1" spans="1:12" ht="17" thickBot="1" x14ac:dyDescent="0.25"/>
    <row r="2" spans="1:12" ht="17" thickBot="1" x14ac:dyDescent="0.25">
      <c r="A2" s="154" t="s">
        <v>81</v>
      </c>
      <c r="E2" s="154" t="s">
        <v>82</v>
      </c>
      <c r="J2" s="159" t="s">
        <v>142</v>
      </c>
      <c r="K2" s="159" t="s">
        <v>141</v>
      </c>
    </row>
    <row r="3" spans="1:12" x14ac:dyDescent="0.2">
      <c r="A3" s="153" t="s">
        <v>143</v>
      </c>
      <c r="B3" s="150" t="s">
        <v>142</v>
      </c>
      <c r="C3" s="151" t="s">
        <v>144</v>
      </c>
      <c r="D3" s="143"/>
      <c r="E3" s="153" t="s">
        <v>143</v>
      </c>
      <c r="F3" s="150" t="s">
        <v>142</v>
      </c>
      <c r="G3" s="151" t="s">
        <v>144</v>
      </c>
      <c r="H3" s="143"/>
      <c r="J3" s="158">
        <v>0</v>
      </c>
      <c r="K3" s="160">
        <f>C4-G4</f>
        <v>0</v>
      </c>
    </row>
    <row r="4" spans="1:12" ht="17" thickBot="1" x14ac:dyDescent="0.25">
      <c r="A4" s="152">
        <v>0.09</v>
      </c>
      <c r="B4" s="145">
        <v>0</v>
      </c>
      <c r="C4" s="146">
        <v>-1800</v>
      </c>
      <c r="D4" s="144"/>
      <c r="E4" s="152">
        <v>0.09</v>
      </c>
      <c r="F4" s="145">
        <v>0</v>
      </c>
      <c r="G4" s="146">
        <v>-1800</v>
      </c>
      <c r="H4" s="144"/>
      <c r="J4" s="50">
        <v>1</v>
      </c>
      <c r="K4" s="156">
        <f t="shared" ref="K4:K6" si="0">C5-G5</f>
        <v>250</v>
      </c>
    </row>
    <row r="5" spans="1:12" x14ac:dyDescent="0.2">
      <c r="B5" s="145">
        <v>1</v>
      </c>
      <c r="C5" s="147">
        <v>1000</v>
      </c>
      <c r="F5" s="145">
        <v>1</v>
      </c>
      <c r="G5" s="147">
        <v>750</v>
      </c>
      <c r="J5" s="50">
        <v>2</v>
      </c>
      <c r="K5" s="156">
        <f t="shared" si="0"/>
        <v>-300</v>
      </c>
    </row>
    <row r="6" spans="1:12" ht="17" thickBot="1" x14ac:dyDescent="0.25">
      <c r="B6" s="145">
        <v>2</v>
      </c>
      <c r="C6" s="147">
        <v>450</v>
      </c>
      <c r="F6" s="145">
        <v>2</v>
      </c>
      <c r="G6" s="147">
        <v>750</v>
      </c>
      <c r="J6" s="51">
        <v>3</v>
      </c>
      <c r="K6" s="157">
        <f t="shared" si="0"/>
        <v>0</v>
      </c>
    </row>
    <row r="7" spans="1:12" ht="17" thickBot="1" x14ac:dyDescent="0.25">
      <c r="B7" s="145">
        <v>3</v>
      </c>
      <c r="C7" s="146">
        <v>750</v>
      </c>
      <c r="D7" s="143"/>
      <c r="F7" s="145">
        <v>3</v>
      </c>
      <c r="G7" s="146">
        <v>750</v>
      </c>
      <c r="H7" s="143"/>
    </row>
    <row r="8" spans="1:12" x14ac:dyDescent="0.2">
      <c r="B8" s="145">
        <v>4</v>
      </c>
      <c r="C8" s="146">
        <v>0</v>
      </c>
      <c r="D8" s="144"/>
      <c r="F8" s="145">
        <v>4</v>
      </c>
      <c r="G8" s="146">
        <v>0</v>
      </c>
      <c r="H8" s="144"/>
      <c r="J8" s="100" t="s">
        <v>83</v>
      </c>
      <c r="K8" s="163">
        <f>IRR(K3:K6)</f>
        <v>0.20000000000000018</v>
      </c>
    </row>
    <row r="9" spans="1:12" ht="17" thickBot="1" x14ac:dyDescent="0.25">
      <c r="B9" s="148">
        <v>5</v>
      </c>
      <c r="C9" s="149">
        <v>0</v>
      </c>
      <c r="F9" s="148">
        <v>5</v>
      </c>
      <c r="G9" s="149">
        <v>0</v>
      </c>
      <c r="J9" s="104" t="s">
        <v>76</v>
      </c>
      <c r="K9" s="79">
        <f>NPV(K8,K4:K6)</f>
        <v>2.3684757858670004E-14</v>
      </c>
    </row>
    <row r="10" spans="1:12" ht="17" thickBot="1" x14ac:dyDescent="0.25"/>
    <row r="11" spans="1:12" ht="17" thickBot="1" x14ac:dyDescent="0.25">
      <c r="A11" s="161" t="s">
        <v>146</v>
      </c>
      <c r="B11" s="162">
        <f>NPV(A4,C5:C9)+C4</f>
        <v>75.324799676300472</v>
      </c>
      <c r="E11" s="161" t="s">
        <v>145</v>
      </c>
      <c r="F11" s="162">
        <f>NPV(E4,G5:G9)+G4</f>
        <v>98.470999491130669</v>
      </c>
    </row>
    <row r="12" spans="1:12" ht="17" thickBot="1" x14ac:dyDescent="0.25">
      <c r="I12" t="s">
        <v>149</v>
      </c>
    </row>
    <row r="13" spans="1:12" ht="17" thickBot="1" x14ac:dyDescent="0.25">
      <c r="A13" s="161" t="s">
        <v>147</v>
      </c>
      <c r="B13" s="77">
        <f>IRR(C4:C7)</f>
        <v>0.11495597161882731</v>
      </c>
      <c r="E13" s="161" t="s">
        <v>148</v>
      </c>
      <c r="F13" s="77">
        <f>IRR(G4:G9)</f>
        <v>0.12044398297696501</v>
      </c>
      <c r="J13" s="168" t="s">
        <v>143</v>
      </c>
      <c r="K13" s="169" t="s">
        <v>126</v>
      </c>
      <c r="L13" s="170" t="s">
        <v>127</v>
      </c>
    </row>
    <row r="14" spans="1:12" x14ac:dyDescent="0.2">
      <c r="J14" s="166">
        <v>0</v>
      </c>
      <c r="K14" s="167">
        <f>$C$4+NPV(J14,$C$5:$C$9)</f>
        <v>400</v>
      </c>
      <c r="L14" s="160">
        <f>$G$4+NPV(J14,$G$5:$G$9)</f>
        <v>450</v>
      </c>
    </row>
    <row r="15" spans="1:12" x14ac:dyDescent="0.2">
      <c r="E15" s="80">
        <f>F11+76.78</f>
        <v>175.25099949113067</v>
      </c>
      <c r="J15" s="164">
        <v>0.02</v>
      </c>
      <c r="K15" s="155">
        <f t="shared" ref="K15:K24" si="1">$C$4+NPV(J15,$C$5:$C$9)</f>
        <v>319.65985933012234</v>
      </c>
      <c r="L15" s="156">
        <f t="shared" ref="L15:L24" si="2">$G$4+NPV(J15,$G$5:$G$9)</f>
        <v>362.9124544858314</v>
      </c>
    </row>
    <row r="16" spans="1:12" x14ac:dyDescent="0.2">
      <c r="J16" s="164">
        <v>0.04</v>
      </c>
      <c r="K16" s="155">
        <f t="shared" si="1"/>
        <v>244.33602639963556</v>
      </c>
      <c r="L16" s="156">
        <f t="shared" si="2"/>
        <v>281.31827492034563</v>
      </c>
    </row>
    <row r="17" spans="10:12" x14ac:dyDescent="0.2">
      <c r="J17" s="164">
        <v>0.06</v>
      </c>
      <c r="K17" s="155">
        <f t="shared" si="1"/>
        <v>173.60908669572859</v>
      </c>
      <c r="L17" s="156">
        <f t="shared" si="2"/>
        <v>204.7589620962267</v>
      </c>
    </row>
    <row r="18" spans="10:12" x14ac:dyDescent="0.2">
      <c r="J18" s="164">
        <v>0.08</v>
      </c>
      <c r="K18" s="155">
        <f t="shared" si="1"/>
        <v>107.1025758268554</v>
      </c>
      <c r="L18" s="156">
        <f t="shared" si="2"/>
        <v>132.82274043590905</v>
      </c>
    </row>
    <row r="19" spans="10:12" x14ac:dyDescent="0.2">
      <c r="J19" s="164">
        <v>0.1</v>
      </c>
      <c r="K19" s="155">
        <f t="shared" si="1"/>
        <v>44.477836213373166</v>
      </c>
      <c r="L19" s="156">
        <f t="shared" si="2"/>
        <v>65.138993238166449</v>
      </c>
    </row>
    <row r="20" spans="10:12" x14ac:dyDescent="0.2">
      <c r="J20" s="164">
        <v>0.12</v>
      </c>
      <c r="K20" s="155">
        <f t="shared" si="1"/>
        <v>-14.570426384840175</v>
      </c>
      <c r="L20" s="156">
        <f t="shared" si="2"/>
        <v>1.37345116618053</v>
      </c>
    </row>
    <row r="21" spans="10:12" x14ac:dyDescent="0.2">
      <c r="J21" s="164">
        <v>0.14000000000000001</v>
      </c>
      <c r="K21" s="155">
        <f t="shared" si="1"/>
        <v>-70.317992580713508</v>
      </c>
      <c r="L21" s="156">
        <f t="shared" si="2"/>
        <v>-58.775979653659078</v>
      </c>
    </row>
    <row r="22" spans="10:12" x14ac:dyDescent="0.2">
      <c r="J22" s="164">
        <v>0.16</v>
      </c>
      <c r="K22" s="155">
        <f t="shared" si="1"/>
        <v>-123.01447373816063</v>
      </c>
      <c r="L22" s="156">
        <f t="shared" si="2"/>
        <v>-115.5828447250808</v>
      </c>
    </row>
    <row r="23" spans="10:12" x14ac:dyDescent="0.2">
      <c r="J23" s="164">
        <v>0.18</v>
      </c>
      <c r="K23" s="155">
        <f t="shared" si="1"/>
        <v>-172.88622497918482</v>
      </c>
      <c r="L23" s="156">
        <f t="shared" si="2"/>
        <v>-169.29530283037684</v>
      </c>
    </row>
    <row r="24" spans="10:12" ht="17" thickBot="1" x14ac:dyDescent="0.25">
      <c r="J24" s="63">
        <v>0.2</v>
      </c>
      <c r="K24" s="165">
        <f t="shared" si="1"/>
        <v>-220.13888888888869</v>
      </c>
      <c r="L24" s="157">
        <f t="shared" si="2"/>
        <v>-220.13888888888869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Cap7 leasing</vt:lpstr>
      <vt:lpstr>Cap7 prest. French</vt:lpstr>
      <vt:lpstr>Cap7 prest americano</vt:lpstr>
      <vt:lpstr>Cap 7 prest aleman</vt:lpstr>
      <vt:lpstr>Cap 8 Bono</vt:lpstr>
      <vt:lpstr>Cap 9 VAN</vt:lpstr>
      <vt:lpstr>Cap 9 TIR</vt:lpstr>
      <vt:lpstr>TIR mod MCM</vt:lpstr>
      <vt:lpstr>Riesgo</vt:lpstr>
      <vt:lpstr>Cruce de Fischer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Trinidad Castro Quiroz (Alumno)</dc:creator>
  <cp:lastModifiedBy>Trinidad Castro Quiroz (Alumno)</cp:lastModifiedBy>
  <dcterms:created xsi:type="dcterms:W3CDTF">2025-05-11T23:31:15Z</dcterms:created>
  <dcterms:modified xsi:type="dcterms:W3CDTF">2025-07-16T20:21:13Z</dcterms:modified>
</cp:coreProperties>
</file>