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bluci21\Documents\"/>
    </mc:Choice>
  </mc:AlternateContent>
  <xr:revisionPtr revIDLastSave="0" documentId="8_{FE720F89-FAA9-4C7F-9B00-A33A9B35DCD5}" xr6:coauthVersionLast="47" xr6:coauthVersionMax="47" xr10:uidLastSave="{00000000-0000-0000-0000-000000000000}"/>
  <bookViews>
    <workbookView xWindow="-120" yWindow="-120" windowWidth="24240" windowHeight="13140" xr2:uid="{5CE78BD4-8A1C-4156-9411-C74F4A8E1BA0}"/>
  </bookViews>
  <sheets>
    <sheet name="Clrobesos" sheetId="1" r:id="rId1"/>
    <sheet name="Calculos" sheetId="3" r:id="rId2"/>
    <sheet name="lista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S7" i="3"/>
  <c r="F6" i="1"/>
  <c r="E25" i="1" s="1"/>
  <c r="D10" i="1"/>
  <c r="B10" i="3" s="1"/>
  <c r="E21" i="1" l="1"/>
  <c r="H5" i="3"/>
  <c r="S4" i="3"/>
  <c r="S8" i="3"/>
  <c r="S5" i="3"/>
  <c r="H3" i="3"/>
  <c r="A10" i="3"/>
  <c r="F10" i="1"/>
  <c r="C28" i="1" s="1"/>
  <c r="H4" i="3"/>
  <c r="G10" i="1"/>
  <c r="C25" i="1" l="1"/>
  <c r="C26" i="1" s="1"/>
  <c r="F8" i="1"/>
  <c r="A8" i="3" s="1"/>
  <c r="C17" i="1" s="1"/>
  <c r="C18" i="1" s="1"/>
  <c r="C21" i="1"/>
  <c r="C22" i="1" s="1"/>
</calcChain>
</file>

<file path=xl/sharedStrings.xml><?xml version="1.0" encoding="utf-8"?>
<sst xmlns="http://schemas.openxmlformats.org/spreadsheetml/2006/main" count="76" uniqueCount="41">
  <si>
    <t>PESO</t>
  </si>
  <si>
    <t>TALLA</t>
  </si>
  <si>
    <t>SEXO</t>
  </si>
  <si>
    <t>IMC</t>
  </si>
  <si>
    <t>Kg</t>
  </si>
  <si>
    <t>cms</t>
  </si>
  <si>
    <t>Femenino</t>
  </si>
  <si>
    <t>Masculino</t>
  </si>
  <si>
    <t>Peso magro</t>
  </si>
  <si>
    <t>Creatinina</t>
  </si>
  <si>
    <t>EDAD</t>
  </si>
  <si>
    <t>años</t>
  </si>
  <si>
    <t>mg/dl</t>
  </si>
  <si>
    <t>Clearance creatinina</t>
  </si>
  <si>
    <t>ml/min</t>
  </si>
  <si>
    <t>K/m2</t>
  </si>
  <si>
    <t>ml/min/1.73m2</t>
  </si>
  <si>
    <t>Superficie corporal</t>
  </si>
  <si>
    <t>m2</t>
  </si>
  <si>
    <t xml:space="preserve">Cistatina </t>
  </si>
  <si>
    <t>A</t>
  </si>
  <si>
    <t>B</t>
  </si>
  <si>
    <t>mujer</t>
  </si>
  <si>
    <t>hombre</t>
  </si>
  <si>
    <t>Crea&gt;0,7</t>
  </si>
  <si>
    <r>
      <t>Crea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>0,7</t>
    </r>
  </si>
  <si>
    <t>Hombre</t>
  </si>
  <si>
    <r>
      <t>Crea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>0,9</t>
    </r>
  </si>
  <si>
    <t>Crea&gt;0,9</t>
  </si>
  <si>
    <t>C</t>
  </si>
  <si>
    <t>D</t>
  </si>
  <si>
    <t>Mujer</t>
  </si>
  <si>
    <t>Cys&lt;=0,8</t>
  </si>
  <si>
    <t>Cys&gt;0,8</t>
  </si>
  <si>
    <t>BIS-1</t>
  </si>
  <si>
    <t>mg/L</t>
  </si>
  <si>
    <t>Cockcroft - Gault (peso magro o peso total)</t>
  </si>
  <si>
    <t>VFG no normalizada</t>
  </si>
  <si>
    <t>CKD-EPICreatinina (2021)</t>
  </si>
  <si>
    <t>CKD-EPIcrea-cys (2021)</t>
  </si>
  <si>
    <t>Estimación VFG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</si>
</sst>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5F6368"/>
      <name val="Arial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/>
    <xf numFmtId="164" fontId="6" fillId="0" borderId="0" xfId="0" applyNumberFormat="1" applyFont="1"/>
    <xf numFmtId="0" fontId="5" fillId="0" borderId="0" xfId="0" applyFont="1"/>
    <xf numFmtId="0" fontId="6" fillId="2" borderId="0" xfId="0" applyFont="1" applyFill="1"/>
    <xf numFmtId="2" fontId="6" fillId="0" borderId="0" xfId="0" applyNumberFormat="1" applyFont="1"/>
    <xf numFmtId="0" fontId="6" fillId="2" borderId="0" xfId="0" applyFont="1" applyFill="1" applyAlignment="1">
      <alignment horizontal="right"/>
    </xf>
    <xf numFmtId="0" fontId="7" fillId="0" borderId="0" xfId="0" applyFont="1"/>
    <xf numFmtId="0" fontId="8" fillId="0" borderId="1" xfId="0" applyFont="1" applyBorder="1"/>
    <xf numFmtId="164" fontId="8" fillId="0" borderId="1" xfId="0" applyNumberFormat="1" applyFont="1" applyBorder="1"/>
    <xf numFmtId="165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357187</xdr:colOff>
      <xdr:row>0</xdr:row>
      <xdr:rowOff>107155</xdr:rowOff>
    </xdr:from>
    <xdr:to>
      <xdr:col>9</xdr:col>
      <xdr:colOff>233362</xdr:colOff>
      <xdr:row>3</xdr:row>
      <xdr:rowOff>107155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97A5BFE-1F42-9103-AD34-BB7F000E8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" y="107155"/>
          <a:ext cx="9520238" cy="571500"/>
        </a:xfrm>
        <a:prstGeom prst="rect">
          <a:avLst/>
        </a:prstGeom>
        <a:noFill/>
        <a:ln w="28575"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8</xdr:row>
      <xdr:rowOff>114300</xdr:rowOff>
    </xdr:from>
    <xdr:ext cx="5664994" cy="4638675"/>
    <xdr:pic>
      <xdr:nvPicPr>
        <xdr:cNvPr id="2" name="Imagen 1">
          <a:extLst>
            <a:ext uri="{FF2B5EF4-FFF2-40B4-BE49-F238E27FC236}">
              <a16:creationId xmlns:a16="http://schemas.microsoft.com/office/drawing/2014/main" id="{1B647CE8-A646-4BF0-A11A-3B8FC7BCB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638300"/>
          <a:ext cx="5664994" cy="463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609600</xdr:colOff>
      <xdr:row>8</xdr:row>
      <xdr:rowOff>114300</xdr:rowOff>
    </xdr:from>
    <xdr:ext cx="5553075" cy="4962525"/>
    <xdr:pic>
      <xdr:nvPicPr>
        <xdr:cNvPr id="3" name="Imagen 2">
          <a:extLst>
            <a:ext uri="{FF2B5EF4-FFF2-40B4-BE49-F238E27FC236}">
              <a16:creationId xmlns:a16="http://schemas.microsoft.com/office/drawing/2014/main" id="{54EC78DA-79D6-4206-B75B-D998799E2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638300"/>
          <a:ext cx="5553075" cy="496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704850</xdr:colOff>
      <xdr:row>33</xdr:row>
      <xdr:rowOff>95250</xdr:rowOff>
    </xdr:from>
    <xdr:ext cx="5495925" cy="1676400"/>
    <xdr:pic>
      <xdr:nvPicPr>
        <xdr:cNvPr id="4" name="Imagen 3">
          <a:extLst>
            <a:ext uri="{FF2B5EF4-FFF2-40B4-BE49-F238E27FC236}">
              <a16:creationId xmlns:a16="http://schemas.microsoft.com/office/drawing/2014/main" id="{7773CF61-122A-4473-BC8D-E2F65784B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0" y="6381750"/>
          <a:ext cx="5495925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631031</xdr:colOff>
      <xdr:row>44</xdr:row>
      <xdr:rowOff>11906</xdr:rowOff>
    </xdr:from>
    <xdr:ext cx="10317956" cy="1095375"/>
    <xdr:pic>
      <xdr:nvPicPr>
        <xdr:cNvPr id="5" name="Imagen 4">
          <a:extLst>
            <a:ext uri="{FF2B5EF4-FFF2-40B4-BE49-F238E27FC236}">
              <a16:creationId xmlns:a16="http://schemas.microsoft.com/office/drawing/2014/main" id="{D6E52EEE-CDE8-4BB6-9B1B-06B5685F8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2456" y="8393906"/>
          <a:ext cx="10317956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51</xdr:row>
      <xdr:rowOff>0</xdr:rowOff>
    </xdr:from>
    <xdr:to>
      <xdr:col>5</xdr:col>
      <xdr:colOff>685800</xdr:colOff>
      <xdr:row>57</xdr:row>
      <xdr:rowOff>66675</xdr:rowOff>
    </xdr:to>
    <xdr:pic>
      <xdr:nvPicPr>
        <xdr:cNvPr id="6" name="Imagen 5" descr="Table 1 from Comparison of two different formulas for body surface area in  adults at extremes of height and weight | Semantic Scholar">
          <a:extLst>
            <a:ext uri="{FF2B5EF4-FFF2-40B4-BE49-F238E27FC236}">
              <a16:creationId xmlns:a16="http://schemas.microsoft.com/office/drawing/2014/main" id="{3B20140C-CB71-4125-B17E-630E3909D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715500"/>
          <a:ext cx="37338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D195-9332-49D8-AFEE-2E08D9DCE0C5}">
  <dimension ref="B6:L28"/>
  <sheetViews>
    <sheetView tabSelected="1" zoomScale="80" zoomScaleNormal="80" workbookViewId="0">
      <selection activeCell="E28" sqref="E28"/>
    </sheetView>
  </sheetViews>
  <sheetFormatPr baseColWidth="10" defaultRowHeight="15" x14ac:dyDescent="0.25"/>
  <cols>
    <col min="2" max="2" width="33.42578125" customWidth="1"/>
    <col min="3" max="3" width="16.140625" customWidth="1"/>
    <col min="4" max="4" width="24.28515625" customWidth="1"/>
    <col min="5" max="5" width="16.85546875" customWidth="1"/>
    <col min="6" max="6" width="8.42578125" customWidth="1"/>
    <col min="11" max="11" width="2.7109375" customWidth="1"/>
  </cols>
  <sheetData>
    <row r="6" spans="2:12" ht="21" x14ac:dyDescent="0.35">
      <c r="B6" s="5" t="s">
        <v>10</v>
      </c>
      <c r="C6" s="6">
        <v>57</v>
      </c>
      <c r="D6" s="3" t="s">
        <v>11</v>
      </c>
      <c r="E6" s="3" t="s">
        <v>3</v>
      </c>
      <c r="F6" s="4">
        <f>C7/(C8*C8/10000)</f>
        <v>28.703703703703702</v>
      </c>
      <c r="G6" s="3" t="s">
        <v>15</v>
      </c>
      <c r="H6" s="3"/>
    </row>
    <row r="7" spans="2:12" ht="21" x14ac:dyDescent="0.35">
      <c r="B7" s="5" t="s">
        <v>0</v>
      </c>
      <c r="C7" s="6">
        <v>93</v>
      </c>
      <c r="D7" s="3" t="s">
        <v>4</v>
      </c>
      <c r="E7" s="3"/>
      <c r="F7" s="3"/>
      <c r="G7" s="3"/>
      <c r="H7" s="3"/>
    </row>
    <row r="8" spans="2:12" ht="21" x14ac:dyDescent="0.35">
      <c r="B8" s="5" t="s">
        <v>1</v>
      </c>
      <c r="C8" s="6">
        <v>180</v>
      </c>
      <c r="D8" s="3" t="s">
        <v>5</v>
      </c>
      <c r="E8" s="3" t="s">
        <v>8</v>
      </c>
      <c r="F8" s="4">
        <f>((9270*C7)/(Calculos!A10+(G10*F6)))</f>
        <v>66.934006211180119</v>
      </c>
      <c r="G8" s="3" t="s">
        <v>4</v>
      </c>
      <c r="H8" s="3"/>
      <c r="L8" s="12"/>
    </row>
    <row r="9" spans="2:12" ht="21" x14ac:dyDescent="0.35">
      <c r="B9" s="5" t="s">
        <v>17</v>
      </c>
      <c r="C9" s="7">
        <f>(POWER(C7,0.425))*(POWER(C8,0.725))*0.007184</f>
        <v>2.1283553674160181</v>
      </c>
      <c r="D9" s="3" t="s">
        <v>18</v>
      </c>
      <c r="E9" s="3"/>
      <c r="F9" s="3"/>
      <c r="G9" s="3"/>
      <c r="H9" s="3"/>
    </row>
    <row r="10" spans="2:12" ht="21" x14ac:dyDescent="0.35">
      <c r="B10" s="5" t="s">
        <v>2</v>
      </c>
      <c r="C10" s="8" t="s">
        <v>7</v>
      </c>
      <c r="D10" s="9">
        <f>IF(C10="Masculino",1,0)</f>
        <v>1</v>
      </c>
      <c r="E10" s="3"/>
      <c r="F10" s="9">
        <f>IF(D10=0,0.82,1)</f>
        <v>1</v>
      </c>
      <c r="G10" s="9">
        <f>IF(D10=1,216,244)</f>
        <v>216</v>
      </c>
      <c r="H10" s="3"/>
    </row>
    <row r="11" spans="2:12" ht="21" x14ac:dyDescent="0.35">
      <c r="B11" s="5"/>
      <c r="C11" s="3"/>
      <c r="D11" s="3"/>
      <c r="E11" s="3"/>
      <c r="F11" s="3"/>
      <c r="G11" s="3"/>
      <c r="H11" s="3"/>
    </row>
    <row r="12" spans="2:12" ht="21" x14ac:dyDescent="0.35">
      <c r="B12" s="5" t="s">
        <v>9</v>
      </c>
      <c r="C12" s="6">
        <v>0.26</v>
      </c>
      <c r="D12" s="3" t="s">
        <v>12</v>
      </c>
      <c r="E12" s="5" t="s">
        <v>19</v>
      </c>
      <c r="F12" s="6">
        <v>1.03</v>
      </c>
      <c r="G12" s="3" t="s">
        <v>35</v>
      </c>
      <c r="H12" s="3"/>
    </row>
    <row r="13" spans="2:12" ht="21" x14ac:dyDescent="0.35">
      <c r="E13" s="3"/>
      <c r="F13" s="3"/>
      <c r="G13" s="3"/>
      <c r="H13" s="3"/>
    </row>
    <row r="15" spans="2:12" ht="15" customHeight="1" x14ac:dyDescent="0.25">
      <c r="B15" s="13" t="s">
        <v>36</v>
      </c>
      <c r="C15" s="13"/>
      <c r="D15" s="13"/>
    </row>
    <row r="16" spans="2:12" ht="15" customHeight="1" x14ac:dyDescent="0.25">
      <c r="B16" s="13"/>
      <c r="C16" s="13"/>
      <c r="D16" s="13"/>
    </row>
    <row r="17" spans="2:6" ht="19.5" x14ac:dyDescent="0.3">
      <c r="B17" s="10" t="s">
        <v>13</v>
      </c>
      <c r="C17" s="11">
        <f>((140-C6)*Calculos!A8/(72*C12))*Calculos!B10</f>
        <v>412.33974358974359</v>
      </c>
      <c r="D17" s="10" t="s">
        <v>14</v>
      </c>
    </row>
    <row r="18" spans="2:6" ht="19.5" x14ac:dyDescent="0.3">
      <c r="B18" s="10" t="s">
        <v>40</v>
      </c>
      <c r="C18" s="11">
        <f>(1.73/C9)*C17</f>
        <v>335.16383933398947</v>
      </c>
      <c r="D18" s="10" t="s">
        <v>16</v>
      </c>
      <c r="F18" s="1"/>
    </row>
    <row r="19" spans="2:6" ht="15" customHeight="1" x14ac:dyDescent="0.25">
      <c r="B19" s="13" t="s">
        <v>38</v>
      </c>
      <c r="C19" s="13"/>
      <c r="D19" s="13"/>
    </row>
    <row r="20" spans="2:6" ht="15" customHeight="1" x14ac:dyDescent="0.25">
      <c r="B20" s="13"/>
      <c r="C20" s="13"/>
      <c r="D20" s="13"/>
    </row>
    <row r="21" spans="2:6" ht="19.5" x14ac:dyDescent="0.3">
      <c r="B21" s="10" t="s">
        <v>40</v>
      </c>
      <c r="C21" s="11">
        <f>142*(POWER((C12/Calculos!H3),Calculos!H4))*(POWER(0.9938,C6))*Calculos!H5</f>
        <v>144.94064795341623</v>
      </c>
      <c r="D21" s="10" t="s">
        <v>16</v>
      </c>
      <c r="E21" t="str">
        <f>IF(F6&gt;30,"Preferir C-G","")</f>
        <v/>
      </c>
    </row>
    <row r="22" spans="2:6" ht="19.5" x14ac:dyDescent="0.3">
      <c r="B22" s="10" t="s">
        <v>37</v>
      </c>
      <c r="C22" s="11">
        <f>(C9/1.73)*C21</f>
        <v>178.31514799329997</v>
      </c>
      <c r="D22" s="10" t="s">
        <v>14</v>
      </c>
    </row>
    <row r="23" spans="2:6" ht="15" customHeight="1" x14ac:dyDescent="0.25">
      <c r="B23" s="13" t="s">
        <v>39</v>
      </c>
      <c r="C23" s="13"/>
      <c r="D23" s="13"/>
    </row>
    <row r="24" spans="2:6" ht="15" customHeight="1" x14ac:dyDescent="0.25">
      <c r="B24" s="13"/>
      <c r="C24" s="13"/>
      <c r="D24" s="13"/>
    </row>
    <row r="25" spans="2:6" ht="19.5" x14ac:dyDescent="0.3">
      <c r="B25" s="10" t="s">
        <v>40</v>
      </c>
      <c r="C25" s="11">
        <f>IFERROR(135*(POWER((C12/Calculos!S4),Calculos!S5))*(POWER((F12/Calculos!S6),Calculos!S7))*(POWER(0.9961,C6))*Calculos!S8,"NO USAR")</f>
        <v>106.13845521325405</v>
      </c>
      <c r="D25" s="10" t="s">
        <v>16</v>
      </c>
      <c r="E25" t="str">
        <f>IF(F6&gt;30,"Preferir C-G","")</f>
        <v/>
      </c>
    </row>
    <row r="26" spans="2:6" ht="19.5" x14ac:dyDescent="0.3">
      <c r="B26" s="10" t="s">
        <v>37</v>
      </c>
      <c r="C26" s="11">
        <f>IFERROR((C9/1.73)*C25,"NO USAR")</f>
        <v>130.578237481141</v>
      </c>
      <c r="D26" s="10" t="s">
        <v>14</v>
      </c>
    </row>
    <row r="27" spans="2:6" ht="21" x14ac:dyDescent="0.35">
      <c r="B27" s="14" t="s">
        <v>34</v>
      </c>
      <c r="C27" s="14"/>
      <c r="D27" s="14"/>
    </row>
    <row r="28" spans="2:6" ht="19.5" x14ac:dyDescent="0.3">
      <c r="B28" s="11" t="s">
        <v>40</v>
      </c>
      <c r="C28" s="11" t="str">
        <f>IF(C6&gt;70,3736*(POWER(C12,-0.87)*(POWER(C6,-0.95))*F10),"NO USAR")</f>
        <v>NO USAR</v>
      </c>
      <c r="D28" s="10" t="s">
        <v>16</v>
      </c>
    </row>
  </sheetData>
  <mergeCells count="4">
    <mergeCell ref="B15:D16"/>
    <mergeCell ref="B19:D20"/>
    <mergeCell ref="B23:D24"/>
    <mergeCell ref="B27:D27"/>
  </mergeCells>
  <phoneticPr fontId="4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B2B669-1B4E-4C06-9CC1-141676066B2C}">
          <x14:formula1>
            <xm:f>listas!$A$2:$A$3</xm:f>
          </x14:formula1>
          <xm:sqref>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7A1D-18CA-4EFD-BB5D-C9364475FFF0}">
  <dimension ref="A1:S10"/>
  <sheetViews>
    <sheetView topLeftCell="A34" workbookViewId="0">
      <selection activeCell="B52" sqref="B52"/>
    </sheetView>
  </sheetViews>
  <sheetFormatPr baseColWidth="10" defaultRowHeight="15" x14ac:dyDescent="0.25"/>
  <sheetData>
    <row r="1" spans="1:19" x14ac:dyDescent="0.25">
      <c r="B1" t="s">
        <v>22</v>
      </c>
      <c r="C1" t="s">
        <v>22</v>
      </c>
      <c r="E1" t="s">
        <v>26</v>
      </c>
      <c r="F1" t="s">
        <v>26</v>
      </c>
      <c r="K1" t="s">
        <v>31</v>
      </c>
      <c r="L1" t="s">
        <v>31</v>
      </c>
      <c r="M1" t="s">
        <v>31</v>
      </c>
      <c r="N1" t="s">
        <v>31</v>
      </c>
      <c r="O1" t="s">
        <v>23</v>
      </c>
      <c r="P1" t="s">
        <v>23</v>
      </c>
      <c r="Q1" t="s">
        <v>23</v>
      </c>
      <c r="R1" t="s">
        <v>23</v>
      </c>
    </row>
    <row r="2" spans="1:19" x14ac:dyDescent="0.25">
      <c r="B2" t="s">
        <v>25</v>
      </c>
      <c r="C2" t="s">
        <v>24</v>
      </c>
      <c r="E2" t="s">
        <v>27</v>
      </c>
      <c r="F2" t="s">
        <v>28</v>
      </c>
      <c r="K2" t="s">
        <v>25</v>
      </c>
      <c r="L2" t="s">
        <v>25</v>
      </c>
      <c r="M2" t="s">
        <v>24</v>
      </c>
      <c r="N2" t="s">
        <v>24</v>
      </c>
      <c r="O2" t="s">
        <v>27</v>
      </c>
      <c r="P2" t="s">
        <v>27</v>
      </c>
      <c r="Q2" t="s">
        <v>28</v>
      </c>
      <c r="R2" t="s">
        <v>28</v>
      </c>
    </row>
    <row r="3" spans="1:19" x14ac:dyDescent="0.25">
      <c r="A3" t="s">
        <v>20</v>
      </c>
      <c r="B3">
        <v>0.7</v>
      </c>
      <c r="C3">
        <v>0.7</v>
      </c>
      <c r="E3">
        <v>0.9</v>
      </c>
      <c r="F3">
        <v>0.9</v>
      </c>
      <c r="H3">
        <f>IF(Clrobesos!D10=1,0.9,0.7)</f>
        <v>0.9</v>
      </c>
      <c r="K3" t="s">
        <v>32</v>
      </c>
      <c r="L3" t="s">
        <v>33</v>
      </c>
      <c r="M3" t="s">
        <v>32</v>
      </c>
      <c r="N3" t="s">
        <v>33</v>
      </c>
      <c r="O3" t="s">
        <v>32</v>
      </c>
      <c r="P3" t="s">
        <v>33</v>
      </c>
      <c r="Q3" t="s">
        <v>32</v>
      </c>
      <c r="R3" t="s">
        <v>33</v>
      </c>
    </row>
    <row r="4" spans="1:19" x14ac:dyDescent="0.25">
      <c r="A4" t="s">
        <v>21</v>
      </c>
      <c r="B4">
        <v>-0.24099999999999999</v>
      </c>
      <c r="C4">
        <v>-1.2</v>
      </c>
      <c r="E4">
        <v>-0.30199999999999999</v>
      </c>
      <c r="F4">
        <v>-1.2</v>
      </c>
      <c r="H4">
        <f>IF(AND(Clrobesos!D10=1,Clrobesos!C12&gt;0.9),-1.2,IF(AND(Clrobesos!D10=1,Clrobesos!C12&lt;=0.9),-0.302,IF(AND(Clrobesos!D10=0,Clrobesos!C12&gt;0.7),-1.2,IF(AND(Clrobesos!D10=0,Clrobesos!C12&lt;=0.7),-0.241,"ERROR REVISAR"))))</f>
        <v>-0.30199999999999999</v>
      </c>
      <c r="J4" t="s">
        <v>20</v>
      </c>
      <c r="K4">
        <v>0.7</v>
      </c>
      <c r="L4">
        <v>0.7</v>
      </c>
      <c r="M4">
        <v>0.7</v>
      </c>
      <c r="N4">
        <v>0.7</v>
      </c>
      <c r="O4">
        <v>0.9</v>
      </c>
      <c r="P4">
        <v>0.9</v>
      </c>
      <c r="Q4">
        <v>0.9</v>
      </c>
      <c r="R4">
        <v>0.9</v>
      </c>
      <c r="S4">
        <f>IF(Clrobesos!D10=0,0.7,0.9)</f>
        <v>0.9</v>
      </c>
    </row>
    <row r="5" spans="1:19" x14ac:dyDescent="0.25">
      <c r="H5">
        <f>IF(Clrobesos!D10=1,1,1.012)</f>
        <v>1</v>
      </c>
      <c r="J5" t="s">
        <v>21</v>
      </c>
      <c r="K5">
        <v>-0.219</v>
      </c>
      <c r="L5">
        <v>-0.219</v>
      </c>
      <c r="M5">
        <v>-0.54400000000000004</v>
      </c>
      <c r="N5">
        <v>-0.54400000000000004</v>
      </c>
      <c r="O5">
        <v>-0.14399999999999999</v>
      </c>
      <c r="P5">
        <v>-0.14399999999999999</v>
      </c>
      <c r="Q5">
        <v>-0.54400000000000004</v>
      </c>
      <c r="R5">
        <v>-0.54400000000000004</v>
      </c>
      <c r="S5">
        <f>IF(AND(Clrobesos!D10=0,Clrobesos!C12&lt;=0.7),-0.219,IF(AND(Clrobesos!D10=0,Clrobesos!C12&gt;0.7),-0.544,IF(AND(Clrobesos!D10=1,Clrobesos!C12&lt;=0.9),-0.144,IF(AND(Clrobesos!D10=1,Clrobesos!C12&gt;0.9),-0.544,"ERROR GRAVE"))))</f>
        <v>-0.14399999999999999</v>
      </c>
    </row>
    <row r="6" spans="1:19" x14ac:dyDescent="0.25">
      <c r="J6" t="s">
        <v>29</v>
      </c>
      <c r="K6">
        <v>0.8</v>
      </c>
      <c r="L6">
        <v>0.8</v>
      </c>
      <c r="M6">
        <v>0.8</v>
      </c>
      <c r="N6">
        <v>0.8</v>
      </c>
      <c r="O6">
        <v>0.8</v>
      </c>
      <c r="P6">
        <v>0.8</v>
      </c>
      <c r="Q6">
        <v>0.8</v>
      </c>
      <c r="R6">
        <v>0.8</v>
      </c>
      <c r="S6">
        <v>0.8</v>
      </c>
    </row>
    <row r="7" spans="1:19" x14ac:dyDescent="0.25">
      <c r="J7" t="s">
        <v>30</v>
      </c>
      <c r="K7">
        <v>-0.32300000000000001</v>
      </c>
      <c r="L7">
        <v>-0.77800000000000002</v>
      </c>
      <c r="M7">
        <v>-0.32300000000000001</v>
      </c>
      <c r="N7">
        <v>-0.77800000000000002</v>
      </c>
      <c r="O7">
        <v>-0.32300000000000001</v>
      </c>
      <c r="P7">
        <v>-0.77800000000000002</v>
      </c>
      <c r="Q7">
        <v>-0.32300000000000001</v>
      </c>
      <c r="R7">
        <v>-0.77800000000000002</v>
      </c>
      <c r="S7">
        <f>IF(Clrobesos!F12&lt;=0.8,-0.323,IF(Clrobesos!F12&gt;0.8,-0.778,"ERROR GRAVE"))</f>
        <v>-0.77800000000000002</v>
      </c>
    </row>
    <row r="8" spans="1:19" x14ac:dyDescent="0.25">
      <c r="A8" s="2">
        <f>IF(Clrobesos!F6&gt;30,Clrobesos!F8,Clrobesos!C7)</f>
        <v>93</v>
      </c>
      <c r="S8">
        <f>IF(Clrobesos!D10=0,0.963,1)</f>
        <v>1</v>
      </c>
    </row>
    <row r="10" spans="1:19" x14ac:dyDescent="0.25">
      <c r="A10" s="2">
        <f>IF(Clrobesos!D10=1,6680,6780)</f>
        <v>6680</v>
      </c>
      <c r="B10" s="2">
        <f>IF(Clrobesos!D10=1,1,0.85)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CA9B-C079-408E-AB3F-6E8A50377398}">
  <dimension ref="A2:A3"/>
  <sheetViews>
    <sheetView workbookViewId="0">
      <selection activeCell="A4" sqref="A4"/>
    </sheetView>
  </sheetViews>
  <sheetFormatPr baseColWidth="10" defaultRowHeight="15" x14ac:dyDescent="0.25"/>
  <sheetData>
    <row r="2" spans="1:1" x14ac:dyDescent="0.25">
      <c r="A2" t="s">
        <v>6</v>
      </c>
    </row>
    <row r="3" spans="1:1" x14ac:dyDescent="0.25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Clrobesos</vt:lpstr>
      <vt:lpstr>Calculos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QF clínicos UPC</dc:creator>
  <cp:lastModifiedBy>Oficina QF clínicos UPC</cp:lastModifiedBy>
  <dcterms:created xsi:type="dcterms:W3CDTF">2024-08-12T14:27:57Z</dcterms:created>
  <dcterms:modified xsi:type="dcterms:W3CDTF">2024-08-13T15:36:21Z</dcterms:modified>
</cp:coreProperties>
</file>