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Lab\.Shuyi Zhang Lab\.RetroVirus\Transfection\"/>
    </mc:Choice>
  </mc:AlternateContent>
  <xr:revisionPtr revIDLastSave="0" documentId="13_ncr:1_{22776938-6C1B-438D-99BC-0D4493938F0B}" xr6:coauthVersionLast="47" xr6:coauthVersionMax="47" xr10:uidLastSave="{00000000-0000-0000-0000-000000000000}"/>
  <bookViews>
    <workbookView xWindow="-98" yWindow="-98" windowWidth="23236" windowHeight="13996" xr2:uid="{00000000-000D-0000-FFFF-FFFF00000000}"/>
  </bookViews>
  <sheets>
    <sheet name="T-calculator" sheetId="2" r:id="rId1"/>
    <sheet name="Plasmid_Info" sheetId="1" r:id="rId2"/>
    <sheet name="Plate_Info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" i="2" l="1"/>
  <c r="E33" i="2" l="1"/>
  <c r="F5" i="4"/>
  <c r="F6" i="4"/>
  <c r="F7" i="4"/>
  <c r="F8" i="4"/>
  <c r="F9" i="4"/>
  <c r="F10" i="4"/>
  <c r="F4" i="4"/>
  <c r="N34" i="2"/>
  <c r="N35" i="2" s="1"/>
  <c r="N36" i="2" s="1"/>
  <c r="M34" i="2"/>
  <c r="M35" i="2" s="1"/>
  <c r="L34" i="2"/>
  <c r="K34" i="2"/>
  <c r="J34" i="2"/>
  <c r="J35" i="2" s="1"/>
  <c r="I34" i="2"/>
  <c r="I35" i="2" s="1"/>
  <c r="I37" i="2" s="1"/>
  <c r="H34" i="2"/>
  <c r="G34" i="2"/>
  <c r="F34" i="2"/>
  <c r="E34" i="2"/>
  <c r="D34" i="2"/>
  <c r="C34" i="2"/>
  <c r="C21" i="2"/>
  <c r="N33" i="2"/>
  <c r="M33" i="2"/>
  <c r="L33" i="2"/>
  <c r="K33" i="2"/>
  <c r="J33" i="2"/>
  <c r="I33" i="2"/>
  <c r="H33" i="2"/>
  <c r="G33" i="2"/>
  <c r="F33" i="2"/>
  <c r="D33" i="2"/>
  <c r="C33" i="2"/>
  <c r="C20" i="2"/>
  <c r="N29" i="2"/>
  <c r="R5" i="2"/>
  <c r="Q8" i="2"/>
  <c r="C8" i="2"/>
  <c r="Q7" i="2"/>
  <c r="C7" i="2"/>
  <c r="N3" i="2"/>
  <c r="N8" i="2"/>
  <c r="M8" i="2"/>
  <c r="L8" i="2"/>
  <c r="K8" i="2"/>
  <c r="J8" i="2"/>
  <c r="I8" i="2"/>
  <c r="H8" i="2"/>
  <c r="G8" i="2"/>
  <c r="F8" i="2"/>
  <c r="E8" i="2"/>
  <c r="D8" i="2"/>
  <c r="N7" i="2"/>
  <c r="M7" i="2"/>
  <c r="L7" i="2"/>
  <c r="K7" i="2"/>
  <c r="J7" i="2"/>
  <c r="I7" i="2"/>
  <c r="H7" i="2"/>
  <c r="G7" i="2"/>
  <c r="F7" i="2"/>
  <c r="E7" i="2"/>
  <c r="D7" i="2"/>
  <c r="N20" i="2"/>
  <c r="M20" i="2"/>
  <c r="L20" i="2"/>
  <c r="K20" i="2"/>
  <c r="J20" i="2"/>
  <c r="N21" i="2"/>
  <c r="M21" i="2"/>
  <c r="L21" i="2"/>
  <c r="K21" i="2"/>
  <c r="J21" i="2"/>
  <c r="I21" i="2"/>
  <c r="I20" i="2"/>
  <c r="H20" i="2"/>
  <c r="G20" i="2"/>
  <c r="F20" i="2"/>
  <c r="H21" i="2"/>
  <c r="G21" i="2"/>
  <c r="F21" i="2"/>
  <c r="E21" i="2"/>
  <c r="D21" i="2"/>
  <c r="E20" i="2"/>
  <c r="D20" i="2"/>
  <c r="N16" i="2"/>
  <c r="Q9" i="2" l="1"/>
  <c r="C35" i="2"/>
  <c r="C37" i="2" s="1"/>
  <c r="D35" i="2"/>
  <c r="D36" i="2" s="1"/>
  <c r="E35" i="2"/>
  <c r="E36" i="2" s="1"/>
  <c r="F35" i="2"/>
  <c r="F36" i="2" s="1"/>
  <c r="M36" i="2"/>
  <c r="C22" i="2"/>
  <c r="C24" i="2" s="1"/>
  <c r="G35" i="2"/>
  <c r="G36" i="2" s="1"/>
  <c r="K35" i="2"/>
  <c r="K36" i="2" s="1"/>
  <c r="L35" i="2"/>
  <c r="I36" i="2"/>
  <c r="H35" i="2"/>
  <c r="H36" i="2" s="1"/>
  <c r="J36" i="2"/>
  <c r="L22" i="2"/>
  <c r="C9" i="2"/>
  <c r="C11" i="2" s="1"/>
  <c r="I9" i="2"/>
  <c r="I11" i="2" s="1"/>
  <c r="M9" i="2"/>
  <c r="M11" i="2" s="1"/>
  <c r="J9" i="2"/>
  <c r="J11" i="2" s="1"/>
  <c r="N9" i="2"/>
  <c r="N11" i="2" s="1"/>
  <c r="H9" i="2"/>
  <c r="H11" i="2" s="1"/>
  <c r="K9" i="2"/>
  <c r="K11" i="2" s="1"/>
  <c r="L9" i="2"/>
  <c r="L11" i="2" s="1"/>
  <c r="D9" i="2"/>
  <c r="D11" i="2" s="1"/>
  <c r="E9" i="2"/>
  <c r="E11" i="2" s="1"/>
  <c r="F9" i="2"/>
  <c r="F11" i="2" s="1"/>
  <c r="G9" i="2"/>
  <c r="G11" i="2" s="1"/>
  <c r="D22" i="2"/>
  <c r="F22" i="2"/>
  <c r="H22" i="2"/>
  <c r="K22" i="2"/>
  <c r="K24" i="2" s="1"/>
  <c r="N22" i="2"/>
  <c r="N23" i="2" s="1"/>
  <c r="M22" i="2"/>
  <c r="M24" i="2" s="1"/>
  <c r="E22" i="2"/>
  <c r="E24" i="2" s="1"/>
  <c r="G22" i="2"/>
  <c r="G24" i="2" s="1"/>
  <c r="I22" i="2"/>
  <c r="I24" i="2" s="1"/>
  <c r="J22" i="2"/>
  <c r="C36" i="2" l="1"/>
  <c r="C38" i="2" s="1"/>
  <c r="F37" i="2"/>
  <c r="F38" i="2" s="1"/>
  <c r="C23" i="2"/>
  <c r="I38" i="2"/>
  <c r="L36" i="2"/>
  <c r="L37" i="2"/>
  <c r="H10" i="2"/>
  <c r="H12" i="2" s="1"/>
  <c r="I10" i="2"/>
  <c r="I12" i="2" s="1"/>
  <c r="C10" i="2"/>
  <c r="C12" i="2" s="1"/>
  <c r="G10" i="2"/>
  <c r="G12" i="2" s="1"/>
  <c r="E10" i="2"/>
  <c r="E12" i="2" s="1"/>
  <c r="D10" i="2"/>
  <c r="D12" i="2" s="1"/>
  <c r="L10" i="2"/>
  <c r="L12" i="2" s="1"/>
  <c r="K10" i="2"/>
  <c r="K12" i="2" s="1"/>
  <c r="N10" i="2"/>
  <c r="N12" i="2" s="1"/>
  <c r="M10" i="2"/>
  <c r="M12" i="2" s="1"/>
  <c r="J10" i="2"/>
  <c r="J12" i="2" s="1"/>
  <c r="F10" i="2"/>
  <c r="F12" i="2" s="1"/>
  <c r="L38" i="2" l="1"/>
  <c r="D23" i="2"/>
  <c r="C25" i="2" s="1"/>
  <c r="E23" i="2" l="1"/>
  <c r="F23" i="2" l="1"/>
  <c r="E25" i="2" s="1"/>
  <c r="G23" i="2" l="1"/>
  <c r="H23" i="2" l="1"/>
  <c r="G25" i="2" s="1"/>
  <c r="I23" i="2" l="1"/>
  <c r="J23" i="2" l="1"/>
  <c r="I25" i="2" s="1"/>
  <c r="K23" i="2" l="1"/>
  <c r="L23" i="2" l="1"/>
  <c r="K25" i="2" s="1"/>
  <c r="M23" i="2" l="1"/>
  <c r="M25" i="2" l="1"/>
  <c r="Q11" i="2"/>
  <c r="Q10" i="2"/>
  <c r="Q12" i="2" l="1"/>
</calcChain>
</file>

<file path=xl/sharedStrings.xml><?xml version="1.0" encoding="utf-8"?>
<sst xmlns="http://schemas.openxmlformats.org/spreadsheetml/2006/main" count="166" uniqueCount="113">
  <si>
    <t>index</t>
    <phoneticPr fontId="1" type="noConversion"/>
  </si>
  <si>
    <t>Index</t>
    <phoneticPr fontId="1" type="noConversion"/>
  </si>
  <si>
    <t>Label</t>
    <phoneticPr fontId="1" type="noConversion"/>
  </si>
  <si>
    <t>c (ng/uL)</t>
    <phoneticPr fontId="1" type="noConversion"/>
  </si>
  <si>
    <t>Date</t>
    <phoneticPr fontId="1" type="noConversion"/>
  </si>
  <si>
    <t>实验组编号</t>
    <phoneticPr fontId="1" type="noConversion"/>
  </si>
  <si>
    <t>质粒数=1</t>
    <phoneticPr fontId="1" type="noConversion"/>
  </si>
  <si>
    <t>质粒编号</t>
    <phoneticPr fontId="1" type="noConversion"/>
  </si>
  <si>
    <t>质粒批次</t>
    <phoneticPr fontId="1" type="noConversion"/>
  </si>
  <si>
    <t>质粒名</t>
    <phoneticPr fontId="1" type="noConversion"/>
  </si>
  <si>
    <t>孔板</t>
    <phoneticPr fontId="1" type="noConversion"/>
  </si>
  <si>
    <t>孔板信息</t>
    <phoneticPr fontId="1" type="noConversion"/>
  </si>
  <si>
    <t>6cm</t>
    <phoneticPr fontId="1" type="noConversion"/>
  </si>
  <si>
    <t>10cm</t>
    <phoneticPr fontId="1" type="noConversion"/>
  </si>
  <si>
    <t>规格</t>
    <phoneticPr fontId="1" type="noConversion"/>
  </si>
  <si>
    <t>面积(cm2)</t>
    <phoneticPr fontId="1" type="noConversion"/>
  </si>
  <si>
    <t>稀释体积</t>
    <phoneticPr fontId="1" type="noConversion"/>
  </si>
  <si>
    <t>Neofect</t>
    <phoneticPr fontId="1" type="noConversion"/>
  </si>
  <si>
    <t>培养基</t>
    <phoneticPr fontId="1" type="noConversion"/>
  </si>
  <si>
    <t>p (uL)</t>
    <phoneticPr fontId="1" type="noConversion"/>
  </si>
  <si>
    <t>96well</t>
    <phoneticPr fontId="1" type="noConversion"/>
  </si>
  <si>
    <t>48well</t>
    <phoneticPr fontId="1" type="noConversion"/>
  </si>
  <si>
    <t>24well</t>
    <phoneticPr fontId="1" type="noConversion"/>
  </si>
  <si>
    <t>12well</t>
    <phoneticPr fontId="1" type="noConversion"/>
  </si>
  <si>
    <t>6well</t>
    <phoneticPr fontId="1" type="noConversion"/>
  </si>
  <si>
    <t>孔板编号</t>
    <phoneticPr fontId="1" type="noConversion"/>
  </si>
  <si>
    <t>Opti-MEM</t>
    <phoneticPr fontId="1" type="noConversion"/>
  </si>
  <si>
    <t>p (ug)</t>
    <phoneticPr fontId="1" type="noConversion"/>
  </si>
  <si>
    <t>pDNA(ug)</t>
    <phoneticPr fontId="1" type="noConversion"/>
  </si>
  <si>
    <t>共转质粒数=2</t>
    <phoneticPr fontId="1" type="noConversion"/>
  </si>
  <si>
    <t>共转质粒数=3</t>
    <phoneticPr fontId="1" type="noConversion"/>
  </si>
  <si>
    <t>多组平行重复</t>
    <phoneticPr fontId="1" type="noConversion"/>
  </si>
  <si>
    <t>孔数N=</t>
    <phoneticPr fontId="1" type="noConversion"/>
  </si>
  <si>
    <t>Neofect (uL)</t>
    <phoneticPr fontId="1" type="noConversion"/>
  </si>
  <si>
    <t>Opti-MEM (uL)</t>
    <phoneticPr fontId="1" type="noConversion"/>
  </si>
  <si>
    <t>绿色部分手动填写</t>
    <phoneticPr fontId="1" type="noConversion"/>
  </si>
  <si>
    <t>Neofect倍数</t>
    <phoneticPr fontId="1" type="noConversion"/>
  </si>
  <si>
    <t>N/p</t>
    <phoneticPr fontId="1" type="noConversion"/>
  </si>
  <si>
    <t>多于预设组数时分次填写</t>
    <phoneticPr fontId="1" type="noConversion"/>
  </si>
  <si>
    <t>质粒 (ug)</t>
    <phoneticPr fontId="1" type="noConversion"/>
  </si>
  <si>
    <t>质粒 (uL)</t>
    <phoneticPr fontId="1" type="noConversion"/>
  </si>
  <si>
    <t>孔板类型</t>
    <phoneticPr fontId="1" type="noConversion"/>
  </si>
  <si>
    <t>黄色部分实验用值</t>
    <phoneticPr fontId="1" type="noConversion"/>
  </si>
  <si>
    <t>批次1</t>
    <phoneticPr fontId="1" type="noConversion"/>
  </si>
  <si>
    <t>批次2</t>
    <phoneticPr fontId="1" type="noConversion"/>
  </si>
  <si>
    <t>批次3</t>
    <phoneticPr fontId="1" type="noConversion"/>
  </si>
  <si>
    <t>批次4</t>
    <phoneticPr fontId="1" type="noConversion"/>
  </si>
  <si>
    <t>Neofect protocol</t>
    <phoneticPr fontId="1" type="noConversion"/>
  </si>
  <si>
    <t>其余部分自动计算</t>
    <phoneticPr fontId="1" type="noConversion"/>
  </si>
  <si>
    <t>wyc</t>
    <phoneticPr fontId="1" type="noConversion"/>
  </si>
  <si>
    <t>Index必须升序，Label可以随意</t>
    <phoneticPr fontId="1" type="noConversion"/>
  </si>
  <si>
    <t>Abbr.</t>
    <phoneticPr fontId="1" type="noConversion"/>
  </si>
  <si>
    <t>两步粘贴：保留格式-保留值</t>
    <phoneticPr fontId="1" type="noConversion"/>
  </si>
  <si>
    <t>是否+1</t>
    <phoneticPr fontId="1" type="noConversion"/>
  </si>
  <si>
    <t>changelog</t>
    <phoneticPr fontId="1" type="noConversion"/>
  </si>
  <si>
    <t>21.11.25 v0.1 initial release</t>
    <phoneticPr fontId="1" type="noConversion"/>
  </si>
  <si>
    <t>细胞转染计算器V0.2</t>
    <phoneticPr fontId="1" type="noConversion"/>
  </si>
  <si>
    <t>2021.11.27</t>
    <phoneticPr fontId="1" type="noConversion"/>
  </si>
  <si>
    <t>21.11.27 平行重复增加孔数+1选项，避免大体积下浪费，高亮批次</t>
    <phoneticPr fontId="1" type="noConversion"/>
  </si>
  <si>
    <t>.</t>
    <phoneticPr fontId="1" type="noConversion"/>
  </si>
  <si>
    <t>21.02.29</t>
    <phoneticPr fontId="1" type="noConversion"/>
  </si>
  <si>
    <t>p000</t>
    <phoneticPr fontId="1" type="noConversion"/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</si>
  <si>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</si>
  <si>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</si>
  <si>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</si>
  <si>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</si>
  <si>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</si>
  <si>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</si>
  <si>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</si>
  <si>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</si>
  <si>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</si>
  <si>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</si>
  <si>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</si>
  <si>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</si>
  <si>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</si>
  <si>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</si>
  <si>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</si>
  <si>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</si>
  <si>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</si>
  <si>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</si>
  <si>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</si>
  <si>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</si>
  <si>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</si>
  <si>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</si>
  <si>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</si>
  <si>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</si>
  <si>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</si>
  <si>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</si>
  <si>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</si>
  <si>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</si>
  <si>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</si>
  <si>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</si>
  <si>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p031</t>
  </si>
  <si>
    <t>p032</t>
  </si>
  <si>
    <t>p033</t>
  </si>
  <si>
    <t>p034</t>
  </si>
  <si>
    <t>p035</t>
  </si>
  <si>
    <t>p036</t>
  </si>
  <si>
    <t>p037</t>
  </si>
  <si>
    <t>p038</t>
  </si>
  <si>
    <t>p039</t>
  </si>
  <si>
    <t>p040</t>
  </si>
  <si>
    <t>sample plasmid 1</t>
    <phoneticPr fontId="1" type="noConversion"/>
  </si>
  <si>
    <t>Samp1</t>
    <phoneticPr fontId="1" type="noConversion"/>
  </si>
  <si>
    <t>Samp2</t>
    <phoneticPr fontId="1" type="noConversion"/>
  </si>
  <si>
    <t>Samp3</t>
    <phoneticPr fontId="1" type="noConversion"/>
  </si>
  <si>
    <t>sample plasmid 2</t>
    <phoneticPr fontId="1" type="noConversion"/>
  </si>
  <si>
    <t>sample plasmid 3</t>
    <phoneticPr fontId="1" type="noConversion"/>
  </si>
  <si>
    <t>p001</t>
    <phoneticPr fontId="1" type="noConversion"/>
  </si>
  <si>
    <t>p002</t>
    <phoneticPr fontId="1" type="noConversion"/>
  </si>
  <si>
    <t>Y</t>
    <phoneticPr fontId="1" type="noConversion"/>
  </si>
  <si>
    <t>Each well</t>
    <phoneticPr fontId="1" type="noConversion"/>
  </si>
  <si>
    <t>21.11.28 Add Each well volume for quick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</si>
</sst>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ck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ck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indexed="64"/>
      </left>
      <right style="medium">
        <color indexed="64"/>
      </right>
      <top style="thin">
        <color theme="2" tint="-0.24994659260841701"/>
      </top>
      <bottom style="thick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ck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ck">
        <color indexed="64"/>
      </right>
      <top style="thin">
        <color theme="2" tint="-0.24994659260841701"/>
      </top>
      <bottom style="thick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ck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ck">
        <color indexed="64"/>
      </left>
      <right style="thin">
        <color theme="2" tint="-0.24994659260841701"/>
      </right>
      <top style="thin">
        <color theme="2" tint="-0.2499465926084170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auto="1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5" borderId="3" xfId="0" applyFill="1" applyBorder="1"/>
    <xf numFmtId="0" fontId="0" fillId="5" borderId="6" xfId="0" applyFill="1" applyBorder="1"/>
    <xf numFmtId="0" fontId="0" fillId="0" borderId="14" xfId="0" applyBorder="1"/>
    <xf numFmtId="0" fontId="0" fillId="5" borderId="1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6" fontId="0" fillId="6" borderId="32" xfId="0" applyNumberFormat="1" applyFill="1" applyBorder="1" applyAlignment="1">
      <alignment horizontal="center" vertical="center"/>
    </xf>
    <xf numFmtId="176" fontId="0" fillId="6" borderId="33" xfId="0" applyNumberForma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6" fontId="0" fillId="6" borderId="36" xfId="0" applyNumberFormat="1" applyFill="1" applyBorder="1" applyAlignment="1">
      <alignment horizontal="center" vertical="center"/>
    </xf>
    <xf numFmtId="176" fontId="0" fillId="6" borderId="37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176" fontId="0" fillId="6" borderId="51" xfId="0" applyNumberFormat="1" applyFill="1" applyBorder="1" applyAlignment="1">
      <alignment horizontal="center" vertical="center"/>
    </xf>
    <xf numFmtId="176" fontId="0" fillId="6" borderId="52" xfId="0" applyNumberFormat="1" applyFill="1" applyBorder="1" applyAlignment="1">
      <alignment horizontal="center" vertical="center"/>
    </xf>
    <xf numFmtId="176" fontId="0" fillId="6" borderId="53" xfId="0" applyNumberFormat="1" applyFill="1" applyBorder="1" applyAlignment="1">
      <alignment horizontal="center" vertical="center"/>
    </xf>
    <xf numFmtId="176" fontId="0" fillId="6" borderId="54" xfId="0" applyNumberFormat="1" applyFill="1" applyBorder="1" applyAlignment="1">
      <alignment horizontal="center" vertical="center"/>
    </xf>
    <xf numFmtId="176" fontId="0" fillId="6" borderId="55" xfId="0" applyNumberFormat="1" applyFill="1" applyBorder="1" applyAlignment="1">
      <alignment horizontal="center" vertical="center"/>
    </xf>
    <xf numFmtId="176" fontId="0" fillId="6" borderId="56" xfId="0" applyNumberForma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76" fontId="0" fillId="6" borderId="57" xfId="0" applyNumberFormat="1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0" fillId="2" borderId="62" xfId="0" applyFill="1" applyBorder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176" fontId="0" fillId="6" borderId="63" xfId="0" applyNumberFormat="1" applyFill="1" applyBorder="1" applyAlignment="1">
      <alignment horizontal="center" vertical="center"/>
    </xf>
    <xf numFmtId="176" fontId="0" fillId="6" borderId="64" xfId="0" applyNumberForma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68" xfId="0" applyFill="1" applyBorder="1" applyAlignment="1">
      <alignment horizontal="center" vertical="center"/>
    </xf>
    <xf numFmtId="176" fontId="0" fillId="6" borderId="32" xfId="0" applyNumberFormat="1" applyFill="1" applyBorder="1" applyAlignment="1">
      <alignment horizontal="center" vertical="center"/>
    </xf>
    <xf numFmtId="176" fontId="0" fillId="6" borderId="33" xfId="0" applyNumberFormat="1" applyFill="1" applyBorder="1" applyAlignment="1">
      <alignment horizontal="center" vertical="center"/>
    </xf>
    <xf numFmtId="176" fontId="0" fillId="6" borderId="3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72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176" fontId="0" fillId="6" borderId="74" xfId="0" applyNumberFormat="1" applyFill="1" applyBorder="1" applyAlignment="1">
      <alignment horizontal="center" vertical="center"/>
    </xf>
    <xf numFmtId="176" fontId="0" fillId="6" borderId="75" xfId="0" applyNumberFormat="1" applyFill="1" applyBorder="1" applyAlignment="1">
      <alignment horizontal="center" vertical="center"/>
    </xf>
    <xf numFmtId="176" fontId="0" fillId="6" borderId="7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82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5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6" borderId="77" xfId="0" applyNumberFormat="1" applyFill="1" applyBorder="1" applyAlignment="1">
      <alignment horizontal="center" vertical="center"/>
    </xf>
    <xf numFmtId="176" fontId="0" fillId="6" borderId="78" xfId="0" applyNumberFormat="1" applyFill="1" applyBorder="1" applyAlignment="1">
      <alignment horizontal="center" vertical="center"/>
    </xf>
    <xf numFmtId="176" fontId="0" fillId="6" borderId="79" xfId="0" applyNumberFormat="1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176" fontId="0" fillId="6" borderId="54" xfId="0" applyNumberFormat="1" applyFill="1" applyBorder="1" applyAlignment="1">
      <alignment horizontal="center" vertical="center"/>
    </xf>
    <xf numFmtId="176" fontId="0" fillId="6" borderId="60" xfId="0" applyNumberFormat="1" applyFill="1" applyBorder="1" applyAlignment="1">
      <alignment horizontal="center" vertical="center"/>
    </xf>
    <xf numFmtId="176" fontId="0" fillId="6" borderId="58" xfId="0" applyNumberFormat="1" applyFill="1" applyBorder="1" applyAlignment="1">
      <alignment horizontal="center" vertical="center"/>
    </xf>
    <xf numFmtId="176" fontId="0" fillId="6" borderId="55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176" fontId="0" fillId="6" borderId="32" xfId="0" applyNumberFormat="1" applyFill="1" applyBorder="1" applyAlignment="1">
      <alignment horizontal="center" vertical="center"/>
    </xf>
    <xf numFmtId="176" fontId="0" fillId="6" borderId="33" xfId="0" applyNumberFormat="1" applyFill="1" applyBorder="1" applyAlignment="1">
      <alignment horizontal="center" vertical="center"/>
    </xf>
    <xf numFmtId="176" fontId="0" fillId="6" borderId="75" xfId="0" applyNumberFormat="1" applyFill="1" applyBorder="1" applyAlignment="1">
      <alignment horizontal="center" vertical="center"/>
    </xf>
    <xf numFmtId="176" fontId="0" fillId="6" borderId="80" xfId="0" applyNumberFormat="1" applyFill="1" applyBorder="1" applyAlignment="1">
      <alignment horizontal="center" vertical="center"/>
    </xf>
    <xf numFmtId="176" fontId="0" fillId="6" borderId="36" xfId="0" applyNumberFormat="1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/>
    </xf>
    <xf numFmtId="176" fontId="0" fillId="6" borderId="59" xfId="0" applyNumberFormat="1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83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transfection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calculator"/>
      <sheetName val="Plasmid_Info"/>
      <sheetName val="Plate_Info"/>
    </sheetNames>
    <sheetDataSet>
      <sheetData sheetId="0"/>
      <sheetData sheetId="1"/>
      <sheetData sheetId="2">
        <row r="4">
          <cell r="A4">
            <v>1</v>
          </cell>
          <cell r="D4">
            <v>10</v>
          </cell>
        </row>
        <row r="5">
          <cell r="A5">
            <v>2</v>
          </cell>
          <cell r="D5">
            <v>20</v>
          </cell>
        </row>
        <row r="6">
          <cell r="A6">
            <v>3</v>
          </cell>
          <cell r="D6">
            <v>50</v>
          </cell>
        </row>
        <row r="7">
          <cell r="A7">
            <v>4</v>
          </cell>
          <cell r="D7">
            <v>50</v>
          </cell>
        </row>
        <row r="8">
          <cell r="A8">
            <v>5</v>
          </cell>
          <cell r="D8">
            <v>100</v>
          </cell>
        </row>
        <row r="9">
          <cell r="A9">
            <v>6</v>
          </cell>
          <cell r="D9">
            <v>200</v>
          </cell>
        </row>
        <row r="10">
          <cell r="A10">
            <v>7</v>
          </cell>
          <cell r="D10">
            <v>500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0F67-8D5B-4DE1-8CFA-15E17257C205}">
  <dimension ref="B1:Z47"/>
  <sheetViews>
    <sheetView tabSelected="1" workbookViewId="0">
      <selection activeCell="T21" sqref="T21"/>
    </sheetView>
  </sheetViews>
  <sheetFormatPr defaultRowHeight="13.9" x14ac:dyDescent="0.4"/>
  <cols>
    <col min="1" max="1" width="2.59765625" style="4" customWidth="1"/>
    <col min="2" max="2" width="15.3984375" style="4" customWidth="1"/>
    <col min="3" max="14" width="9.06640625" style="4"/>
    <col min="15" max="15" width="5.06640625" style="4" customWidth="1"/>
    <col min="16" max="16" width="10.73046875" style="4" customWidth="1"/>
    <col min="17" max="17" width="11.19921875" style="4" customWidth="1"/>
    <col min="18" max="16384" width="9.06640625" style="4"/>
  </cols>
  <sheetData>
    <row r="1" spans="2:22" ht="14.25" thickBot="1" x14ac:dyDescent="0.45"/>
    <row r="2" spans="2:22" ht="14.25" thickTop="1" x14ac:dyDescent="0.4">
      <c r="B2" s="119" t="s">
        <v>6</v>
      </c>
      <c r="C2" s="138"/>
      <c r="D2" s="138"/>
      <c r="E2" s="138"/>
      <c r="F2" s="138"/>
      <c r="G2" s="138"/>
      <c r="H2" s="138"/>
      <c r="I2" s="138"/>
      <c r="J2" s="120"/>
      <c r="K2" s="140" t="s">
        <v>36</v>
      </c>
      <c r="L2" s="141"/>
      <c r="M2" s="30" t="s">
        <v>41</v>
      </c>
      <c r="N2" s="31" t="s">
        <v>25</v>
      </c>
      <c r="P2" s="119" t="s">
        <v>31</v>
      </c>
      <c r="Q2" s="120"/>
      <c r="R2" s="58" t="s">
        <v>10</v>
      </c>
    </row>
    <row r="3" spans="2:22" ht="14.25" thickBot="1" x14ac:dyDescent="0.45">
      <c r="B3" s="121"/>
      <c r="C3" s="139"/>
      <c r="D3" s="139"/>
      <c r="E3" s="139"/>
      <c r="F3" s="139"/>
      <c r="G3" s="139"/>
      <c r="H3" s="139"/>
      <c r="I3" s="139"/>
      <c r="J3" s="122"/>
      <c r="K3" s="142">
        <v>1.5</v>
      </c>
      <c r="L3" s="109"/>
      <c r="M3" s="15" t="s">
        <v>22</v>
      </c>
      <c r="N3" s="32">
        <f>_xlfn.SWITCH(M3,"96well",1,"48well",2,"24well",3,"12well",4,"6well",5,"6cm",6,"10cm",7)</f>
        <v>3</v>
      </c>
      <c r="P3" s="121"/>
      <c r="Q3" s="122"/>
      <c r="R3" s="59" t="s">
        <v>21</v>
      </c>
    </row>
    <row r="4" spans="2:22" x14ac:dyDescent="0.4">
      <c r="B4" s="33" t="s">
        <v>5</v>
      </c>
      <c r="C4" s="7">
        <v>1</v>
      </c>
      <c r="D4" s="15">
        <v>2</v>
      </c>
      <c r="E4" s="15">
        <v>3</v>
      </c>
      <c r="F4" s="15">
        <v>4</v>
      </c>
      <c r="G4" s="15">
        <v>5</v>
      </c>
      <c r="H4" s="15">
        <v>6</v>
      </c>
      <c r="I4" s="15">
        <v>7</v>
      </c>
      <c r="J4" s="15">
        <v>8</v>
      </c>
      <c r="K4" s="15">
        <v>9</v>
      </c>
      <c r="L4" s="15">
        <v>10</v>
      </c>
      <c r="M4" s="15">
        <v>11</v>
      </c>
      <c r="N4" s="34">
        <v>12</v>
      </c>
      <c r="P4" s="50" t="s">
        <v>32</v>
      </c>
      <c r="Q4" s="13">
        <v>47</v>
      </c>
      <c r="R4" s="60" t="s">
        <v>25</v>
      </c>
    </row>
    <row r="5" spans="2:22" x14ac:dyDescent="0.4">
      <c r="B5" s="35" t="s">
        <v>7</v>
      </c>
      <c r="C5" s="81" t="s">
        <v>61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P5" s="51" t="s">
        <v>7</v>
      </c>
      <c r="Q5" s="82" t="s">
        <v>61</v>
      </c>
      <c r="R5" s="61">
        <f>_xlfn.SWITCH(R3,"96well",1,"48well",2,"24well",3,"12well",4,"6well",5,"6cm",6,"10cm",7)</f>
        <v>2</v>
      </c>
    </row>
    <row r="6" spans="2:22" x14ac:dyDescent="0.4">
      <c r="B6" s="36" t="s">
        <v>8</v>
      </c>
      <c r="C6" s="87">
        <v>1</v>
      </c>
      <c r="D6" s="88">
        <v>1</v>
      </c>
      <c r="E6" s="88">
        <v>1</v>
      </c>
      <c r="F6" s="88">
        <v>1</v>
      </c>
      <c r="G6" s="88">
        <v>1</v>
      </c>
      <c r="H6" s="88">
        <v>1</v>
      </c>
      <c r="I6" s="88">
        <v>1</v>
      </c>
      <c r="J6" s="88">
        <v>1</v>
      </c>
      <c r="K6" s="88">
        <v>1</v>
      </c>
      <c r="L6" s="88">
        <v>1</v>
      </c>
      <c r="M6" s="88">
        <v>1</v>
      </c>
      <c r="N6" s="89">
        <v>1</v>
      </c>
      <c r="P6" s="52" t="s">
        <v>8</v>
      </c>
      <c r="Q6" s="88">
        <v>1</v>
      </c>
      <c r="R6" s="62" t="s">
        <v>37</v>
      </c>
    </row>
    <row r="7" spans="2:22" x14ac:dyDescent="0.4">
      <c r="B7" s="37" t="s">
        <v>9</v>
      </c>
      <c r="C7" s="24" t="str">
        <f>LOOKUP(C5,Plasmid_Info!A:A,Plasmid_Info!B:B)</f>
        <v>Samp1</v>
      </c>
      <c r="D7" s="18" t="e">
        <f>LOOKUP(D5,Plasmid_Info!A:A,Plasmid_Info!B:B)</f>
        <v>#N/A</v>
      </c>
      <c r="E7" s="18" t="e">
        <f>LOOKUP(E5,Plasmid_Info!A:A,Plasmid_Info!B:B)</f>
        <v>#N/A</v>
      </c>
      <c r="F7" s="18" t="e">
        <f>LOOKUP(F5,Plasmid_Info!A:A,Plasmid_Info!B:B)</f>
        <v>#N/A</v>
      </c>
      <c r="G7" s="18" t="e">
        <f>LOOKUP(G5,Plasmid_Info!A:A,Plasmid_Info!B:B)</f>
        <v>#N/A</v>
      </c>
      <c r="H7" s="18" t="e">
        <f>LOOKUP(H5,Plasmid_Info!A:A,Plasmid_Info!B:B)</f>
        <v>#N/A</v>
      </c>
      <c r="I7" s="18" t="e">
        <f>LOOKUP(I5,Plasmid_Info!A:A,Plasmid_Info!B:B)</f>
        <v>#N/A</v>
      </c>
      <c r="J7" s="18" t="e">
        <f>LOOKUP(J5,Plasmid_Info!A:A,Plasmid_Info!B:B)</f>
        <v>#N/A</v>
      </c>
      <c r="K7" s="18" t="e">
        <f>LOOKUP(K5,Plasmid_Info!A:A,Plasmid_Info!B:B)</f>
        <v>#N/A</v>
      </c>
      <c r="L7" s="18" t="e">
        <f>LOOKUP(L5,Plasmid_Info!A:A,Plasmid_Info!B:B)</f>
        <v>#N/A</v>
      </c>
      <c r="M7" s="18" t="e">
        <f>LOOKUP(M5,Plasmid_Info!A:A,Plasmid_Info!B:B)</f>
        <v>#N/A</v>
      </c>
      <c r="N7" s="38" t="e">
        <f>LOOKUP(N5,Plasmid_Info!A:A,Plasmid_Info!B:B)</f>
        <v>#N/A</v>
      </c>
      <c r="P7" s="53" t="s">
        <v>9</v>
      </c>
      <c r="Q7" s="18" t="str">
        <f>LOOKUP(Q5,Plasmid_Info!A:A,Plasmid_Info!B:B)</f>
        <v>Samp1</v>
      </c>
      <c r="R7" s="34">
        <v>1.5</v>
      </c>
    </row>
    <row r="8" spans="2:22" x14ac:dyDescent="0.4">
      <c r="B8" s="39" t="s">
        <v>3</v>
      </c>
      <c r="C8" s="26">
        <f>LOOKUP(C5,Plasmid_Info!A:A,_xlfn.SWITCH(C6,1,Plasmid_Info!D:D,2,Plasmid_Info!F:F,3,Plasmid_Info!H:H,4,Plasmid_Info!J:J))</f>
        <v>233.33</v>
      </c>
      <c r="D8" s="20" t="e">
        <f>LOOKUP(D5,Plasmid_Info!A:A,_xlfn.SWITCH(D6,1,Plasmid_Info!D:D,2,Plasmid_Info!F:F,3,Plasmid_Info!H:H,4,Plasmid_Info!J:J))</f>
        <v>#N/A</v>
      </c>
      <c r="E8" s="20" t="e">
        <f>LOOKUP(E5,Plasmid_Info!A:A,_xlfn.SWITCH(E6,1,Plasmid_Info!D:D,2,Plasmid_Info!F:F,3,Plasmid_Info!H:H,4,Plasmid_Info!J:J))</f>
        <v>#N/A</v>
      </c>
      <c r="F8" s="20" t="e">
        <f>LOOKUP(F5,Plasmid_Info!A:A,_xlfn.SWITCH(F6,1,Plasmid_Info!D:D,2,Plasmid_Info!F:F,3,Plasmid_Info!H:H,4,Plasmid_Info!J:J))</f>
        <v>#N/A</v>
      </c>
      <c r="G8" s="20" t="e">
        <f>LOOKUP(G5,Plasmid_Info!A:A,_xlfn.SWITCH(G6,1,Plasmid_Info!D:D,2,Plasmid_Info!F:F,3,Plasmid_Info!H:H,4,Plasmid_Info!J:J))</f>
        <v>#N/A</v>
      </c>
      <c r="H8" s="20" t="e">
        <f>LOOKUP(H5,Plasmid_Info!A:A,_xlfn.SWITCH(H6,1,Plasmid_Info!D:D,2,Plasmid_Info!F:F,3,Plasmid_Info!H:H,4,Plasmid_Info!J:J))</f>
        <v>#N/A</v>
      </c>
      <c r="I8" s="20" t="e">
        <f>LOOKUP(I5,Plasmid_Info!A:A,_xlfn.SWITCH(I6,1,Plasmid_Info!D:D,2,Plasmid_Info!F:F,3,Plasmid_Info!H:H,4,Plasmid_Info!J:J))</f>
        <v>#N/A</v>
      </c>
      <c r="J8" s="20" t="e">
        <f>LOOKUP(J5,Plasmid_Info!A:A,_xlfn.SWITCH(J6,1,Plasmid_Info!D:D,2,Plasmid_Info!F:F,3,Plasmid_Info!H:H,4,Plasmid_Info!J:J))</f>
        <v>#N/A</v>
      </c>
      <c r="K8" s="20" t="e">
        <f>LOOKUP(K5,Plasmid_Info!A:A,_xlfn.SWITCH(K6,1,Plasmid_Info!D:D,2,Plasmid_Info!F:F,3,Plasmid_Info!H:H,4,Plasmid_Info!J:J))</f>
        <v>#N/A</v>
      </c>
      <c r="L8" s="20" t="e">
        <f>LOOKUP(L5,Plasmid_Info!A:A,_xlfn.SWITCH(L6,1,Plasmid_Info!D:D,2,Plasmid_Info!F:F,3,Plasmid_Info!H:H,4,Plasmid_Info!J:J))</f>
        <v>#N/A</v>
      </c>
      <c r="M8" s="20" t="e">
        <f>LOOKUP(M5,Plasmid_Info!A:A,_xlfn.SWITCH(M6,1,Plasmid_Info!D:D,2,Plasmid_Info!F:F,3,Plasmid_Info!H:H,4,Plasmid_Info!J:J))</f>
        <v>#N/A</v>
      </c>
      <c r="N8" s="40" t="e">
        <f>LOOKUP(N5,Plasmid_Info!A:A,_xlfn.SWITCH(N6,1,Plasmid_Info!D:D,2,Plasmid_Info!F:F,3,Plasmid_Info!H:H,4,Plasmid_Info!J:J))</f>
        <v>#N/A</v>
      </c>
      <c r="P8" s="54" t="s">
        <v>3</v>
      </c>
      <c r="Q8" s="20">
        <f>LOOKUP(Q5,Plasmid_Info!A:A,_xlfn.SWITCH(Q6,1,Plasmid_Info!D:D,2,Plasmid_Info!F:F,3,Plasmid_Info!H:H,4,Plasmid_Info!J:J))</f>
        <v>233.33</v>
      </c>
      <c r="R8" s="62" t="s">
        <v>53</v>
      </c>
      <c r="U8" s="103"/>
      <c r="V8" s="103"/>
    </row>
    <row r="9" spans="2:22" x14ac:dyDescent="0.4">
      <c r="B9" s="39" t="s">
        <v>39</v>
      </c>
      <c r="C9" s="26">
        <f>IF(C8&lt;&gt;0, (LOOKUP(N3,Plate_Info!A4:A10,Plate_Info!E4:E10)), "-")</f>
        <v>0.5</v>
      </c>
      <c r="D9" s="20" t="e">
        <f>IF(D8&lt;&gt;0, (LOOKUP(N3,Plate_Info!A4:A10,Plate_Info!E4:E10)), "-")</f>
        <v>#N/A</v>
      </c>
      <c r="E9" s="20" t="e">
        <f>IF(E8&lt;&gt;0, (LOOKUP(N3,Plate_Info!A4:A10,Plate_Info!E4:E10)), "-")</f>
        <v>#N/A</v>
      </c>
      <c r="F9" s="20" t="e">
        <f>IF(F8&lt;&gt;0, (LOOKUP(N3,Plate_Info!A4:A10,Plate_Info!E4:E10)), "-")</f>
        <v>#N/A</v>
      </c>
      <c r="G9" s="20" t="e">
        <f>IF(G8&lt;&gt;0, (LOOKUP(N3,Plate_Info!A4:A10,Plate_Info!E4:E10)), "-")</f>
        <v>#N/A</v>
      </c>
      <c r="H9" s="20" t="e">
        <f>IF(H8&lt;&gt;0, (LOOKUP(N3,Plate_Info!A4:A10,Plate_Info!E4:E10)), "-")</f>
        <v>#N/A</v>
      </c>
      <c r="I9" s="20" t="e">
        <f>IF(I8&lt;&gt;0, (LOOKUP(N3,Plate_Info!A4:A10,Plate_Info!E4:E10)), "-")</f>
        <v>#N/A</v>
      </c>
      <c r="J9" s="20" t="e">
        <f>IF(J8&lt;&gt;0, (LOOKUP(N3,Plate_Info!A4:A10,Plate_Info!E4:E10)), "-")</f>
        <v>#N/A</v>
      </c>
      <c r="K9" s="20" t="e">
        <f>IF(K8&lt;&gt;0, (LOOKUP(N3,Plate_Info!A4:A10,Plate_Info!E4:E10)), "-")</f>
        <v>#N/A</v>
      </c>
      <c r="L9" s="20" t="e">
        <f>IF(L8&lt;&gt;0, (LOOKUP(N3,Plate_Info!A4:A10,Plate_Info!E4:E10)), "-")</f>
        <v>#N/A</v>
      </c>
      <c r="M9" s="20" t="e">
        <f>IF(M8&lt;&gt;0, (LOOKUP(N3,Plate_Info!A4:A10,Plate_Info!E4:E10)), "-")</f>
        <v>#N/A</v>
      </c>
      <c r="N9" s="40" t="e">
        <f>IF(N8&lt;&gt;0, (LOOKUP(N3,Plate_Info!A4:A10,Plate_Info!E4:E10)), "-")</f>
        <v>#N/A</v>
      </c>
      <c r="P9" s="54" t="s">
        <v>27</v>
      </c>
      <c r="Q9" s="20">
        <f>IF(Q8&lt;&gt;0, (LOOKUP(R5,Plate_Info!A4:A10,Plate_Info!E4:E10) * (IF(R9 ="Y",Q4+1,Q4))), "-")</f>
        <v>9.6000000000000014</v>
      </c>
      <c r="R9" s="34" t="s">
        <v>110</v>
      </c>
      <c r="U9" s="6"/>
      <c r="V9" s="6"/>
    </row>
    <row r="10" spans="2:22" x14ac:dyDescent="0.4">
      <c r="B10" s="41" t="s">
        <v>40</v>
      </c>
      <c r="C10" s="28">
        <f>IF(C8&lt;&gt;0,C9*1000/C8,"-")</f>
        <v>2.1428877555393648</v>
      </c>
      <c r="D10" s="22" t="e">
        <f t="shared" ref="D10" si="0">IF(D8&lt;&gt;0,D9*1000/D8,"-")</f>
        <v>#N/A</v>
      </c>
      <c r="E10" s="22" t="e">
        <f t="shared" ref="E10" si="1">IF(E8&lt;&gt;0,E9*1000/E8,"-")</f>
        <v>#N/A</v>
      </c>
      <c r="F10" s="22" t="e">
        <f t="shared" ref="F10" si="2">IF(F8&lt;&gt;0,F9*1000/F8,"-")</f>
        <v>#N/A</v>
      </c>
      <c r="G10" s="22" t="e">
        <f>IF(G8&lt;&gt;0,G9*1000/G8,"-")</f>
        <v>#N/A</v>
      </c>
      <c r="H10" s="22" t="e">
        <f t="shared" ref="H10" si="3">IF(H8&lt;&gt;0,H9*1000/H8,"-")</f>
        <v>#N/A</v>
      </c>
      <c r="I10" s="22" t="e">
        <f t="shared" ref="I10" si="4">IF(I8&lt;&gt;0,I9*1000/I8,"-")</f>
        <v>#N/A</v>
      </c>
      <c r="J10" s="22" t="e">
        <f t="shared" ref="J10" si="5">IF(J8&lt;&gt;0,J9*1000/J8,"-")</f>
        <v>#N/A</v>
      </c>
      <c r="K10" s="22" t="e">
        <f t="shared" ref="K10" si="6">IF(K8&lt;&gt;0,K9*1000/K8,"-")</f>
        <v>#N/A</v>
      </c>
      <c r="L10" s="22" t="e">
        <f t="shared" ref="L10" si="7">IF(L8&lt;&gt;0,L9*1000/L8,"-")</f>
        <v>#N/A</v>
      </c>
      <c r="M10" s="22" t="e">
        <f t="shared" ref="M10" si="8">IF(M8&lt;&gt;0,M9*1000/M8,"-")</f>
        <v>#N/A</v>
      </c>
      <c r="N10" s="42" t="e">
        <f>IF(N8&lt;&gt;0,N9*1000/N8,"-")</f>
        <v>#N/A</v>
      </c>
      <c r="P10" s="55" t="s">
        <v>19</v>
      </c>
      <c r="Q10" s="22">
        <f>IF(Q8&lt;&gt;0,Q9*1000/Q8,"-")</f>
        <v>41.143444906355811</v>
      </c>
      <c r="R10" s="160" t="s">
        <v>111</v>
      </c>
      <c r="U10" s="6"/>
      <c r="V10" s="6"/>
    </row>
    <row r="11" spans="2:22" x14ac:dyDescent="0.4">
      <c r="B11" s="41" t="s">
        <v>33</v>
      </c>
      <c r="C11" s="28">
        <f>C9*K3</f>
        <v>0.75</v>
      </c>
      <c r="D11" s="22" t="e">
        <f>D9*K3</f>
        <v>#N/A</v>
      </c>
      <c r="E11" s="22" t="e">
        <f>E9*K3</f>
        <v>#N/A</v>
      </c>
      <c r="F11" s="22" t="e">
        <f>F9*K3</f>
        <v>#N/A</v>
      </c>
      <c r="G11" s="22" t="e">
        <f>G9*K3</f>
        <v>#N/A</v>
      </c>
      <c r="H11" s="22" t="e">
        <f>H9*K3</f>
        <v>#N/A</v>
      </c>
      <c r="I11" s="22" t="e">
        <f>I9*K3</f>
        <v>#N/A</v>
      </c>
      <c r="J11" s="22" t="e">
        <f>J9*K3</f>
        <v>#N/A</v>
      </c>
      <c r="K11" s="22" t="e">
        <f>K9*K3</f>
        <v>#N/A</v>
      </c>
      <c r="L11" s="22" t="e">
        <f>L9*K3</f>
        <v>#N/A</v>
      </c>
      <c r="M11" s="22" t="e">
        <f>M9*K3</f>
        <v>#N/A</v>
      </c>
      <c r="N11" s="42" t="e">
        <f>N9*K3</f>
        <v>#N/A</v>
      </c>
      <c r="P11" s="55" t="s">
        <v>17</v>
      </c>
      <c r="Q11" s="22">
        <f>Q9*R7</f>
        <v>14.400000000000002</v>
      </c>
      <c r="R11" s="161">
        <f>LOOKUP(R5,[1]Plate_Info!A4:A10,[1]Plate_Info!D4:D10)</f>
        <v>20</v>
      </c>
      <c r="U11" s="6"/>
      <c r="V11" s="6"/>
    </row>
    <row r="12" spans="2:22" ht="14.25" thickBot="1" x14ac:dyDescent="0.45">
      <c r="B12" s="43" t="s">
        <v>34</v>
      </c>
      <c r="C12" s="44">
        <f>LOOKUP(N3,Plate_Info!A4:A10,Plate_Info!D4:D10)-C11-C10</f>
        <v>47.107112244460637</v>
      </c>
      <c r="D12" s="45" t="e">
        <f>LOOKUP(N3,Plate_Info!A4:A10,Plate_Info!D4:D10)-D11-D10</f>
        <v>#N/A</v>
      </c>
      <c r="E12" s="45" t="e">
        <f>LOOKUP(N3,Plate_Info!A4:A10,Plate_Info!D4:D10)-E11-E10</f>
        <v>#N/A</v>
      </c>
      <c r="F12" s="45" t="e">
        <f>LOOKUP(N3,Plate_Info!A4:A10,Plate_Info!D4:D10)-F11-F10</f>
        <v>#N/A</v>
      </c>
      <c r="G12" s="45" t="e">
        <f>LOOKUP(N3,Plate_Info!A4:A10,Plate_Info!D4:D10)-G11-G10</f>
        <v>#N/A</v>
      </c>
      <c r="H12" s="45" t="e">
        <f>LOOKUP(N3,Plate_Info!A4:A10,Plate_Info!D4:D10)-H11-H10</f>
        <v>#N/A</v>
      </c>
      <c r="I12" s="45" t="e">
        <f>LOOKUP(N3,Plate_Info!A4:A10,Plate_Info!D4:D10)-I11-I10</f>
        <v>#N/A</v>
      </c>
      <c r="J12" s="45" t="e">
        <f>LOOKUP(N3,Plate_Info!A4:A10,Plate_Info!D4:D10)-J11-J10</f>
        <v>#N/A</v>
      </c>
      <c r="K12" s="45" t="e">
        <f>LOOKUP(N3,Plate_Info!A4:A10,Plate_Info!D4:D10)-K11-K10</f>
        <v>#N/A</v>
      </c>
      <c r="L12" s="45" t="e">
        <f>LOOKUP(N3,Plate_Info!A4:A10,Plate_Info!D4:D10)-L11-L10</f>
        <v>#N/A</v>
      </c>
      <c r="M12" s="45" t="e">
        <f>LOOKUP(N3,Plate_Info!A4:A10,Plate_Info!D4:D10)-M11-M10</f>
        <v>#N/A</v>
      </c>
      <c r="N12" s="46" t="e">
        <f>LOOKUP(N3,Plate_Info!A4:A10,Plate_Info!D4:D10)-N11-N10</f>
        <v>#N/A</v>
      </c>
      <c r="P12" s="56" t="s">
        <v>26</v>
      </c>
      <c r="Q12" s="45">
        <f>LOOKUP(R5,Plate_Info!A4:A10,Plate_Info!D4:D10) * (IF(R9 ="Y",Q4+1,Q4)) -Q11-Q10</f>
        <v>904.45655509364417</v>
      </c>
      <c r="R12" s="57"/>
      <c r="U12" s="6"/>
      <c r="V12" s="6"/>
    </row>
    <row r="13" spans="2:22" ht="14.25" thickTop="1" x14ac:dyDescent="0.4"/>
    <row r="14" spans="2:22" ht="14.25" thickBot="1" x14ac:dyDescent="0.45"/>
    <row r="15" spans="2:22" x14ac:dyDescent="0.4">
      <c r="B15" s="143" t="s">
        <v>29</v>
      </c>
      <c r="C15" s="144"/>
      <c r="D15" s="144"/>
      <c r="E15" s="144"/>
      <c r="F15" s="144"/>
      <c r="G15" s="144"/>
      <c r="H15" s="144"/>
      <c r="I15" s="144"/>
      <c r="J15" s="145"/>
      <c r="K15" s="147" t="s">
        <v>36</v>
      </c>
      <c r="L15" s="148"/>
      <c r="M15" s="67" t="s">
        <v>41</v>
      </c>
      <c r="N15" s="68" t="s">
        <v>25</v>
      </c>
      <c r="P15" s="123" t="s">
        <v>56</v>
      </c>
      <c r="Q15" s="124"/>
    </row>
    <row r="16" spans="2:22" ht="14.25" thickBot="1" x14ac:dyDescent="0.45">
      <c r="B16" s="146"/>
      <c r="C16" s="139"/>
      <c r="D16" s="139"/>
      <c r="E16" s="139"/>
      <c r="F16" s="139"/>
      <c r="G16" s="139"/>
      <c r="H16" s="139"/>
      <c r="I16" s="139"/>
      <c r="J16" s="122"/>
      <c r="K16" s="142">
        <v>1.5</v>
      </c>
      <c r="L16" s="109"/>
      <c r="M16" s="15" t="s">
        <v>22</v>
      </c>
      <c r="N16" s="69">
        <f>_xlfn.SWITCH(M16,"96well",1,"48well",2,"24well",3,"12well",4,"6well",5,"6cm",6,"10cm",7)</f>
        <v>3</v>
      </c>
      <c r="P16" s="125"/>
      <c r="Q16" s="126"/>
    </row>
    <row r="17" spans="2:26" x14ac:dyDescent="0.4">
      <c r="B17" s="70" t="s">
        <v>5</v>
      </c>
      <c r="C17" s="116">
        <v>1</v>
      </c>
      <c r="D17" s="105"/>
      <c r="E17" s="106">
        <v>2</v>
      </c>
      <c r="F17" s="105"/>
      <c r="G17" s="106">
        <v>3</v>
      </c>
      <c r="H17" s="105"/>
      <c r="I17" s="106">
        <v>4</v>
      </c>
      <c r="J17" s="105"/>
      <c r="K17" s="131">
        <v>5</v>
      </c>
      <c r="L17" s="132"/>
      <c r="M17" s="131">
        <v>6</v>
      </c>
      <c r="N17" s="133"/>
      <c r="P17" s="16" t="s">
        <v>49</v>
      </c>
      <c r="Q17" s="17" t="s">
        <v>57</v>
      </c>
    </row>
    <row r="18" spans="2:26" s="14" customFormat="1" x14ac:dyDescent="0.4">
      <c r="B18" s="71" t="s">
        <v>7</v>
      </c>
      <c r="C18" s="81" t="s">
        <v>61</v>
      </c>
      <c r="D18" s="84" t="s">
        <v>108</v>
      </c>
      <c r="E18" s="82"/>
      <c r="F18" s="84"/>
      <c r="G18" s="82"/>
      <c r="H18" s="84"/>
      <c r="I18" s="82"/>
      <c r="J18" s="84"/>
      <c r="K18" s="82"/>
      <c r="L18" s="84"/>
      <c r="M18" s="82"/>
      <c r="N18" s="85"/>
      <c r="O18" s="4"/>
      <c r="P18" s="127" t="s">
        <v>35</v>
      </c>
      <c r="Q18" s="128"/>
      <c r="R18" s="4"/>
      <c r="S18" s="4"/>
      <c r="T18" s="4"/>
      <c r="U18" s="4"/>
      <c r="V18" s="4"/>
      <c r="W18" s="4"/>
      <c r="X18" s="4"/>
      <c r="Y18" s="4"/>
      <c r="Z18" s="4"/>
    </row>
    <row r="19" spans="2:26" s="14" customFormat="1" x14ac:dyDescent="0.4">
      <c r="B19" s="72" t="s">
        <v>8</v>
      </c>
      <c r="C19" s="87">
        <v>1</v>
      </c>
      <c r="D19" s="90">
        <v>1</v>
      </c>
      <c r="E19" s="88">
        <v>1</v>
      </c>
      <c r="F19" s="90">
        <v>1</v>
      </c>
      <c r="G19" s="88">
        <v>1</v>
      </c>
      <c r="H19" s="90">
        <v>1</v>
      </c>
      <c r="I19" s="88">
        <v>1</v>
      </c>
      <c r="J19" s="90">
        <v>1</v>
      </c>
      <c r="K19" s="88">
        <v>1</v>
      </c>
      <c r="L19" s="90">
        <v>1</v>
      </c>
      <c r="M19" s="88">
        <v>1</v>
      </c>
      <c r="N19" s="90">
        <v>1</v>
      </c>
      <c r="O19" s="4"/>
      <c r="P19" s="129" t="s">
        <v>48</v>
      </c>
      <c r="Q19" s="130"/>
      <c r="R19" s="4"/>
      <c r="S19" s="4"/>
      <c r="T19" s="4"/>
      <c r="U19" s="4"/>
      <c r="V19" s="4"/>
      <c r="W19" s="4"/>
      <c r="X19" s="4"/>
      <c r="Y19" s="4"/>
      <c r="Z19" s="4"/>
    </row>
    <row r="20" spans="2:26" x14ac:dyDescent="0.4">
      <c r="B20" s="73" t="s">
        <v>9</v>
      </c>
      <c r="C20" s="24" t="str">
        <f>LOOKUP(C18,Plasmid_Info!A:A,Plasmid_Info!B:B)</f>
        <v>Samp1</v>
      </c>
      <c r="D20" s="19" t="str">
        <f>LOOKUP(D18,Plasmid_Info!A:A,Plasmid_Info!B:B)</f>
        <v>Samp2</v>
      </c>
      <c r="E20" s="18" t="e">
        <f>LOOKUP(E18,Plasmid_Info!A:A,Plasmid_Info!B:B)</f>
        <v>#N/A</v>
      </c>
      <c r="F20" s="19" t="e">
        <f>LOOKUP(F18,Plasmid_Info!A:A,Plasmid_Info!B:B)</f>
        <v>#N/A</v>
      </c>
      <c r="G20" s="18" t="e">
        <f>LOOKUP(G18,Plasmid_Info!A:A,Plasmid_Info!B:B)</f>
        <v>#N/A</v>
      </c>
      <c r="H20" s="19" t="e">
        <f>LOOKUP(H18,Plasmid_Info!A:A,Plasmid_Info!B:B)</f>
        <v>#N/A</v>
      </c>
      <c r="I20" s="18" t="e">
        <f>LOOKUP(I18,Plasmid_Info!A:A,Plasmid_Info!B:B)</f>
        <v>#N/A</v>
      </c>
      <c r="J20" s="19" t="e">
        <f>LOOKUP(J18,Plasmid_Info!A:A,Plasmid_Info!B:B)</f>
        <v>#N/A</v>
      </c>
      <c r="K20" s="18" t="e">
        <f>LOOKUP(K18,Plasmid_Info!A:A,Plasmid_Info!B:B)</f>
        <v>#N/A</v>
      </c>
      <c r="L20" s="19" t="e">
        <f>LOOKUP(L18,Plasmid_Info!A:A,Plasmid_Info!B:B)</f>
        <v>#N/A</v>
      </c>
      <c r="M20" s="18" t="e">
        <f>LOOKUP(M18,Plasmid_Info!A:A,Plasmid_Info!B:B)</f>
        <v>#N/A</v>
      </c>
      <c r="N20" s="74" t="e">
        <f>LOOKUP(N18,Plasmid_Info!A:A,Plasmid_Info!B:B)</f>
        <v>#N/A</v>
      </c>
      <c r="P20" s="136" t="s">
        <v>42</v>
      </c>
      <c r="Q20" s="137"/>
    </row>
    <row r="21" spans="2:26" x14ac:dyDescent="0.4">
      <c r="B21" s="75" t="s">
        <v>3</v>
      </c>
      <c r="C21" s="26">
        <f>LOOKUP(C18,Plasmid_Info!A:A,_xlfn.SWITCH(C19,1,Plasmid_Info!D:D,2,Plasmid_Info!F:F,3,Plasmid_Info!H:H,4,Plasmid_Info!J:J))</f>
        <v>233.33</v>
      </c>
      <c r="D21" s="21">
        <f>LOOKUP(D18,Plasmid_Info!A:A,_xlfn.SWITCH(D19,1,Plasmid_Info!D:D,2,Plasmid_Info!F:F,3,Plasmid_Info!H:H,4,Plasmid_Info!J:J))</f>
        <v>666.66</v>
      </c>
      <c r="E21" s="20" t="e">
        <f>LOOKUP(E18,Plasmid_Info!A:A,_xlfn.SWITCH(E19,1,Plasmid_Info!D:D,2,Plasmid_Info!F:F,3,Plasmid_Info!H:H,4,Plasmid_Info!J:J))</f>
        <v>#N/A</v>
      </c>
      <c r="F21" s="21" t="e">
        <f>LOOKUP(F18,Plasmid_Info!A:A,_xlfn.SWITCH(F19,1,Plasmid_Info!D:D,2,Plasmid_Info!F:F,3,Plasmid_Info!H:H,4,Plasmid_Info!J:J))</f>
        <v>#N/A</v>
      </c>
      <c r="G21" s="20" t="e">
        <f>LOOKUP(G18,Plasmid_Info!A:A,_xlfn.SWITCH(G19,1,Plasmid_Info!D:D,2,Plasmid_Info!F:F,3,Plasmid_Info!H:H,4,Plasmid_Info!J:J))</f>
        <v>#N/A</v>
      </c>
      <c r="H21" s="21" t="e">
        <f>LOOKUP(H18,Plasmid_Info!A:A,_xlfn.SWITCH(H19,1,Plasmid_Info!D:D,2,Plasmid_Info!F:F,3,Plasmid_Info!H:H,4,Plasmid_Info!J:J))</f>
        <v>#N/A</v>
      </c>
      <c r="I21" s="20" t="e">
        <f>LOOKUP(I18,Plasmid_Info!A:A,_xlfn.SWITCH(I19,1,Plasmid_Info!D:D,2,Plasmid_Info!F:F,3,Plasmid_Info!H:H,4,Plasmid_Info!J:J))</f>
        <v>#N/A</v>
      </c>
      <c r="J21" s="21" t="e">
        <f>LOOKUP(J18,Plasmid_Info!A:A,_xlfn.SWITCH(J19,1,Plasmid_Info!D:D,2,Plasmid_Info!F:F,3,Plasmid_Info!H:H,4,Plasmid_Info!J:J))</f>
        <v>#N/A</v>
      </c>
      <c r="K21" s="20" t="e">
        <f>LOOKUP(K18,Plasmid_Info!A:A,_xlfn.SWITCH(K19,1,Plasmid_Info!D:D,2,Plasmid_Info!F:F,3,Plasmid_Info!H:H,4,Plasmid_Info!J:J))</f>
        <v>#N/A</v>
      </c>
      <c r="L21" s="21" t="e">
        <f>LOOKUP(L18,Plasmid_Info!A:A,_xlfn.SWITCH(L19,1,Plasmid_Info!D:D,2,Plasmid_Info!F:F,3,Plasmid_Info!H:H,4,Plasmid_Info!J:J))</f>
        <v>#N/A</v>
      </c>
      <c r="M21" s="20" t="e">
        <f>LOOKUP(M18,Plasmid_Info!A:A,_xlfn.SWITCH(M19,1,Plasmid_Info!D:D,2,Plasmid_Info!F:F,3,Plasmid_Info!H:H,4,Plasmid_Info!J:J))</f>
        <v>#N/A</v>
      </c>
      <c r="N21" s="76" t="e">
        <f>LOOKUP(N18,Plasmid_Info!A:A,_xlfn.SWITCH(N19,1,Plasmid_Info!D:D,2,Plasmid_Info!F:F,3,Plasmid_Info!H:H,4,Plasmid_Info!J:J))</f>
        <v>#N/A</v>
      </c>
      <c r="P21" s="129" t="s">
        <v>38</v>
      </c>
      <c r="Q21" s="130"/>
    </row>
    <row r="22" spans="2:26" ht="14.25" thickBot="1" x14ac:dyDescent="0.45">
      <c r="B22" s="75" t="s">
        <v>39</v>
      </c>
      <c r="C22" s="26">
        <f>IF(C21&lt;&gt;0, (LOOKUP(N16,Plate_Info!A4:A10,Plate_Info!E4:E10)), "-")</f>
        <v>0.5</v>
      </c>
      <c r="D22" s="21">
        <f>IF(D21&lt;&gt;0, (LOOKUP(N16,Plate_Info!A4:A10,Plate_Info!E4:E10)), "-")</f>
        <v>0.5</v>
      </c>
      <c r="E22" s="20" t="e">
        <f>IF(E21&lt;&gt;0, (LOOKUP(N16,Plate_Info!A4:A10,Plate_Info!E4:E10)), "-")</f>
        <v>#N/A</v>
      </c>
      <c r="F22" s="21" t="e">
        <f>IF(F21&lt;&gt;0, (LOOKUP(N16,Plate_Info!A4:A10,Plate_Info!E4:E10)), "-")</f>
        <v>#N/A</v>
      </c>
      <c r="G22" s="20" t="e">
        <f>IF(G21&lt;&gt;0, (LOOKUP(N16,Plate_Info!A4:A10,Plate_Info!E4:E10)), "-")</f>
        <v>#N/A</v>
      </c>
      <c r="H22" s="21" t="e">
        <f>IF(H21&lt;&gt;0, (LOOKUP(N16,Plate_Info!A4:A10,Plate_Info!E4:E10)), "-")</f>
        <v>#N/A</v>
      </c>
      <c r="I22" s="20" t="e">
        <f>IF(I21&lt;&gt;0, (LOOKUP(N16,Plate_Info!A4:A10,Plate_Info!E4:E10)), "-")</f>
        <v>#N/A</v>
      </c>
      <c r="J22" s="21" t="e">
        <f>IF(J21&lt;&gt;0, (LOOKUP(N16,Plate_Info!A4:A10,Plate_Info!E4:E10)), "-")</f>
        <v>#N/A</v>
      </c>
      <c r="K22" s="20" t="e">
        <f>IF(K21&lt;&gt;0, (LOOKUP(N16,Plate_Info!A4:A10,Plate_Info!E4:E10)), "-")</f>
        <v>#N/A</v>
      </c>
      <c r="L22" s="21" t="e">
        <f>IF(L21&lt;&gt;0, (LOOKUP(N16,Plate_Info!A4:A10,Plate_Info!E4:E10)), "-")</f>
        <v>#N/A</v>
      </c>
      <c r="M22" s="20" t="e">
        <f>IF(M21&lt;&gt;0, (LOOKUP(N16,Plate_Info!A4:A10,Plate_Info!E4:E10)), "-")</f>
        <v>#N/A</v>
      </c>
      <c r="N22" s="76" t="e">
        <f>IF(N21&lt;&gt;0, (LOOKUP(N16,Plate_Info!A4:A10,Plate_Info!E4:E10)), "-")</f>
        <v>#N/A</v>
      </c>
      <c r="P22" s="134" t="s">
        <v>52</v>
      </c>
      <c r="Q22" s="135"/>
    </row>
    <row r="23" spans="2:26" x14ac:dyDescent="0.4">
      <c r="B23" s="77" t="s">
        <v>40</v>
      </c>
      <c r="C23" s="65">
        <f>IF(C21&lt;&gt;0,C22*1000/C21,"-")</f>
        <v>2.1428877555393648</v>
      </c>
      <c r="D23" s="64">
        <f t="shared" ref="D23:M23" si="9">IF(D21&lt;&gt;0,D22*1000/D21,"-")</f>
        <v>0.75000750007500083</v>
      </c>
      <c r="E23" s="63" t="e">
        <f t="shared" si="9"/>
        <v>#N/A</v>
      </c>
      <c r="F23" s="64" t="e">
        <f t="shared" si="9"/>
        <v>#N/A</v>
      </c>
      <c r="G23" s="63" t="e">
        <f>IF(G21&lt;&gt;0,G22*1000/G21,"-")</f>
        <v>#N/A</v>
      </c>
      <c r="H23" s="64" t="e">
        <f t="shared" si="9"/>
        <v>#N/A</v>
      </c>
      <c r="I23" s="63" t="e">
        <f t="shared" si="9"/>
        <v>#N/A</v>
      </c>
      <c r="J23" s="64" t="e">
        <f t="shared" si="9"/>
        <v>#N/A</v>
      </c>
      <c r="K23" s="63" t="e">
        <f t="shared" si="9"/>
        <v>#N/A</v>
      </c>
      <c r="L23" s="64" t="e">
        <f t="shared" si="9"/>
        <v>#N/A</v>
      </c>
      <c r="M23" s="63" t="e">
        <f t="shared" si="9"/>
        <v>#N/A</v>
      </c>
      <c r="N23" s="78" t="e">
        <f>IF(N21&lt;&gt;0,N22*1000/N21,"-")</f>
        <v>#N/A</v>
      </c>
      <c r="P23" s="66" t="s">
        <v>54</v>
      </c>
      <c r="Q23" s="66" t="s">
        <v>55</v>
      </c>
      <c r="R23" s="4" t="s">
        <v>59</v>
      </c>
    </row>
    <row r="24" spans="2:26" x14ac:dyDescent="0.4">
      <c r="B24" s="77" t="s">
        <v>33</v>
      </c>
      <c r="C24" s="115">
        <f>C22*2*K16</f>
        <v>1.5</v>
      </c>
      <c r="D24" s="112"/>
      <c r="E24" s="111" t="e">
        <f>E22*2*K16</f>
        <v>#N/A</v>
      </c>
      <c r="F24" s="112"/>
      <c r="G24" s="111" t="e">
        <f>G22*2*K16</f>
        <v>#N/A</v>
      </c>
      <c r="H24" s="112"/>
      <c r="I24" s="111" t="e">
        <f>I22*2*K16</f>
        <v>#N/A</v>
      </c>
      <c r="J24" s="112"/>
      <c r="K24" s="111" t="e">
        <f>K22*2*K16</f>
        <v>#N/A</v>
      </c>
      <c r="L24" s="112"/>
      <c r="M24" s="111" t="e">
        <f>M22*2*K16</f>
        <v>#N/A</v>
      </c>
      <c r="N24" s="113"/>
      <c r="P24" s="4" t="s">
        <v>59</v>
      </c>
      <c r="Q24" s="4" t="s">
        <v>58</v>
      </c>
      <c r="R24" s="4" t="s">
        <v>59</v>
      </c>
    </row>
    <row r="25" spans="2:26" ht="14.25" thickBot="1" x14ac:dyDescent="0.45">
      <c r="B25" s="79" t="s">
        <v>34</v>
      </c>
      <c r="C25" s="93">
        <f>LOOKUP(N16,Plate_Info!A4:A10,Plate_Info!D4:D10)*2-C24-C23-D23</f>
        <v>95.607104744385637</v>
      </c>
      <c r="D25" s="94"/>
      <c r="E25" s="95" t="e">
        <f>LOOKUP(N16,Plate_Info!A4:A10,Plate_Info!D4:D10)*2-E24-E23-F23</f>
        <v>#N/A</v>
      </c>
      <c r="F25" s="94"/>
      <c r="G25" s="95" t="e">
        <f>LOOKUP(N16,Plate_Info!A4:A10,Plate_Info!D4:D10)*2-G24-G23-H23</f>
        <v>#N/A</v>
      </c>
      <c r="H25" s="94"/>
      <c r="I25" s="95" t="e">
        <f>LOOKUP(N16,Plate_Info!A4:A10,Plate_Info!D4:D10)*2-I24-I23-J23</f>
        <v>#N/A</v>
      </c>
      <c r="J25" s="94"/>
      <c r="K25" s="95" t="e">
        <f>LOOKUP(N16,Plate_Info!A4:A10,Plate_Info!D4:D10)*2-K24-K23-L23</f>
        <v>#N/A</v>
      </c>
      <c r="L25" s="94"/>
      <c r="M25" s="95" t="e">
        <f>LOOKUP(N16,Plate_Info!A4:A10,Plate_Info!D4:D10)*2-M24-M23-N23</f>
        <v>#N/A</v>
      </c>
      <c r="N25" s="114"/>
      <c r="P25" s="80" t="s">
        <v>59</v>
      </c>
      <c r="Q25" s="80" t="s">
        <v>112</v>
      </c>
      <c r="R25" s="80" t="s">
        <v>59</v>
      </c>
    </row>
    <row r="27" spans="2:26" ht="14.25" thickBot="1" x14ac:dyDescent="0.45"/>
    <row r="28" spans="2:26" ht="14.25" thickTop="1" x14ac:dyDescent="0.4">
      <c r="B28" s="119" t="s">
        <v>30</v>
      </c>
      <c r="C28" s="138"/>
      <c r="D28" s="138"/>
      <c r="E28" s="138"/>
      <c r="F28" s="138"/>
      <c r="G28" s="138"/>
      <c r="H28" s="138"/>
      <c r="I28" s="138"/>
      <c r="J28" s="120"/>
      <c r="K28" s="140" t="s">
        <v>36</v>
      </c>
      <c r="L28" s="141"/>
      <c r="M28" s="30" t="s">
        <v>41</v>
      </c>
      <c r="N28" s="31" t="s">
        <v>25</v>
      </c>
    </row>
    <row r="29" spans="2:26" ht="14.25" thickBot="1" x14ac:dyDescent="0.45">
      <c r="B29" s="121"/>
      <c r="C29" s="139"/>
      <c r="D29" s="139"/>
      <c r="E29" s="139"/>
      <c r="F29" s="139"/>
      <c r="G29" s="139"/>
      <c r="H29" s="139"/>
      <c r="I29" s="139"/>
      <c r="J29" s="122"/>
      <c r="K29" s="142">
        <v>1.5</v>
      </c>
      <c r="L29" s="109"/>
      <c r="M29" s="15" t="s">
        <v>22</v>
      </c>
      <c r="N29" s="32">
        <f>_xlfn.SWITCH(M29,"96well",1,"48well",2,"24well",3,"12well",4,"6well",5,"6cm",6,"10cm",7)</f>
        <v>3</v>
      </c>
    </row>
    <row r="30" spans="2:26" x14ac:dyDescent="0.4">
      <c r="B30" s="33" t="s">
        <v>5</v>
      </c>
      <c r="C30" s="104">
        <v>1</v>
      </c>
      <c r="D30" s="104"/>
      <c r="E30" s="105"/>
      <c r="F30" s="106">
        <v>2</v>
      </c>
      <c r="G30" s="104"/>
      <c r="H30" s="105"/>
      <c r="I30" s="107">
        <v>3</v>
      </c>
      <c r="J30" s="108"/>
      <c r="K30" s="109"/>
      <c r="L30" s="108">
        <v>4</v>
      </c>
      <c r="M30" s="108"/>
      <c r="N30" s="110"/>
    </row>
    <row r="31" spans="2:26" x14ac:dyDescent="0.4">
      <c r="B31" s="35" t="s">
        <v>7</v>
      </c>
      <c r="C31" s="81" t="s">
        <v>61</v>
      </c>
      <c r="D31" s="86" t="s">
        <v>108</v>
      </c>
      <c r="E31" s="84" t="s">
        <v>109</v>
      </c>
      <c r="F31" s="81"/>
      <c r="G31" s="86"/>
      <c r="H31" s="84"/>
      <c r="I31" s="81"/>
      <c r="J31" s="81"/>
      <c r="K31" s="84"/>
      <c r="L31" s="81"/>
      <c r="M31" s="81"/>
      <c r="N31" s="84"/>
    </row>
    <row r="32" spans="2:26" x14ac:dyDescent="0.4">
      <c r="B32" s="36" t="s">
        <v>8</v>
      </c>
      <c r="C32" s="87">
        <v>1</v>
      </c>
      <c r="D32" s="91">
        <v>1</v>
      </c>
      <c r="E32" s="90">
        <v>2</v>
      </c>
      <c r="F32" s="87">
        <v>1</v>
      </c>
      <c r="G32" s="91">
        <v>1</v>
      </c>
      <c r="H32" s="90">
        <v>1</v>
      </c>
      <c r="I32" s="87">
        <v>1</v>
      </c>
      <c r="J32" s="87">
        <v>1</v>
      </c>
      <c r="K32" s="90">
        <v>1</v>
      </c>
      <c r="L32" s="87">
        <v>1</v>
      </c>
      <c r="M32" s="87">
        <v>1</v>
      </c>
      <c r="N32" s="90">
        <v>1</v>
      </c>
    </row>
    <row r="33" spans="2:14" x14ac:dyDescent="0.4">
      <c r="B33" s="37" t="s">
        <v>9</v>
      </c>
      <c r="C33" s="24" t="str">
        <f>LOOKUP(C31,Plasmid_Info!A:A,Plasmid_Info!B:B)</f>
        <v>Samp1</v>
      </c>
      <c r="D33" s="25" t="str">
        <f>LOOKUP(D31,Plasmid_Info!A:A,Plasmid_Info!B:B)</f>
        <v>Samp2</v>
      </c>
      <c r="E33" s="19" t="str">
        <f>LOOKUP(E31,Plasmid_Info!A:A,Plasmid_Info!B:B)</f>
        <v>Samp3</v>
      </c>
      <c r="F33" s="24" t="e">
        <f>LOOKUP(F31,Plasmid_Info!A:A,Plasmid_Info!B:B)</f>
        <v>#N/A</v>
      </c>
      <c r="G33" s="25" t="e">
        <f>LOOKUP(G31,Plasmid_Info!A:A,Plasmid_Info!B:B)</f>
        <v>#N/A</v>
      </c>
      <c r="H33" s="19" t="e">
        <f>LOOKUP(H31,Plasmid_Info!A:A,Plasmid_Info!B:B)</f>
        <v>#N/A</v>
      </c>
      <c r="I33" s="24" t="e">
        <f>LOOKUP(I31,Plasmid_Info!A:A,Plasmid_Info!B:B)</f>
        <v>#N/A</v>
      </c>
      <c r="J33" s="25" t="e">
        <f>LOOKUP(J31,Plasmid_Info!A:A,Plasmid_Info!B:B)</f>
        <v>#N/A</v>
      </c>
      <c r="K33" s="19" t="e">
        <f>LOOKUP(K31,Plasmid_Info!A:A,Plasmid_Info!B:B)</f>
        <v>#N/A</v>
      </c>
      <c r="L33" s="24" t="e">
        <f>LOOKUP(L31,Plasmid_Info!A:A,Plasmid_Info!B:B)</f>
        <v>#N/A</v>
      </c>
      <c r="M33" s="25" t="e">
        <f>LOOKUP(M31,Plasmid_Info!A:A,Plasmid_Info!B:B)</f>
        <v>#N/A</v>
      </c>
      <c r="N33" s="47" t="e">
        <f>LOOKUP(N31,Plasmid_Info!A:A,Plasmid_Info!B:B)</f>
        <v>#N/A</v>
      </c>
    </row>
    <row r="34" spans="2:14" x14ac:dyDescent="0.4">
      <c r="B34" s="39" t="s">
        <v>3</v>
      </c>
      <c r="C34" s="26">
        <f>LOOKUP(C18,Plasmid_Info!A:A,_xlfn.SWITCH(C19,1,Plasmid_Info!D:D,2,Plasmid_Info!F:F,3,Plasmid_Info!H:H,4,Plasmid_Info!J:J))</f>
        <v>233.33</v>
      </c>
      <c r="D34" s="27">
        <f>LOOKUP(D31,Plasmid_Info!A:A,_xlfn.SWITCH(D32,1,Plasmid_Info!D:D,2,Plasmid_Info!F:F,3,Plasmid_Info!H:H,4,Plasmid_Info!J:J))</f>
        <v>666.66</v>
      </c>
      <c r="E34" s="21">
        <f>LOOKUP(E31,Plasmid_Info!A:A,_xlfn.SWITCH(E32,1,Plasmid_Info!D:D,2,Plasmid_Info!F:F,3,Plasmid_Info!H:H,4,Plasmid_Info!J:J))</f>
        <v>514</v>
      </c>
      <c r="F34" s="26" t="e">
        <f>LOOKUP(F31,Plasmid_Info!A:A,_xlfn.SWITCH(F32,1,Plasmid_Info!D:D,2,Plasmid_Info!F:F,3,Plasmid_Info!H:H,4,Plasmid_Info!J:J))</f>
        <v>#N/A</v>
      </c>
      <c r="G34" s="27" t="e">
        <f>LOOKUP(G31,Plasmid_Info!A:A,_xlfn.SWITCH(G32,1,Plasmid_Info!D:D,2,Plasmid_Info!F:F,3,Plasmid_Info!H:H,4,Plasmid_Info!J:J))</f>
        <v>#N/A</v>
      </c>
      <c r="H34" s="21" t="e">
        <f>LOOKUP(H31,Plasmid_Info!A:A,_xlfn.SWITCH(H32,1,Plasmid_Info!D:D,2,Plasmid_Info!F:F,3,Plasmid_Info!H:H,4,Plasmid_Info!J:J))</f>
        <v>#N/A</v>
      </c>
      <c r="I34" s="26" t="e">
        <f>LOOKUP(I31,Plasmid_Info!A:A,_xlfn.SWITCH(I32,1,Plasmid_Info!D:D,2,Plasmid_Info!F:F,3,Plasmid_Info!H:H,4,Plasmid_Info!J:J))</f>
        <v>#N/A</v>
      </c>
      <c r="J34" s="27" t="e">
        <f>LOOKUP(J31,Plasmid_Info!A:A,_xlfn.SWITCH(J32,1,Plasmid_Info!D:D,2,Plasmid_Info!F:F,3,Plasmid_Info!H:H,4,Plasmid_Info!J:J))</f>
        <v>#N/A</v>
      </c>
      <c r="K34" s="21" t="e">
        <f>LOOKUP(K31,Plasmid_Info!A:A,_xlfn.SWITCH(K32,1,Plasmid_Info!D:D,2,Plasmid_Info!F:F,3,Plasmid_Info!H:H,4,Plasmid_Info!J:J))</f>
        <v>#N/A</v>
      </c>
      <c r="L34" s="26" t="e">
        <f>LOOKUP(L31,Plasmid_Info!A:A,_xlfn.SWITCH(L32,1,Plasmid_Info!D:D,2,Plasmid_Info!F:F,3,Plasmid_Info!H:H,4,Plasmid_Info!J:J))</f>
        <v>#N/A</v>
      </c>
      <c r="M34" s="27" t="e">
        <f>LOOKUP(M31,Plasmid_Info!A:A,_xlfn.SWITCH(M32,1,Plasmid_Info!D:D,2,Plasmid_Info!F:F,3,Plasmid_Info!H:H,4,Plasmid_Info!J:J))</f>
        <v>#N/A</v>
      </c>
      <c r="N34" s="48" t="e">
        <f>LOOKUP(N31,Plasmid_Info!A:A,_xlfn.SWITCH(N32,1,Plasmid_Info!D:D,2,Plasmid_Info!F:F,3,Plasmid_Info!H:H,4,Plasmid_Info!J:J))</f>
        <v>#N/A</v>
      </c>
    </row>
    <row r="35" spans="2:14" x14ac:dyDescent="0.4">
      <c r="B35" s="39" t="s">
        <v>39</v>
      </c>
      <c r="C35" s="26">
        <f>IF(C34&lt;&gt;0, (LOOKUP(N29,Plate_Info!A4:A10,Plate_Info!E4:E10)), "-")</f>
        <v>0.5</v>
      </c>
      <c r="D35" s="27">
        <f>IF(D34&lt;&gt;0, (LOOKUP(N29,Plate_Info!A4:A10,Plate_Info!E4:E10)), "-")</f>
        <v>0.5</v>
      </c>
      <c r="E35" s="21">
        <f>IF(E34&lt;&gt;0, (LOOKUP(N29,Plate_Info!A4:A10,Plate_Info!E4:E10)), "-")</f>
        <v>0.5</v>
      </c>
      <c r="F35" s="26" t="e">
        <f>IF(F34&lt;&gt;0, (LOOKUP(N29,Plate_Info!A4:A10,Plate_Info!E4:E10)), "-")</f>
        <v>#N/A</v>
      </c>
      <c r="G35" s="27" t="e">
        <f>IF(G34&lt;&gt;0, (LOOKUP(N29,Plate_Info!A4:A10,Plate_Info!E4:E10)), "-")</f>
        <v>#N/A</v>
      </c>
      <c r="H35" s="21" t="e">
        <f>IF(H34&lt;&gt;0, (LOOKUP(N29,Plate_Info!A4:A10,Plate_Info!E4:E10)), "-")</f>
        <v>#N/A</v>
      </c>
      <c r="I35" s="26" t="e">
        <f>IF(I34&lt;&gt;0, (LOOKUP(N29,Plate_Info!A4:A10,Plate_Info!E4:E10)), "-")</f>
        <v>#N/A</v>
      </c>
      <c r="J35" s="27" t="e">
        <f>IF(J34&lt;&gt;0, (LOOKUP(N29,Plate_Info!A4:A10,Plate_Info!E4:E10)), "-")</f>
        <v>#N/A</v>
      </c>
      <c r="K35" s="21" t="e">
        <f>IF(K34&lt;&gt;0, (LOOKUP(N29,Plate_Info!A4:A10,Plate_Info!E4:E10)), "-")</f>
        <v>#N/A</v>
      </c>
      <c r="L35" s="26" t="e">
        <f>IF(L34&lt;&gt;0, (LOOKUP(N29,Plate_Info!A4:A10,Plate_Info!E4:E10)), "-")</f>
        <v>#N/A</v>
      </c>
      <c r="M35" s="27" t="e">
        <f>IF(M34&lt;&gt;0, (LOOKUP(N29,Plate_Info!A4:A10,Plate_Info!E4:E10)), "-")</f>
        <v>#N/A</v>
      </c>
      <c r="N35" s="48" t="e">
        <f>IF(N34&lt;&gt;0, (LOOKUP(N29,Plate_Info!A4:A10,Plate_Info!E4:E10)), "-")</f>
        <v>#N/A</v>
      </c>
    </row>
    <row r="36" spans="2:14" x14ac:dyDescent="0.4">
      <c r="B36" s="41" t="s">
        <v>40</v>
      </c>
      <c r="C36" s="28">
        <f>IF(C34&lt;&gt;0,C35*1000/C34,"-")</f>
        <v>2.1428877555393648</v>
      </c>
      <c r="D36" s="29">
        <f>IF(D34&lt;&gt;0,D35*1000/D34,"-")</f>
        <v>0.75000750007500083</v>
      </c>
      <c r="E36" s="23">
        <f t="shared" ref="E36:N36" si="10">IF(E34&lt;&gt;0,E35*1000/E34,"-")</f>
        <v>0.97276264591439687</v>
      </c>
      <c r="F36" s="28" t="e">
        <f t="shared" si="10"/>
        <v>#N/A</v>
      </c>
      <c r="G36" s="29" t="e">
        <f t="shared" si="10"/>
        <v>#N/A</v>
      </c>
      <c r="H36" s="23" t="e">
        <f t="shared" si="10"/>
        <v>#N/A</v>
      </c>
      <c r="I36" s="28" t="e">
        <f t="shared" si="10"/>
        <v>#N/A</v>
      </c>
      <c r="J36" s="29" t="e">
        <f t="shared" si="10"/>
        <v>#N/A</v>
      </c>
      <c r="K36" s="23" t="e">
        <f t="shared" si="10"/>
        <v>#N/A</v>
      </c>
      <c r="L36" s="28" t="e">
        <f t="shared" si="10"/>
        <v>#N/A</v>
      </c>
      <c r="M36" s="29" t="e">
        <f t="shared" si="10"/>
        <v>#N/A</v>
      </c>
      <c r="N36" s="49" t="e">
        <f t="shared" si="10"/>
        <v>#N/A</v>
      </c>
    </row>
    <row r="37" spans="2:14" x14ac:dyDescent="0.4">
      <c r="B37" s="41" t="s">
        <v>33</v>
      </c>
      <c r="C37" s="96">
        <f>C35*3*K29</f>
        <v>2.25</v>
      </c>
      <c r="D37" s="97"/>
      <c r="E37" s="98"/>
      <c r="F37" s="97" t="e">
        <f>F35*3*K29</f>
        <v>#N/A</v>
      </c>
      <c r="G37" s="97"/>
      <c r="H37" s="98"/>
      <c r="I37" s="97" t="e">
        <f>I35*3*K29</f>
        <v>#N/A</v>
      </c>
      <c r="J37" s="97"/>
      <c r="K37" s="98"/>
      <c r="L37" s="97" t="e">
        <f>L35*3*K29</f>
        <v>#N/A</v>
      </c>
      <c r="M37" s="97"/>
      <c r="N37" s="118"/>
    </row>
    <row r="38" spans="2:14" ht="14.25" thickBot="1" x14ac:dyDescent="0.45">
      <c r="B38" s="43" t="s">
        <v>34</v>
      </c>
      <c r="C38" s="99">
        <f>LOOKUP(N29,Plate_Info!A4:A10,Plate_Info!D4:D10)*3-C37-C36-D36-E36</f>
        <v>143.88434209847122</v>
      </c>
      <c r="D38" s="100"/>
      <c r="E38" s="101"/>
      <c r="F38" s="102" t="e">
        <f>LOOKUP(N29,Plate_Info!A4:A10,Plate_Info!D4:D10)*3-F37-F36-G36-H36</f>
        <v>#N/A</v>
      </c>
      <c r="G38" s="100"/>
      <c r="H38" s="101"/>
      <c r="I38" s="102" t="e">
        <f>LOOKUP(N29,Plate_Info!A4:A10,Plate_Info!D4:D10)*3-I37-I36-J36-K36</f>
        <v>#N/A</v>
      </c>
      <c r="J38" s="100"/>
      <c r="K38" s="101"/>
      <c r="L38" s="102" t="e">
        <f>LOOKUP(N29,Plate_Info!A4:A10,Plate_Info!D4:D10)*3-L37-L36-M36-N36</f>
        <v>#N/A</v>
      </c>
      <c r="M38" s="100"/>
      <c r="N38" s="117"/>
    </row>
    <row r="39" spans="2:14" ht="14.25" thickTop="1" x14ac:dyDescent="0.4"/>
    <row r="46" spans="2:14" x14ac:dyDescent="0.4">
      <c r="B46" s="92"/>
      <c r="C46" s="92"/>
      <c r="D46" s="92"/>
      <c r="E46" s="92"/>
      <c r="F46" s="92"/>
      <c r="G46" s="92"/>
    </row>
    <row r="47" spans="2:14" x14ac:dyDescent="0.4">
      <c r="B47" s="92"/>
      <c r="C47" s="92"/>
      <c r="D47" s="92"/>
      <c r="E47" s="92"/>
      <c r="F47" s="92"/>
      <c r="G47" s="92"/>
    </row>
  </sheetData>
  <mergeCells count="48">
    <mergeCell ref="G24:H24"/>
    <mergeCell ref="B2:J3"/>
    <mergeCell ref="K2:L2"/>
    <mergeCell ref="K3:L3"/>
    <mergeCell ref="B15:J16"/>
    <mergeCell ref="K15:L15"/>
    <mergeCell ref="K16:L16"/>
    <mergeCell ref="L38:N38"/>
    <mergeCell ref="L37:N37"/>
    <mergeCell ref="P2:Q3"/>
    <mergeCell ref="P15:Q16"/>
    <mergeCell ref="P18:Q18"/>
    <mergeCell ref="P19:Q19"/>
    <mergeCell ref="P21:Q21"/>
    <mergeCell ref="K17:L17"/>
    <mergeCell ref="M17:N17"/>
    <mergeCell ref="I37:K37"/>
    <mergeCell ref="I38:K38"/>
    <mergeCell ref="P22:Q22"/>
    <mergeCell ref="P20:Q20"/>
    <mergeCell ref="B28:J29"/>
    <mergeCell ref="K28:L28"/>
    <mergeCell ref="K29:L29"/>
    <mergeCell ref="U8:V8"/>
    <mergeCell ref="C30:E30"/>
    <mergeCell ref="F30:H30"/>
    <mergeCell ref="I30:K30"/>
    <mergeCell ref="L30:N30"/>
    <mergeCell ref="I24:J24"/>
    <mergeCell ref="K24:L24"/>
    <mergeCell ref="M24:N24"/>
    <mergeCell ref="K25:L25"/>
    <mergeCell ref="M25:N25"/>
    <mergeCell ref="C24:D24"/>
    <mergeCell ref="E24:F24"/>
    <mergeCell ref="C17:D17"/>
    <mergeCell ref="E17:F17"/>
    <mergeCell ref="G17:H17"/>
    <mergeCell ref="I17:J17"/>
    <mergeCell ref="B46:G47"/>
    <mergeCell ref="C25:D25"/>
    <mergeCell ref="E25:F25"/>
    <mergeCell ref="G25:H25"/>
    <mergeCell ref="I25:J25"/>
    <mergeCell ref="C37:E37"/>
    <mergeCell ref="C38:E38"/>
    <mergeCell ref="F37:H37"/>
    <mergeCell ref="F38:H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3"/>
  <sheetViews>
    <sheetView workbookViewId="0">
      <selection activeCell="G7" sqref="G7"/>
    </sheetView>
  </sheetViews>
  <sheetFormatPr defaultRowHeight="13.9" x14ac:dyDescent="0.4"/>
  <cols>
    <col min="1" max="1" width="9.06640625" style="1"/>
    <col min="2" max="2" width="19.3984375" style="1" customWidth="1"/>
    <col min="3" max="3" width="38.53125" style="1" customWidth="1"/>
    <col min="5" max="5" width="9.06640625" style="3"/>
    <col min="7" max="7" width="9.06640625" style="3"/>
    <col min="9" max="9" width="9.06640625" style="3"/>
    <col min="11" max="11" width="9.06640625" style="3"/>
  </cols>
  <sheetData>
    <row r="1" spans="1:16" x14ac:dyDescent="0.4">
      <c r="A1" s="149" t="s">
        <v>1</v>
      </c>
      <c r="B1" s="151" t="s">
        <v>51</v>
      </c>
      <c r="C1" s="151" t="s">
        <v>2</v>
      </c>
      <c r="D1" s="154" t="s">
        <v>43</v>
      </c>
      <c r="E1" s="155"/>
      <c r="F1" s="156" t="s">
        <v>44</v>
      </c>
      <c r="G1" s="155"/>
      <c r="H1" s="156" t="s">
        <v>45</v>
      </c>
      <c r="I1" s="155"/>
      <c r="J1" s="156" t="s">
        <v>46</v>
      </c>
      <c r="K1" s="155"/>
    </row>
    <row r="2" spans="1:16" s="2" customFormat="1" ht="14.25" thickBot="1" x14ac:dyDescent="0.45">
      <c r="A2" s="150"/>
      <c r="B2" s="152"/>
      <c r="C2" s="152"/>
      <c r="D2" s="8" t="s">
        <v>3</v>
      </c>
      <c r="E2" s="9" t="s">
        <v>4</v>
      </c>
      <c r="F2" s="8" t="s">
        <v>3</v>
      </c>
      <c r="G2" s="9" t="s">
        <v>4</v>
      </c>
      <c r="H2" s="8" t="s">
        <v>3</v>
      </c>
      <c r="I2" s="9" t="s">
        <v>4</v>
      </c>
      <c r="J2" s="8" t="s">
        <v>3</v>
      </c>
      <c r="K2" s="9" t="s">
        <v>4</v>
      </c>
    </row>
    <row r="3" spans="1:16" s="5" customFormat="1" x14ac:dyDescent="0.4">
      <c r="A3" s="1" t="s">
        <v>61</v>
      </c>
      <c r="B3" s="1" t="s">
        <v>103</v>
      </c>
      <c r="C3" s="1" t="s">
        <v>102</v>
      </c>
      <c r="D3" s="5">
        <v>233.33</v>
      </c>
      <c r="E3" s="3" t="s">
        <v>60</v>
      </c>
      <c r="G3" s="3"/>
      <c r="I3" s="3"/>
      <c r="K3" s="3"/>
    </row>
    <row r="4" spans="1:16" x14ac:dyDescent="0.4">
      <c r="A4" s="1" t="s">
        <v>62</v>
      </c>
      <c r="B4" s="1" t="s">
        <v>104</v>
      </c>
      <c r="C4" s="1" t="s">
        <v>106</v>
      </c>
      <c r="D4">
        <v>666.66</v>
      </c>
      <c r="E4" s="3" t="s">
        <v>60</v>
      </c>
    </row>
    <row r="5" spans="1:16" x14ac:dyDescent="0.4">
      <c r="A5" s="1" t="s">
        <v>63</v>
      </c>
      <c r="B5" s="1" t="s">
        <v>105</v>
      </c>
      <c r="C5" s="1" t="s">
        <v>107</v>
      </c>
      <c r="D5">
        <v>114</v>
      </c>
      <c r="E5" s="3" t="s">
        <v>60</v>
      </c>
      <c r="F5">
        <v>514</v>
      </c>
      <c r="G5" s="3" t="s">
        <v>60</v>
      </c>
    </row>
    <row r="6" spans="1:16" x14ac:dyDescent="0.4">
      <c r="A6" s="1" t="s">
        <v>64</v>
      </c>
    </row>
    <row r="7" spans="1:16" x14ac:dyDescent="0.4">
      <c r="A7" s="1" t="s">
        <v>65</v>
      </c>
    </row>
    <row r="8" spans="1:16" x14ac:dyDescent="0.4">
      <c r="A8" s="1" t="s">
        <v>66</v>
      </c>
    </row>
    <row r="9" spans="1:16" x14ac:dyDescent="0.4">
      <c r="A9" s="1" t="s">
        <v>67</v>
      </c>
      <c r="M9" s="153" t="s">
        <v>50</v>
      </c>
      <c r="N9" s="153"/>
      <c r="O9" s="153"/>
      <c r="P9" s="153"/>
    </row>
    <row r="10" spans="1:16" x14ac:dyDescent="0.4">
      <c r="A10" s="1" t="s">
        <v>68</v>
      </c>
      <c r="M10" s="153"/>
      <c r="N10" s="153"/>
      <c r="O10" s="153"/>
      <c r="P10" s="153"/>
    </row>
    <row r="11" spans="1:16" x14ac:dyDescent="0.4">
      <c r="A11" s="1" t="s">
        <v>69</v>
      </c>
    </row>
    <row r="12" spans="1:16" x14ac:dyDescent="0.4">
      <c r="A12" s="1" t="s">
        <v>70</v>
      </c>
    </row>
    <row r="13" spans="1:16" x14ac:dyDescent="0.4">
      <c r="A13" s="1" t="s">
        <v>71</v>
      </c>
    </row>
    <row r="14" spans="1:16" x14ac:dyDescent="0.4">
      <c r="A14" s="1" t="s">
        <v>72</v>
      </c>
    </row>
    <row r="15" spans="1:16" x14ac:dyDescent="0.4">
      <c r="A15" s="1" t="s">
        <v>73</v>
      </c>
    </row>
    <row r="16" spans="1:16" x14ac:dyDescent="0.4">
      <c r="A16" s="1" t="s">
        <v>74</v>
      </c>
    </row>
    <row r="17" spans="1:1" x14ac:dyDescent="0.4">
      <c r="A17" s="1" t="s">
        <v>75</v>
      </c>
    </row>
    <row r="18" spans="1:1" x14ac:dyDescent="0.4">
      <c r="A18" s="1" t="s">
        <v>76</v>
      </c>
    </row>
    <row r="19" spans="1:1" x14ac:dyDescent="0.4">
      <c r="A19" s="1" t="s">
        <v>77</v>
      </c>
    </row>
    <row r="20" spans="1:1" x14ac:dyDescent="0.4">
      <c r="A20" s="1" t="s">
        <v>78</v>
      </c>
    </row>
    <row r="21" spans="1:1" x14ac:dyDescent="0.4">
      <c r="A21" s="1" t="s">
        <v>79</v>
      </c>
    </row>
    <row r="22" spans="1:1" x14ac:dyDescent="0.4">
      <c r="A22" s="1" t="s">
        <v>80</v>
      </c>
    </row>
    <row r="23" spans="1:1" x14ac:dyDescent="0.4">
      <c r="A23" s="1" t="s">
        <v>81</v>
      </c>
    </row>
    <row r="24" spans="1:1" x14ac:dyDescent="0.4">
      <c r="A24" s="1" t="s">
        <v>82</v>
      </c>
    </row>
    <row r="25" spans="1:1" x14ac:dyDescent="0.4">
      <c r="A25" s="1" t="s">
        <v>83</v>
      </c>
    </row>
    <row r="26" spans="1:1" x14ac:dyDescent="0.4">
      <c r="A26" s="1" t="s">
        <v>84</v>
      </c>
    </row>
    <row r="27" spans="1:1" x14ac:dyDescent="0.4">
      <c r="A27" s="1" t="s">
        <v>85</v>
      </c>
    </row>
    <row r="28" spans="1:1" x14ac:dyDescent="0.4">
      <c r="A28" s="1" t="s">
        <v>86</v>
      </c>
    </row>
    <row r="29" spans="1:1" x14ac:dyDescent="0.4">
      <c r="A29" s="1" t="s">
        <v>87</v>
      </c>
    </row>
    <row r="30" spans="1:1" x14ac:dyDescent="0.4">
      <c r="A30" s="1" t="s">
        <v>88</v>
      </c>
    </row>
    <row r="31" spans="1:1" x14ac:dyDescent="0.4">
      <c r="A31" s="1" t="s">
        <v>89</v>
      </c>
    </row>
    <row r="32" spans="1:1" x14ac:dyDescent="0.4">
      <c r="A32" s="1" t="s">
        <v>90</v>
      </c>
    </row>
    <row r="33" spans="1:1" x14ac:dyDescent="0.4">
      <c r="A33" s="1" t="s">
        <v>91</v>
      </c>
    </row>
    <row r="34" spans="1:1" x14ac:dyDescent="0.4">
      <c r="A34" s="1" t="s">
        <v>92</v>
      </c>
    </row>
    <row r="35" spans="1:1" x14ac:dyDescent="0.4">
      <c r="A35" s="1" t="s">
        <v>93</v>
      </c>
    </row>
    <row r="36" spans="1:1" x14ac:dyDescent="0.4">
      <c r="A36" s="1" t="s">
        <v>94</v>
      </c>
    </row>
    <row r="37" spans="1:1" x14ac:dyDescent="0.4">
      <c r="A37" s="1" t="s">
        <v>95</v>
      </c>
    </row>
    <row r="38" spans="1:1" x14ac:dyDescent="0.4">
      <c r="A38" s="1" t="s">
        <v>96</v>
      </c>
    </row>
    <row r="39" spans="1:1" x14ac:dyDescent="0.4">
      <c r="A39" s="1" t="s">
        <v>97</v>
      </c>
    </row>
    <row r="40" spans="1:1" x14ac:dyDescent="0.4">
      <c r="A40" s="1" t="s">
        <v>98</v>
      </c>
    </row>
    <row r="41" spans="1:1" x14ac:dyDescent="0.4">
      <c r="A41" s="1" t="s">
        <v>99</v>
      </c>
    </row>
    <row r="42" spans="1:1" x14ac:dyDescent="0.4">
      <c r="A42" s="1" t="s">
        <v>100</v>
      </c>
    </row>
    <row r="43" spans="1:1" x14ac:dyDescent="0.4">
      <c r="A43" s="1" t="s">
        <v>101</v>
      </c>
    </row>
  </sheetData>
  <mergeCells count="8">
    <mergeCell ref="A1:A2"/>
    <mergeCell ref="B1:B2"/>
    <mergeCell ref="M9:P10"/>
    <mergeCell ref="D1:E1"/>
    <mergeCell ref="F1:G1"/>
    <mergeCell ref="H1:I1"/>
    <mergeCell ref="J1:K1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F725A-6482-4A90-B75E-BAC9C5473E47}">
  <dimension ref="A1:G11"/>
  <sheetViews>
    <sheetView workbookViewId="0">
      <selection activeCell="K6" sqref="K6"/>
    </sheetView>
  </sheetViews>
  <sheetFormatPr defaultRowHeight="13.9" x14ac:dyDescent="0.4"/>
  <sheetData>
    <row r="1" spans="1:7" x14ac:dyDescent="0.4">
      <c r="A1" s="5"/>
      <c r="B1" s="157" t="s">
        <v>11</v>
      </c>
      <c r="C1" s="157"/>
      <c r="D1" s="157"/>
      <c r="E1" s="157"/>
      <c r="F1" s="157"/>
      <c r="G1" s="157"/>
    </row>
    <row r="2" spans="1:7" x14ac:dyDescent="0.4">
      <c r="A2" s="10"/>
      <c r="B2" s="158"/>
      <c r="C2" s="158"/>
      <c r="D2" s="158"/>
      <c r="E2" s="158"/>
      <c r="F2" s="158"/>
      <c r="G2" s="158"/>
    </row>
    <row r="3" spans="1:7" x14ac:dyDescent="0.4">
      <c r="A3" t="s">
        <v>0</v>
      </c>
      <c r="B3" s="11" t="s">
        <v>14</v>
      </c>
      <c r="C3" s="4" t="s">
        <v>15</v>
      </c>
      <c r="D3" s="4" t="s">
        <v>16</v>
      </c>
      <c r="E3" s="4" t="s">
        <v>28</v>
      </c>
      <c r="F3" s="4" t="s">
        <v>17</v>
      </c>
      <c r="G3" s="4" t="s">
        <v>18</v>
      </c>
    </row>
    <row r="4" spans="1:7" x14ac:dyDescent="0.4">
      <c r="A4">
        <v>1</v>
      </c>
      <c r="B4" s="12" t="s">
        <v>20</v>
      </c>
      <c r="C4">
        <v>0.3</v>
      </c>
      <c r="D4">
        <v>10</v>
      </c>
      <c r="E4">
        <v>0.1</v>
      </c>
      <c r="F4">
        <f>E4</f>
        <v>0.1</v>
      </c>
      <c r="G4">
        <v>100</v>
      </c>
    </row>
    <row r="5" spans="1:7" x14ac:dyDescent="0.4">
      <c r="A5">
        <v>2</v>
      </c>
      <c r="B5" s="12" t="s">
        <v>21</v>
      </c>
      <c r="C5">
        <v>0.7</v>
      </c>
      <c r="D5">
        <v>20</v>
      </c>
      <c r="E5">
        <v>0.2</v>
      </c>
      <c r="F5">
        <f t="shared" ref="F5:F10" si="0">E5</f>
        <v>0.2</v>
      </c>
      <c r="G5">
        <v>200</v>
      </c>
    </row>
    <row r="6" spans="1:7" x14ac:dyDescent="0.4">
      <c r="A6">
        <v>3</v>
      </c>
      <c r="B6" s="12" t="s">
        <v>22</v>
      </c>
      <c r="C6">
        <v>1.9</v>
      </c>
      <c r="D6">
        <v>50</v>
      </c>
      <c r="E6">
        <v>0.5</v>
      </c>
      <c r="F6">
        <f t="shared" si="0"/>
        <v>0.5</v>
      </c>
      <c r="G6">
        <v>500</v>
      </c>
    </row>
    <row r="7" spans="1:7" x14ac:dyDescent="0.4">
      <c r="A7">
        <v>4</v>
      </c>
      <c r="B7" s="12" t="s">
        <v>23</v>
      </c>
      <c r="C7">
        <v>3.8</v>
      </c>
      <c r="D7">
        <v>50</v>
      </c>
      <c r="E7">
        <v>1</v>
      </c>
      <c r="F7">
        <f t="shared" si="0"/>
        <v>1</v>
      </c>
      <c r="G7">
        <v>1000</v>
      </c>
    </row>
    <row r="8" spans="1:7" x14ac:dyDescent="0.4">
      <c r="A8">
        <v>5</v>
      </c>
      <c r="B8" s="12" t="s">
        <v>24</v>
      </c>
      <c r="C8">
        <v>10</v>
      </c>
      <c r="D8">
        <v>100</v>
      </c>
      <c r="E8">
        <v>2</v>
      </c>
      <c r="F8">
        <f t="shared" si="0"/>
        <v>2</v>
      </c>
      <c r="G8">
        <v>2000</v>
      </c>
    </row>
    <row r="9" spans="1:7" x14ac:dyDescent="0.4">
      <c r="A9">
        <v>6</v>
      </c>
      <c r="B9" s="12" t="s">
        <v>12</v>
      </c>
      <c r="C9">
        <v>21</v>
      </c>
      <c r="D9">
        <v>200</v>
      </c>
      <c r="E9">
        <v>4</v>
      </c>
      <c r="F9">
        <f t="shared" si="0"/>
        <v>4</v>
      </c>
      <c r="G9">
        <v>4000</v>
      </c>
    </row>
    <row r="10" spans="1:7" x14ac:dyDescent="0.4">
      <c r="A10">
        <v>7</v>
      </c>
      <c r="B10" s="12" t="s">
        <v>13</v>
      </c>
      <c r="C10">
        <v>58</v>
      </c>
      <c r="D10">
        <v>500</v>
      </c>
      <c r="E10">
        <v>10</v>
      </c>
      <c r="F10">
        <f t="shared" si="0"/>
        <v>10</v>
      </c>
      <c r="G10">
        <v>10000</v>
      </c>
    </row>
    <row r="11" spans="1:7" x14ac:dyDescent="0.4">
      <c r="B11" s="159" t="s">
        <v>47</v>
      </c>
      <c r="C11" s="159"/>
      <c r="D11" s="159"/>
      <c r="E11" s="159"/>
      <c r="F11" s="159"/>
      <c r="G11" s="159"/>
    </row>
  </sheetData>
  <mergeCells count="2">
    <mergeCell ref="B1:G2"/>
    <mergeCell ref="B11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T-calculator</vt:lpstr>
      <vt:lpstr>Plasmid_Info</vt:lpstr>
      <vt:lpstr>Plate_Info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TritiumWang</dc:creator>
  <cp:lastModifiedBy>TritiumWang</cp:lastModifiedBy>
  <dcterms:created xsi:type="dcterms:W3CDTF">2015-06-05T18:19:34Z</dcterms:created>
  <dcterms:modified xsi:type="dcterms:W3CDTF">2021-11-28T15:15:28Z</dcterms:modified>
</cp:coreProperties>
</file>