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ula.Patil\Desktop\DossierMgmt\Requirement24122020\PIDF  RawData\"/>
    </mc:Choice>
  </mc:AlternateContent>
  <bookViews>
    <workbookView xWindow="0" yWindow="0" windowWidth="20490" windowHeight="7650" activeTab="2"/>
  </bookViews>
  <sheets>
    <sheet name="PIDF" sheetId="2" r:id="rId1"/>
    <sheet name="Acamprosate  tab" sheetId="1" r:id="rId2"/>
    <sheet name="PIDF1" sheetId="3" r:id="rId3"/>
    <sheet name="Revised" sheetId="4" r:id="rId4"/>
    <sheet name="PIDF_Russia" sheetId="5" r:id="rId5"/>
    <sheet name="Russia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K4" i="5" l="1"/>
  <c r="L4" i="5"/>
  <c r="J4" i="5"/>
  <c r="O12" i="6"/>
  <c r="F4" i="5"/>
  <c r="E4" i="5"/>
  <c r="U4" i="4"/>
  <c r="T4" i="4"/>
  <c r="S4" i="4"/>
  <c r="H5" i="5"/>
  <c r="T3" i="6"/>
  <c r="S3" i="6"/>
  <c r="R3" i="6"/>
  <c r="X3" i="6" s="1"/>
  <c r="U3" i="6"/>
  <c r="C4" i="5"/>
  <c r="D4" i="5"/>
  <c r="J5" i="5"/>
  <c r="AG4" i="6"/>
  <c r="K3" i="6"/>
  <c r="I3" i="6"/>
  <c r="J3" i="6" s="1"/>
  <c r="V3" i="6" s="1"/>
  <c r="K5" i="5" l="1"/>
  <c r="L5" i="5"/>
  <c r="N5" i="5" s="1"/>
  <c r="M3" i="6"/>
  <c r="W3" i="6"/>
  <c r="J6" i="3"/>
  <c r="J9" i="3"/>
  <c r="J4" i="3"/>
  <c r="F5" i="3"/>
  <c r="F6" i="3"/>
  <c r="F7" i="3"/>
  <c r="F8" i="3"/>
  <c r="F9" i="3"/>
  <c r="F10" i="3"/>
  <c r="F11" i="3"/>
  <c r="F12" i="3"/>
  <c r="F13" i="3"/>
  <c r="F4" i="3"/>
  <c r="E5" i="3"/>
  <c r="E6" i="3"/>
  <c r="E7" i="3"/>
  <c r="E8" i="3"/>
  <c r="E9" i="3"/>
  <c r="E10" i="3"/>
  <c r="E11" i="3"/>
  <c r="E12" i="3"/>
  <c r="E13" i="3"/>
  <c r="E4" i="3"/>
  <c r="D4" i="3"/>
  <c r="C4" i="3"/>
  <c r="AH14" i="4"/>
  <c r="AJ14" i="4" s="1"/>
  <c r="H14" i="3" s="1"/>
  <c r="U13" i="4"/>
  <c r="T13" i="4"/>
  <c r="S13" i="4"/>
  <c r="J13" i="3" s="1"/>
  <c r="L13" i="4"/>
  <c r="J13" i="4"/>
  <c r="K13" i="4" s="1"/>
  <c r="U12" i="4"/>
  <c r="T12" i="4"/>
  <c r="S12" i="4"/>
  <c r="J12" i="3" s="1"/>
  <c r="L12" i="4"/>
  <c r="J12" i="4"/>
  <c r="K12" i="4" s="1"/>
  <c r="U11" i="4"/>
  <c r="T11" i="4"/>
  <c r="S11" i="4"/>
  <c r="J11" i="3" s="1"/>
  <c r="L11" i="4"/>
  <c r="K11" i="4"/>
  <c r="W11" i="4" s="1"/>
  <c r="J11" i="4"/>
  <c r="U10" i="4"/>
  <c r="T10" i="4"/>
  <c r="S10" i="4"/>
  <c r="J10" i="3" s="1"/>
  <c r="L10" i="4"/>
  <c r="J10" i="4"/>
  <c r="K10" i="4" s="1"/>
  <c r="W10" i="4" s="1"/>
  <c r="U9" i="4"/>
  <c r="T9" i="4"/>
  <c r="S9" i="4"/>
  <c r="L9" i="4"/>
  <c r="K9" i="4"/>
  <c r="W9" i="4" s="1"/>
  <c r="J9" i="4"/>
  <c r="U8" i="4"/>
  <c r="T8" i="4"/>
  <c r="S8" i="4"/>
  <c r="J8" i="3" s="1"/>
  <c r="L8" i="4"/>
  <c r="K8" i="4"/>
  <c r="W8" i="4" s="1"/>
  <c r="J8" i="4"/>
  <c r="U7" i="4"/>
  <c r="T7" i="4"/>
  <c r="S7" i="4"/>
  <c r="J7" i="3" s="1"/>
  <c r="L7" i="4"/>
  <c r="K7" i="4"/>
  <c r="W7" i="4" s="1"/>
  <c r="J7" i="4"/>
  <c r="U6" i="4"/>
  <c r="T6" i="4"/>
  <c r="S6" i="4"/>
  <c r="L6" i="4"/>
  <c r="K6" i="4"/>
  <c r="W6" i="4" s="1"/>
  <c r="J6" i="4"/>
  <c r="U5" i="4"/>
  <c r="T5" i="4"/>
  <c r="S5" i="4"/>
  <c r="J5" i="3" s="1"/>
  <c r="L5" i="4"/>
  <c r="J5" i="4"/>
  <c r="K5" i="4" s="1"/>
  <c r="L4" i="4"/>
  <c r="K4" i="4"/>
  <c r="W4" i="4" s="1"/>
  <c r="J4" i="4"/>
  <c r="S14" i="4" l="1"/>
  <c r="N6" i="4"/>
  <c r="O6" i="4" s="1"/>
  <c r="X6" i="4"/>
  <c r="N7" i="4"/>
  <c r="O7" i="4" s="1"/>
  <c r="X7" i="4"/>
  <c r="N8" i="4"/>
  <c r="O8" i="4" s="1"/>
  <c r="X8" i="4"/>
  <c r="AA8" i="4" s="1"/>
  <c r="V4" i="6"/>
  <c r="N3" i="6"/>
  <c r="Z3" i="6"/>
  <c r="Y3" i="6"/>
  <c r="W4" i="6"/>
  <c r="U4" i="6"/>
  <c r="J14" i="3"/>
  <c r="W12" i="4"/>
  <c r="X12" i="4"/>
  <c r="N12" i="4"/>
  <c r="O12" i="4" s="1"/>
  <c r="W5" i="4"/>
  <c r="Z5" i="4" s="1"/>
  <c r="X5" i="4"/>
  <c r="N5" i="4"/>
  <c r="O5" i="4" s="1"/>
  <c r="AA9" i="4"/>
  <c r="N9" i="4"/>
  <c r="O9" i="4" s="1"/>
  <c r="X9" i="4"/>
  <c r="N10" i="4"/>
  <c r="O10" i="4" s="1"/>
  <c r="X10" i="4"/>
  <c r="AA10" i="4" s="1"/>
  <c r="AA11" i="4"/>
  <c r="N4" i="4"/>
  <c r="O4" i="4" s="1"/>
  <c r="X4" i="4"/>
  <c r="AA5" i="4"/>
  <c r="N11" i="4"/>
  <c r="O11" i="4" s="1"/>
  <c r="X11" i="4"/>
  <c r="AA12" i="4"/>
  <c r="AA6" i="4"/>
  <c r="AA7" i="4"/>
  <c r="Z9" i="4"/>
  <c r="Z10" i="4"/>
  <c r="Z11" i="4"/>
  <c r="X13" i="4"/>
  <c r="W13" i="4"/>
  <c r="Z13" i="4" s="1"/>
  <c r="V13" i="4"/>
  <c r="Y13" i="4" s="1"/>
  <c r="K13" i="3" s="1"/>
  <c r="L13" i="3" s="1"/>
  <c r="N13" i="4"/>
  <c r="O13" i="4" s="1"/>
  <c r="AA13" i="4"/>
  <c r="Z4" i="4"/>
  <c r="T14" i="4"/>
  <c r="Z6" i="4"/>
  <c r="Z12" i="4"/>
  <c r="Z7" i="4"/>
  <c r="Z8" i="4"/>
  <c r="V4" i="4"/>
  <c r="V5" i="4"/>
  <c r="Y5" i="4" s="1"/>
  <c r="K5" i="3" s="1"/>
  <c r="L5" i="3" s="1"/>
  <c r="V6" i="4"/>
  <c r="Y6" i="4" s="1"/>
  <c r="V7" i="4"/>
  <c r="Y7" i="4" s="1"/>
  <c r="K7" i="3" s="1"/>
  <c r="L7" i="3" s="1"/>
  <c r="V8" i="4"/>
  <c r="Y8" i="4" s="1"/>
  <c r="K8" i="3" s="1"/>
  <c r="L8" i="3" s="1"/>
  <c r="V9" i="4"/>
  <c r="Y9" i="4" s="1"/>
  <c r="V10" i="4"/>
  <c r="Y10" i="4" s="1"/>
  <c r="K10" i="3" s="1"/>
  <c r="L10" i="3" s="1"/>
  <c r="V11" i="4"/>
  <c r="Y11" i="4" s="1"/>
  <c r="K11" i="3" s="1"/>
  <c r="L11" i="3" s="1"/>
  <c r="V12" i="4"/>
  <c r="Y12" i="4" s="1"/>
  <c r="K12" i="3" s="1"/>
  <c r="L12" i="3" s="1"/>
  <c r="U14" i="4"/>
  <c r="X14" i="4" l="1"/>
  <c r="AB6" i="4"/>
  <c r="K6" i="3"/>
  <c r="L6" i="3" s="1"/>
  <c r="AB9" i="4"/>
  <c r="K9" i="3"/>
  <c r="L9" i="3" s="1"/>
  <c r="T4" i="6"/>
  <c r="Z4" i="6"/>
  <c r="R4" i="6"/>
  <c r="Y4" i="6"/>
  <c r="S4" i="6"/>
  <c r="AA3" i="6"/>
  <c r="AB10" i="4"/>
  <c r="AB5" i="4"/>
  <c r="AA4" i="4"/>
  <c r="AA14" i="4" s="1"/>
  <c r="AB12" i="4"/>
  <c r="AB11" i="4"/>
  <c r="AB7" i="4"/>
  <c r="Z14" i="4"/>
  <c r="AB8" i="4"/>
  <c r="V14" i="4"/>
  <c r="Y4" i="4"/>
  <c r="K4" i="3" s="1"/>
  <c r="W14" i="4"/>
  <c r="AB13" i="4"/>
  <c r="L4" i="3" l="1"/>
  <c r="L14" i="3" s="1"/>
  <c r="N14" i="3" s="1"/>
  <c r="K14" i="3"/>
  <c r="X4" i="6"/>
  <c r="AA4" i="6"/>
  <c r="Y14" i="4"/>
  <c r="AB4" i="4"/>
  <c r="AB14" i="4" s="1"/>
  <c r="AJ4" i="1" l="1"/>
  <c r="AJ5" i="1"/>
  <c r="AJ5" i="4" s="1"/>
  <c r="AJ6" i="1"/>
  <c r="AJ6" i="4" s="1"/>
  <c r="AJ7" i="1"/>
  <c r="AJ7" i="4" s="1"/>
  <c r="AJ8" i="1"/>
  <c r="AJ9" i="1"/>
  <c r="AJ8" i="4" s="1"/>
  <c r="AJ10" i="1"/>
  <c r="AJ11" i="1"/>
  <c r="AJ9" i="4" s="1"/>
  <c r="AJ12" i="1"/>
  <c r="AJ10" i="4" s="1"/>
  <c r="AJ13" i="1"/>
  <c r="AJ11" i="4" s="1"/>
  <c r="AJ14" i="1"/>
  <c r="AJ12" i="4" s="1"/>
  <c r="AJ3" i="1"/>
  <c r="AJ4" i="4" s="1"/>
  <c r="AH15" i="1"/>
  <c r="AJ15" i="1" s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T3" i="1"/>
  <c r="U3" i="1"/>
  <c r="S3" i="1"/>
  <c r="S15" i="1" l="1"/>
  <c r="T15" i="1"/>
  <c r="U15" i="1"/>
  <c r="J4" i="2"/>
  <c r="J5" i="2"/>
  <c r="J6" i="2"/>
  <c r="J7" i="2"/>
  <c r="J8" i="2"/>
  <c r="J9" i="2"/>
  <c r="J10" i="2"/>
  <c r="J11" i="2"/>
  <c r="J12" i="2"/>
  <c r="J13" i="2"/>
  <c r="J14" i="2"/>
  <c r="J15" i="2"/>
  <c r="F5" i="2"/>
  <c r="F6" i="2"/>
  <c r="F7" i="2"/>
  <c r="F8" i="2"/>
  <c r="F9" i="2"/>
  <c r="F10" i="2"/>
  <c r="F11" i="2"/>
  <c r="F12" i="2"/>
  <c r="F13" i="2"/>
  <c r="F14" i="2"/>
  <c r="F15" i="2"/>
  <c r="E14" i="2"/>
  <c r="E13" i="2"/>
  <c r="E12" i="2"/>
  <c r="E11" i="2"/>
  <c r="E10" i="2"/>
  <c r="E9" i="2"/>
  <c r="E8" i="2"/>
  <c r="E7" i="2"/>
  <c r="E6" i="2"/>
  <c r="E5" i="2"/>
  <c r="E4" i="2"/>
  <c r="E15" i="2"/>
  <c r="H16" i="2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4" i="1"/>
  <c r="K4" i="1" s="1"/>
  <c r="J3" i="1"/>
  <c r="K3" i="1"/>
  <c r="V3" i="1" s="1"/>
  <c r="F4" i="2"/>
  <c r="L4" i="1"/>
  <c r="L3" i="1"/>
  <c r="D4" i="2"/>
  <c r="C4" i="2"/>
  <c r="N3" i="1" l="1"/>
  <c r="X3" i="1"/>
  <c r="AA3" i="1" s="1"/>
  <c r="X4" i="1"/>
  <c r="AA4" i="1" s="1"/>
  <c r="V4" i="1"/>
  <c r="Y4" i="1" s="1"/>
  <c r="W4" i="1"/>
  <c r="Z4" i="1" s="1"/>
  <c r="N4" i="1"/>
  <c r="O4" i="1" s="1"/>
  <c r="W13" i="1"/>
  <c r="Z13" i="1" s="1"/>
  <c r="N13" i="1"/>
  <c r="O13" i="1" s="1"/>
  <c r="X13" i="1"/>
  <c r="AA13" i="1" s="1"/>
  <c r="V13" i="1"/>
  <c r="Y13" i="1" s="1"/>
  <c r="W11" i="1"/>
  <c r="Z11" i="1" s="1"/>
  <c r="N11" i="1"/>
  <c r="O11" i="1" s="1"/>
  <c r="X11" i="1"/>
  <c r="AA11" i="1" s="1"/>
  <c r="V11" i="1"/>
  <c r="Y11" i="1" s="1"/>
  <c r="W9" i="1"/>
  <c r="Z9" i="1" s="1"/>
  <c r="N9" i="1"/>
  <c r="O9" i="1" s="1"/>
  <c r="X9" i="1"/>
  <c r="AA9" i="1" s="1"/>
  <c r="V9" i="1"/>
  <c r="Y9" i="1" s="1"/>
  <c r="W7" i="1"/>
  <c r="Z7" i="1" s="1"/>
  <c r="N7" i="1"/>
  <c r="O7" i="1" s="1"/>
  <c r="X7" i="1"/>
  <c r="AA7" i="1" s="1"/>
  <c r="V7" i="1"/>
  <c r="Y7" i="1" s="1"/>
  <c r="W5" i="1"/>
  <c r="Z5" i="1" s="1"/>
  <c r="N5" i="1"/>
  <c r="O5" i="1" s="1"/>
  <c r="X5" i="1"/>
  <c r="AA5" i="1" s="1"/>
  <c r="V5" i="1"/>
  <c r="Y5" i="1" s="1"/>
  <c r="X14" i="1"/>
  <c r="AA14" i="1" s="1"/>
  <c r="V14" i="1"/>
  <c r="Y14" i="1" s="1"/>
  <c r="W14" i="1"/>
  <c r="Z14" i="1" s="1"/>
  <c r="N14" i="1"/>
  <c r="O14" i="1" s="1"/>
  <c r="X12" i="1"/>
  <c r="AA12" i="1" s="1"/>
  <c r="V12" i="1"/>
  <c r="Y12" i="1" s="1"/>
  <c r="W12" i="1"/>
  <c r="Z12" i="1" s="1"/>
  <c r="N12" i="1"/>
  <c r="O12" i="1" s="1"/>
  <c r="X10" i="1"/>
  <c r="AA10" i="1" s="1"/>
  <c r="V10" i="1"/>
  <c r="Y10" i="1" s="1"/>
  <c r="W10" i="1"/>
  <c r="Z10" i="1" s="1"/>
  <c r="N10" i="1"/>
  <c r="O10" i="1" s="1"/>
  <c r="X8" i="1"/>
  <c r="AA8" i="1" s="1"/>
  <c r="V8" i="1"/>
  <c r="Y8" i="1" s="1"/>
  <c r="W8" i="1"/>
  <c r="Z8" i="1" s="1"/>
  <c r="N8" i="1"/>
  <c r="O8" i="1" s="1"/>
  <c r="X6" i="1"/>
  <c r="AA6" i="1" s="1"/>
  <c r="V6" i="1"/>
  <c r="Y6" i="1" s="1"/>
  <c r="W6" i="1"/>
  <c r="Z6" i="1" s="1"/>
  <c r="N6" i="1"/>
  <c r="O6" i="1" s="1"/>
  <c r="Y3" i="1"/>
  <c r="W3" i="1"/>
  <c r="J16" i="2"/>
  <c r="X15" i="1" l="1"/>
  <c r="W15" i="1"/>
  <c r="V15" i="1"/>
  <c r="Y15" i="1"/>
  <c r="AA15" i="1"/>
  <c r="Z3" i="1"/>
  <c r="Z15" i="1" s="1"/>
  <c r="K7" i="2"/>
  <c r="AB6" i="1"/>
  <c r="K9" i="2"/>
  <c r="AB8" i="1"/>
  <c r="K11" i="2"/>
  <c r="AB10" i="1"/>
  <c r="K13" i="2"/>
  <c r="AB12" i="1"/>
  <c r="K15" i="2"/>
  <c r="AB14" i="1"/>
  <c r="K6" i="2"/>
  <c r="AB5" i="1"/>
  <c r="K8" i="2"/>
  <c r="AB7" i="1"/>
  <c r="K10" i="2"/>
  <c r="AB9" i="1"/>
  <c r="K12" i="2"/>
  <c r="AB11" i="1"/>
  <c r="K14" i="2"/>
  <c r="AB13" i="1"/>
  <c r="K5" i="2"/>
  <c r="AB4" i="1"/>
  <c r="K4" i="2"/>
  <c r="AB3" i="1" l="1"/>
  <c r="L5" i="2"/>
  <c r="L14" i="2"/>
  <c r="L12" i="2"/>
  <c r="L10" i="2"/>
  <c r="L8" i="2"/>
  <c r="L6" i="2"/>
  <c r="L15" i="2"/>
  <c r="L13" i="2"/>
  <c r="L11" i="2"/>
  <c r="L9" i="2"/>
  <c r="AB15" i="1"/>
  <c r="L7" i="2"/>
  <c r="L4" i="2"/>
  <c r="K16" i="2"/>
  <c r="L16" i="2" l="1"/>
  <c r="N16" i="2" s="1"/>
</calcChain>
</file>

<file path=xl/comments1.xml><?xml version="1.0" encoding="utf-8"?>
<comments xmlns="http://schemas.openxmlformats.org/spreadsheetml/2006/main">
  <authors>
    <author>Rakshe, Vikram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initial investment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PAT first year</t>
        </r>
      </text>
    </comment>
  </commentList>
</comments>
</file>

<file path=xl/comments2.xml><?xml version="1.0" encoding="utf-8"?>
<comments xmlns="http://schemas.openxmlformats.org/spreadsheetml/2006/main">
  <authors>
    <author>Rakshe, Vikram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initial investment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PAT first year</t>
        </r>
      </text>
    </comment>
  </commentList>
</comments>
</file>

<file path=xl/comments3.xml><?xml version="1.0" encoding="utf-8"?>
<comments xmlns="http://schemas.openxmlformats.org/spreadsheetml/2006/main">
  <authors>
    <author>Rakshe, Vikram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initial investment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Rakshe, Vikram:</t>
        </r>
        <r>
          <rPr>
            <sz val="9"/>
            <color indexed="81"/>
            <rFont val="Tahoma"/>
            <family val="2"/>
          </rPr>
          <t xml:space="preserve">
70% of PAT first year</t>
        </r>
      </text>
    </comment>
  </commentList>
</comments>
</file>

<file path=xl/sharedStrings.xml><?xml version="1.0" encoding="utf-8"?>
<sst xmlns="http://schemas.openxmlformats.org/spreadsheetml/2006/main" count="246" uniqueCount="80">
  <si>
    <t>Project name</t>
  </si>
  <si>
    <t>Strengths</t>
  </si>
  <si>
    <t>Country</t>
  </si>
  <si>
    <t>Packing</t>
  </si>
  <si>
    <t>Batch size (in pack)</t>
  </si>
  <si>
    <t>Pack size</t>
  </si>
  <si>
    <t>COGS</t>
  </si>
  <si>
    <t>Freight (5% on COGS)</t>
  </si>
  <si>
    <t>Total CIF cost</t>
  </si>
  <si>
    <t>CIF Price Per Unit</t>
  </si>
  <si>
    <t>CIF Price Per Pack</t>
  </si>
  <si>
    <t>Profit per pack</t>
  </si>
  <si>
    <t>Volume</t>
  </si>
  <si>
    <t>Cost of 3 batches</t>
  </si>
  <si>
    <t>Analytical Cost</t>
  </si>
  <si>
    <t>BE cost</t>
  </si>
  <si>
    <t>RLD cost</t>
  </si>
  <si>
    <t>Filing cost</t>
  </si>
  <si>
    <t>Stability cost</t>
  </si>
  <si>
    <t>Total Invest.</t>
  </si>
  <si>
    <t>ROI</t>
  </si>
  <si>
    <t>% Cont</t>
  </si>
  <si>
    <t>Qty Yr 1</t>
  </si>
  <si>
    <t>Qty Yr 2</t>
  </si>
  <si>
    <t>Qty Yr 3</t>
  </si>
  <si>
    <t>Val Yr 1</t>
  </si>
  <si>
    <t>Val Yr 2</t>
  </si>
  <si>
    <t>Val Yr 3</t>
  </si>
  <si>
    <t>COGS 1</t>
  </si>
  <si>
    <t>COGS 2</t>
  </si>
  <si>
    <t>COGS 3</t>
  </si>
  <si>
    <t>Contri 1</t>
  </si>
  <si>
    <t>Contri 2</t>
  </si>
  <si>
    <t>Contri 3</t>
  </si>
  <si>
    <t>Sr.No</t>
  </si>
  <si>
    <t>Product Name</t>
  </si>
  <si>
    <t>Countries</t>
  </si>
  <si>
    <t>Product Launch date</t>
  </si>
  <si>
    <t>Initial invt
net of tax</t>
  </si>
  <si>
    <t>Sales - 
First years</t>
  </si>
  <si>
    <t>PAT - 
First years</t>
  </si>
  <si>
    <t>Disc. PAT
First years</t>
  </si>
  <si>
    <t>Payback period</t>
  </si>
  <si>
    <t>Payback period (months)</t>
  </si>
  <si>
    <t>No of existing Players</t>
  </si>
  <si>
    <t>Est.mkt share in 
Yr.1</t>
  </si>
  <si>
    <t>Market Share 2nd year</t>
  </si>
  <si>
    <t>Patent details</t>
  </si>
  <si>
    <t>-</t>
  </si>
  <si>
    <t xml:space="preserve">Total </t>
  </si>
  <si>
    <t>Total</t>
  </si>
  <si>
    <t>Patent status</t>
  </si>
  <si>
    <t>PIDF</t>
  </si>
  <si>
    <t>Mr. Rohit Pant</t>
  </si>
  <si>
    <t>Mr. Abhijeet Shah</t>
  </si>
  <si>
    <t>Mr. Sanjay Mehta</t>
  </si>
  <si>
    <t>Mr. Samit Mehta</t>
  </si>
  <si>
    <t>Sr. Vice President, Emerging Market</t>
  </si>
  <si>
    <t>General Manager - Finance</t>
  </si>
  <si>
    <t>President – Commercial</t>
  </si>
  <si>
    <t>President – Research &amp; Development</t>
  </si>
  <si>
    <t>Acamprosate EC Tabs</t>
  </si>
  <si>
    <t>333mg</t>
  </si>
  <si>
    <t>Chile</t>
  </si>
  <si>
    <t>Colombia</t>
  </si>
  <si>
    <t>Peru</t>
  </si>
  <si>
    <t>Kazakhstan</t>
  </si>
  <si>
    <t>Kyrgyzstan</t>
  </si>
  <si>
    <t>Tajikistan</t>
  </si>
  <si>
    <t>Srilanka</t>
  </si>
  <si>
    <t>South Africa</t>
  </si>
  <si>
    <t>Kenya</t>
  </si>
  <si>
    <t>Tanzania</t>
  </si>
  <si>
    <t>Zambia</t>
  </si>
  <si>
    <t>Nigeria</t>
  </si>
  <si>
    <t>Bottle</t>
  </si>
  <si>
    <t>Contribution (3 yrs)</t>
  </si>
  <si>
    <t>R&amp;D cost</t>
  </si>
  <si>
    <t>Russia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</si>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</sst>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(* #,##0_);_(* \(#,##0\);_(* &quot;-&quot;??_);_(@_)"/>
    <numFmt numFmtId="167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0" applyFont="1" applyFill="1" applyBorder="1" applyAlignment="1">
      <alignment vertical="center" wrapText="1"/>
    </xf>
    <xf numFmtId="0" fontId="2" fillId="0" borderId="5" xfId="0" applyFont="1" applyBorder="1"/>
    <xf numFmtId="0" fontId="3" fillId="0" borderId="5" xfId="0" applyFont="1" applyBorder="1" applyAlignment="1">
      <alignment horizontal="right"/>
    </xf>
    <xf numFmtId="2" fontId="3" fillId="0" borderId="5" xfId="0" applyNumberFormat="1" applyFont="1" applyBorder="1" applyAlignment="1">
      <alignment horizontal="right"/>
    </xf>
    <xf numFmtId="43" fontId="3" fillId="0" borderId="5" xfId="1" applyFont="1" applyBorder="1" applyAlignment="1">
      <alignment horizontal="right" vertical="center"/>
    </xf>
    <xf numFmtId="164" fontId="3" fillId="0" borderId="9" xfId="1" applyNumberFormat="1" applyFont="1" applyBorder="1" applyAlignment="1">
      <alignment horizontal="right" vertical="center"/>
    </xf>
    <xf numFmtId="164" fontId="3" fillId="0" borderId="10" xfId="1" applyNumberFormat="1" applyFont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 vertical="center"/>
    </xf>
    <xf numFmtId="164" fontId="3" fillId="0" borderId="10" xfId="1" applyNumberFormat="1" applyFont="1" applyFill="1" applyBorder="1" applyAlignment="1">
      <alignment horizontal="right" vertical="center"/>
    </xf>
    <xf numFmtId="164" fontId="3" fillId="0" borderId="11" xfId="1" applyNumberFormat="1" applyFont="1" applyFill="1" applyBorder="1" applyAlignment="1">
      <alignment horizontal="right" vertical="center"/>
    </xf>
    <xf numFmtId="164" fontId="3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Border="1"/>
    <xf numFmtId="165" fontId="3" fillId="0" borderId="5" xfId="2" applyNumberFormat="1" applyFont="1" applyBorder="1" applyAlignment="1">
      <alignment horizontal="right" vertical="center"/>
    </xf>
    <xf numFmtId="164" fontId="2" fillId="4" borderId="15" xfId="1" applyNumberFormat="1" applyFont="1" applyFill="1" applyBorder="1" applyAlignment="1">
      <alignment horizontal="center" vertical="center" wrapText="1"/>
    </xf>
    <xf numFmtId="164" fontId="2" fillId="4" borderId="7" xfId="1" applyNumberFormat="1" applyFont="1" applyFill="1" applyBorder="1" applyAlignment="1">
      <alignment horizontal="center" vertical="center" wrapText="1"/>
    </xf>
    <xf numFmtId="164" fontId="2" fillId="4" borderId="8" xfId="1" applyNumberFormat="1" applyFont="1" applyFill="1" applyBorder="1" applyAlignment="1">
      <alignment horizontal="center" vertical="center" wrapText="1"/>
    </xf>
    <xf numFmtId="164" fontId="2" fillId="5" borderId="15" xfId="1" applyNumberFormat="1" applyFont="1" applyFill="1" applyBorder="1" applyAlignment="1">
      <alignment horizontal="center" vertical="center" wrapText="1"/>
    </xf>
    <xf numFmtId="164" fontId="2" fillId="5" borderId="7" xfId="1" applyNumberFormat="1" applyFont="1" applyFill="1" applyBorder="1" applyAlignment="1">
      <alignment horizontal="center" vertical="center" wrapText="1"/>
    </xf>
    <xf numFmtId="164" fontId="2" fillId="5" borderId="8" xfId="1" applyNumberFormat="1" applyFont="1" applyFill="1" applyBorder="1" applyAlignment="1">
      <alignment horizontal="center" vertical="center" wrapText="1"/>
    </xf>
    <xf numFmtId="164" fontId="3" fillId="0" borderId="12" xfId="1" applyNumberFormat="1" applyFont="1" applyBorder="1" applyAlignment="1">
      <alignment horizontal="right"/>
    </xf>
    <xf numFmtId="164" fontId="3" fillId="0" borderId="9" xfId="1" applyNumberFormat="1" applyFont="1" applyBorder="1" applyAlignment="1">
      <alignment horizontal="right"/>
    </xf>
    <xf numFmtId="164" fontId="3" fillId="0" borderId="10" xfId="1" applyNumberFormat="1" applyFont="1" applyBorder="1" applyAlignment="1">
      <alignment horizontal="right"/>
    </xf>
    <xf numFmtId="0" fontId="0" fillId="0" borderId="5" xfId="0" applyFont="1" applyBorder="1"/>
    <xf numFmtId="0" fontId="0" fillId="0" borderId="5" xfId="0" applyFont="1" applyBorder="1" applyAlignment="1">
      <alignment horizontal="right"/>
    </xf>
    <xf numFmtId="0" fontId="4" fillId="6" borderId="1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43" fontId="4" fillId="6" borderId="14" xfId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43" fontId="4" fillId="0" borderId="14" xfId="1" applyFont="1" applyFill="1" applyBorder="1" applyAlignment="1">
      <alignment horizontal="center" vertical="center" wrapText="1"/>
    </xf>
    <xf numFmtId="166" fontId="4" fillId="6" borderId="14" xfId="1" applyNumberFormat="1" applyFont="1" applyFill="1" applyBorder="1" applyAlignment="1">
      <alignment horizontal="center" vertical="center" wrapText="1"/>
    </xf>
    <xf numFmtId="43" fontId="0" fillId="0" borderId="14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" fontId="0" fillId="0" borderId="5" xfId="0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43" fontId="0" fillId="0" borderId="5" xfId="1" applyFont="1" applyBorder="1" applyAlignment="1">
      <alignment horizontal="left" vertical="center"/>
    </xf>
    <xf numFmtId="3" fontId="3" fillId="0" borderId="5" xfId="1" applyNumberFormat="1" applyFont="1" applyBorder="1" applyAlignment="1">
      <alignment horizontal="right" vertical="center"/>
    </xf>
    <xf numFmtId="9" fontId="1" fillId="0" borderId="5" xfId="1" quotePrefix="1" applyNumberFormat="1" applyFont="1" applyBorder="1" applyAlignment="1">
      <alignment horizontal="right" vertical="center"/>
    </xf>
    <xf numFmtId="9" fontId="0" fillId="0" borderId="5" xfId="1" applyNumberFormat="1" applyFont="1" applyBorder="1" applyAlignment="1">
      <alignment horizontal="left" vertical="center"/>
    </xf>
    <xf numFmtId="43" fontId="0" fillId="0" borderId="5" xfId="1" quotePrefix="1" applyFont="1" applyFill="1" applyBorder="1" applyAlignment="1">
      <alignment horizontal="right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17" fontId="5" fillId="0" borderId="14" xfId="0" applyNumberFormat="1" applyFont="1" applyBorder="1" applyAlignment="1">
      <alignment horizontal="left" vertical="center"/>
    </xf>
    <xf numFmtId="164" fontId="5" fillId="0" borderId="14" xfId="1" applyNumberFormat="1" applyFont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43" fontId="5" fillId="0" borderId="14" xfId="1" applyFont="1" applyBorder="1" applyAlignment="1">
      <alignment horizontal="left" vertical="center"/>
    </xf>
    <xf numFmtId="43" fontId="5" fillId="0" borderId="14" xfId="1" applyFont="1" applyFill="1" applyBorder="1" applyAlignment="1">
      <alignment horizontal="left" vertical="center"/>
    </xf>
    <xf numFmtId="166" fontId="5" fillId="0" borderId="14" xfId="1" applyNumberFormat="1" applyFont="1" applyBorder="1" applyAlignment="1">
      <alignment horizontal="left" vertical="center"/>
    </xf>
    <xf numFmtId="9" fontId="5" fillId="0" borderId="14" xfId="1" applyNumberFormat="1" applyFont="1" applyBorder="1" applyAlignment="1">
      <alignment horizontal="center" vertical="center"/>
    </xf>
    <xf numFmtId="9" fontId="5" fillId="0" borderId="14" xfId="1" applyNumberFormat="1" applyFont="1" applyBorder="1" applyAlignment="1">
      <alignment horizontal="left" vertical="center"/>
    </xf>
    <xf numFmtId="0" fontId="2" fillId="0" borderId="0" xfId="0" applyFont="1" applyFill="1" applyBorder="1"/>
    <xf numFmtId="164" fontId="3" fillId="0" borderId="14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164" fontId="2" fillId="0" borderId="14" xfId="0" applyNumberFormat="1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Border="1"/>
    <xf numFmtId="43" fontId="3" fillId="0" borderId="0" xfId="1" applyFont="1" applyBorder="1" applyAlignment="1">
      <alignment horizontal="right"/>
    </xf>
    <xf numFmtId="164" fontId="3" fillId="0" borderId="0" xfId="1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43" fontId="3" fillId="0" borderId="5" xfId="1" applyFont="1" applyFill="1" applyBorder="1" applyAlignment="1">
      <alignment horizontal="right" vertical="center"/>
    </xf>
    <xf numFmtId="0" fontId="3" fillId="0" borderId="5" xfId="0" applyFont="1" applyBorder="1" applyAlignment="1">
      <alignment horizontal="center"/>
    </xf>
    <xf numFmtId="164" fontId="3" fillId="0" borderId="6" xfId="1" applyNumberFormat="1" applyFont="1" applyBorder="1" applyAlignment="1">
      <alignment horizontal="right"/>
    </xf>
    <xf numFmtId="164" fontId="3" fillId="0" borderId="6" xfId="0" applyNumberFormat="1" applyFont="1" applyBorder="1" applyAlignment="1">
      <alignment horizontal="right"/>
    </xf>
    <xf numFmtId="164" fontId="3" fillId="0" borderId="5" xfId="1" quotePrefix="1" applyNumberFormat="1" applyFont="1" applyFill="1" applyBorder="1" applyAlignment="1">
      <alignment horizontal="left" vertical="center"/>
    </xf>
    <xf numFmtId="167" fontId="3" fillId="0" borderId="5" xfId="0" applyNumberFormat="1" applyFont="1" applyBorder="1" applyAlignment="1">
      <alignment horizontal="right" vertical="center"/>
    </xf>
    <xf numFmtId="164" fontId="2" fillId="3" borderId="6" xfId="1" applyNumberFormat="1" applyFont="1" applyFill="1" applyBorder="1" applyAlignment="1">
      <alignment horizontal="center" vertical="center" wrapText="1"/>
    </xf>
    <xf numFmtId="164" fontId="2" fillId="3" borderId="16" xfId="1" applyNumberFormat="1" applyFont="1" applyFill="1" applyBorder="1" applyAlignment="1">
      <alignment horizontal="center" vertical="center" wrapText="1"/>
    </xf>
    <xf numFmtId="164" fontId="2" fillId="3" borderId="17" xfId="1" applyNumberFormat="1" applyFont="1" applyFill="1" applyBorder="1" applyAlignment="1">
      <alignment horizontal="center" vertical="center" wrapText="1"/>
    </xf>
    <xf numFmtId="164" fontId="3" fillId="0" borderId="1" xfId="1" quotePrefix="1" applyNumberFormat="1" applyFont="1" applyFill="1" applyBorder="1" applyAlignment="1">
      <alignment horizontal="left" vertical="center"/>
    </xf>
    <xf numFmtId="0" fontId="0" fillId="0" borderId="5" xfId="0" applyBorder="1"/>
    <xf numFmtId="0" fontId="2" fillId="0" borderId="13" xfId="0" applyFont="1" applyBorder="1"/>
    <xf numFmtId="0" fontId="3" fillId="0" borderId="13" xfId="0" applyFont="1" applyBorder="1" applyAlignment="1">
      <alignment horizontal="center"/>
    </xf>
    <xf numFmtId="0" fontId="0" fillId="0" borderId="13" xfId="0" applyBorder="1"/>
    <xf numFmtId="0" fontId="0" fillId="0" borderId="13" xfId="0" applyFont="1" applyBorder="1"/>
    <xf numFmtId="164" fontId="3" fillId="0" borderId="13" xfId="1" quotePrefix="1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 wrapText="1"/>
    </xf>
    <xf numFmtId="43" fontId="3" fillId="0" borderId="1" xfId="1" applyFont="1" applyFill="1" applyBorder="1" applyAlignment="1">
      <alignment horizontal="right" vertical="center"/>
    </xf>
    <xf numFmtId="2" fontId="8" fillId="0" borderId="5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right"/>
    </xf>
    <xf numFmtId="167" fontId="3" fillId="0" borderId="13" xfId="0" applyNumberFormat="1" applyFont="1" applyBorder="1" applyAlignment="1">
      <alignment horizontal="right" vertical="center"/>
    </xf>
    <xf numFmtId="2" fontId="3" fillId="0" borderId="13" xfId="0" applyNumberFormat="1" applyFont="1" applyBorder="1" applyAlignment="1">
      <alignment horizontal="right"/>
    </xf>
    <xf numFmtId="43" fontId="3" fillId="0" borderId="13" xfId="1" applyFont="1" applyBorder="1" applyAlignment="1">
      <alignment horizontal="right" vertical="center"/>
    </xf>
    <xf numFmtId="43" fontId="3" fillId="0" borderId="13" xfId="1" applyFont="1" applyFill="1" applyBorder="1" applyAlignment="1">
      <alignment horizontal="right" vertical="center"/>
    </xf>
    <xf numFmtId="2" fontId="8" fillId="0" borderId="13" xfId="0" applyNumberFormat="1" applyFont="1" applyBorder="1" applyAlignment="1">
      <alignment horizontal="center" vertical="center"/>
    </xf>
    <xf numFmtId="165" fontId="3" fillId="0" borderId="13" xfId="2" applyNumberFormat="1" applyFont="1" applyBorder="1" applyAlignment="1">
      <alignment horizontal="right" vertical="center"/>
    </xf>
    <xf numFmtId="164" fontId="3" fillId="0" borderId="11" xfId="1" applyNumberFormat="1" applyFont="1" applyBorder="1" applyAlignment="1">
      <alignment horizontal="right" vertical="center"/>
    </xf>
    <xf numFmtId="164" fontId="3" fillId="0" borderId="19" xfId="1" applyNumberFormat="1" applyFont="1" applyBorder="1" applyAlignment="1">
      <alignment horizontal="right" vertical="center"/>
    </xf>
    <xf numFmtId="164" fontId="3" fillId="0" borderId="20" xfId="1" applyNumberFormat="1" applyFont="1" applyBorder="1" applyAlignment="1">
      <alignment horizontal="right" vertical="center"/>
    </xf>
    <xf numFmtId="164" fontId="3" fillId="0" borderId="21" xfId="1" applyNumberFormat="1" applyFont="1" applyBorder="1" applyAlignment="1">
      <alignment horizontal="right" vertical="center"/>
    </xf>
    <xf numFmtId="164" fontId="2" fillId="0" borderId="5" xfId="0" applyNumberFormat="1" applyFont="1" applyFill="1" applyBorder="1" applyAlignment="1">
      <alignment horizontal="right"/>
    </xf>
    <xf numFmtId="0" fontId="2" fillId="0" borderId="1" xfId="0" applyFont="1" applyFill="1" applyBorder="1"/>
    <xf numFmtId="0" fontId="0" fillId="0" borderId="1" xfId="0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right"/>
    </xf>
    <xf numFmtId="167" fontId="3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center" vertical="center"/>
    </xf>
    <xf numFmtId="165" fontId="3" fillId="0" borderId="1" xfId="2" applyNumberFormat="1" applyFont="1" applyFill="1" applyBorder="1" applyAlignment="1">
      <alignment horizontal="right" vertical="center"/>
    </xf>
    <xf numFmtId="164" fontId="3" fillId="0" borderId="18" xfId="1" applyNumberFormat="1" applyFont="1" applyFill="1" applyBorder="1" applyAlignment="1">
      <alignment horizontal="right" vertical="center"/>
    </xf>
    <xf numFmtId="164" fontId="3" fillId="0" borderId="16" xfId="1" applyNumberFormat="1" applyFont="1" applyFill="1" applyBorder="1" applyAlignment="1">
      <alignment horizontal="right" vertical="center"/>
    </xf>
    <xf numFmtId="164" fontId="3" fillId="0" borderId="17" xfId="1" applyNumberFormat="1" applyFont="1" applyFill="1" applyBorder="1" applyAlignment="1">
      <alignment horizontal="right" vertical="center"/>
    </xf>
    <xf numFmtId="164" fontId="3" fillId="0" borderId="9" xfId="1" applyNumberFormat="1" applyFont="1" applyFill="1" applyBorder="1" applyAlignment="1">
      <alignment horizontal="right"/>
    </xf>
    <xf numFmtId="164" fontId="3" fillId="0" borderId="10" xfId="1" applyNumberFormat="1" applyFont="1" applyFill="1" applyBorder="1" applyAlignment="1">
      <alignment horizontal="right"/>
    </xf>
    <xf numFmtId="164" fontId="3" fillId="0" borderId="12" xfId="1" applyNumberFormat="1" applyFont="1" applyFill="1" applyBorder="1" applyAlignment="1">
      <alignment horizontal="right"/>
    </xf>
    <xf numFmtId="164" fontId="3" fillId="0" borderId="5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0" fontId="2" fillId="0" borderId="5" xfId="0" applyFont="1" applyFill="1" applyBorder="1"/>
    <xf numFmtId="0" fontId="3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right"/>
    </xf>
    <xf numFmtId="167" fontId="3" fillId="0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Fill="1" applyBorder="1" applyAlignment="1">
      <alignment horizontal="right"/>
    </xf>
    <xf numFmtId="2" fontId="8" fillId="0" borderId="5" xfId="0" applyNumberFormat="1" applyFont="1" applyFill="1" applyBorder="1" applyAlignment="1">
      <alignment horizontal="center" vertical="center"/>
    </xf>
    <xf numFmtId="165" fontId="3" fillId="0" borderId="5" xfId="2" applyNumberFormat="1" applyFont="1" applyFill="1" applyBorder="1" applyAlignment="1">
      <alignment horizontal="right" vertical="center"/>
    </xf>
    <xf numFmtId="164" fontId="3" fillId="0" borderId="6" xfId="0" applyNumberFormat="1" applyFont="1" applyFill="1" applyBorder="1" applyAlignment="1">
      <alignment horizontal="right"/>
    </xf>
    <xf numFmtId="164" fontId="3" fillId="0" borderId="6" xfId="1" applyNumberFormat="1" applyFont="1" applyFill="1" applyBorder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43" fontId="2" fillId="2" borderId="5" xfId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5" xfId="1" applyFont="1" applyFill="1" applyBorder="1" applyAlignment="1">
      <alignment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S23"/>
  <sheetViews>
    <sheetView topLeftCell="B1" workbookViewId="0">
      <selection activeCell="J4" sqref="J4"/>
    </sheetView>
  </sheetViews>
  <sheetFormatPr defaultRowHeight="15" x14ac:dyDescent="0.25"/>
  <cols>
    <col min="2" max="2" width="5.85546875" bestFit="1" customWidth="1"/>
    <col min="3" max="3" width="19.85546875" bestFit="1" customWidth="1"/>
    <col min="4" max="4" width="10.42578125" bestFit="1" customWidth="1"/>
    <col min="5" max="5" width="14.5703125" customWidth="1"/>
    <col min="8" max="8" width="9.42578125" customWidth="1"/>
    <col min="9" max="9" width="1.140625" customWidth="1"/>
    <col min="10" max="10" width="10" bestFit="1" customWidth="1"/>
    <col min="11" max="11" width="14.28515625" customWidth="1"/>
    <col min="12" max="12" width="10" bestFit="1" customWidth="1"/>
    <col min="13" max="13" width="0" hidden="1" customWidth="1"/>
    <col min="15" max="15" width="0.5703125" customWidth="1"/>
    <col min="18" max="18" width="0" hidden="1" customWidth="1"/>
  </cols>
  <sheetData>
    <row r="1" spans="2:19" x14ac:dyDescent="0.25">
      <c r="H1" s="60" t="s">
        <v>52</v>
      </c>
    </row>
    <row r="3" spans="2:19" ht="45" x14ac:dyDescent="0.25">
      <c r="B3" s="25" t="s">
        <v>34</v>
      </c>
      <c r="C3" s="25" t="s">
        <v>35</v>
      </c>
      <c r="D3" s="26" t="s">
        <v>1</v>
      </c>
      <c r="E3" s="26" t="s">
        <v>36</v>
      </c>
      <c r="F3" s="27" t="s">
        <v>5</v>
      </c>
      <c r="G3" s="27" t="s">
        <v>37</v>
      </c>
      <c r="H3" s="28" t="s">
        <v>38</v>
      </c>
      <c r="I3" s="29"/>
      <c r="J3" s="28" t="s">
        <v>39</v>
      </c>
      <c r="K3" s="28" t="s">
        <v>40</v>
      </c>
      <c r="L3" s="28" t="s">
        <v>41</v>
      </c>
      <c r="M3" s="28" t="s">
        <v>42</v>
      </c>
      <c r="N3" s="28" t="s">
        <v>43</v>
      </c>
      <c r="O3" s="30"/>
      <c r="P3" s="31" t="s">
        <v>44</v>
      </c>
      <c r="Q3" s="28" t="s">
        <v>45</v>
      </c>
      <c r="R3" s="32" t="s">
        <v>46</v>
      </c>
      <c r="S3" s="28" t="s">
        <v>47</v>
      </c>
    </row>
    <row r="4" spans="2:19" x14ac:dyDescent="0.25">
      <c r="B4" s="33">
        <v>1</v>
      </c>
      <c r="C4" s="34" t="str">
        <f>'Acamprosate  tab'!B3</f>
        <v>Acamprosate EC Tabs</v>
      </c>
      <c r="D4" s="33" t="str">
        <f>'Acamprosate  tab'!C3</f>
        <v>333mg</v>
      </c>
      <c r="E4" s="35" t="str">
        <f>'Acamprosate  tab'!D3</f>
        <v>Chile</v>
      </c>
      <c r="F4" s="33">
        <f>'Acamprosate  tab'!H3</f>
        <v>180</v>
      </c>
      <c r="G4" s="36"/>
      <c r="H4" s="37"/>
      <c r="I4" s="38"/>
      <c r="J4" s="37">
        <f>'Acamprosate  tab'!S3</f>
        <v>5750</v>
      </c>
      <c r="K4" s="37">
        <f>'Acamprosate  tab'!Y3</f>
        <v>3018.6349999999998</v>
      </c>
      <c r="L4" s="37">
        <f t="shared" ref="L4:L15" si="0">K4*70%</f>
        <v>2113.0444999999995</v>
      </c>
      <c r="M4" s="39"/>
      <c r="N4" s="39"/>
      <c r="O4" s="43"/>
      <c r="P4" s="40"/>
      <c r="Q4" s="41" t="s">
        <v>48</v>
      </c>
      <c r="R4" s="42"/>
      <c r="S4" s="39"/>
    </row>
    <row r="5" spans="2:19" x14ac:dyDescent="0.25">
      <c r="B5" s="33"/>
      <c r="C5" s="34"/>
      <c r="D5" s="33"/>
      <c r="E5" s="35" t="str">
        <f>'Acamprosate  tab'!D4</f>
        <v>Colombia</v>
      </c>
      <c r="F5" s="33">
        <f>'Acamprosate  tab'!H4</f>
        <v>180</v>
      </c>
      <c r="G5" s="36"/>
      <c r="H5" s="37"/>
      <c r="I5" s="38"/>
      <c r="J5" s="37">
        <f>'Acamprosate  tab'!S4</f>
        <v>8250</v>
      </c>
      <c r="K5" s="37">
        <f>'Acamprosate  tab'!Y4</f>
        <v>4331.0849999999991</v>
      </c>
      <c r="L5" s="37">
        <f t="shared" si="0"/>
        <v>3031.7594999999992</v>
      </c>
      <c r="M5" s="39"/>
      <c r="N5" s="39"/>
      <c r="O5" s="43"/>
      <c r="P5" s="40"/>
      <c r="Q5" s="41"/>
      <c r="R5" s="42"/>
      <c r="S5" s="39"/>
    </row>
    <row r="6" spans="2:19" x14ac:dyDescent="0.25">
      <c r="B6" s="33"/>
      <c r="C6" s="35"/>
      <c r="D6" s="33"/>
      <c r="E6" s="35" t="str">
        <f>'Acamprosate  tab'!D5</f>
        <v>Peru</v>
      </c>
      <c r="F6" s="33">
        <f>'Acamprosate  tab'!H5</f>
        <v>180</v>
      </c>
      <c r="G6" s="36"/>
      <c r="H6" s="37"/>
      <c r="I6" s="38"/>
      <c r="J6" s="37">
        <f>'Acamprosate  tab'!S5</f>
        <v>19800</v>
      </c>
      <c r="K6" s="37">
        <f>'Acamprosate  tab'!Y5</f>
        <v>15881.084999999999</v>
      </c>
      <c r="L6" s="37">
        <f t="shared" si="0"/>
        <v>11116.759499999998</v>
      </c>
      <c r="M6" s="39"/>
      <c r="N6" s="39"/>
      <c r="O6" s="43"/>
      <c r="P6" s="40"/>
      <c r="Q6" s="41"/>
      <c r="R6" s="42"/>
      <c r="S6" s="39"/>
    </row>
    <row r="7" spans="2:19" x14ac:dyDescent="0.25">
      <c r="B7" s="33"/>
      <c r="C7" s="35"/>
      <c r="D7" s="33"/>
      <c r="E7" s="35" t="str">
        <f>'Acamprosate  tab'!D6</f>
        <v>Kazakhstan</v>
      </c>
      <c r="F7" s="33">
        <f>'Acamprosate  tab'!H6</f>
        <v>180</v>
      </c>
      <c r="G7" s="36"/>
      <c r="H7" s="37"/>
      <c r="I7" s="38"/>
      <c r="J7" s="37">
        <f>'Acamprosate  tab'!S6</f>
        <v>100000</v>
      </c>
      <c r="K7" s="37">
        <f>'Acamprosate  tab'!Y6</f>
        <v>52498</v>
      </c>
      <c r="L7" s="37">
        <f t="shared" si="0"/>
        <v>36748.6</v>
      </c>
      <c r="M7" s="39"/>
      <c r="N7" s="39"/>
      <c r="O7" s="43"/>
      <c r="P7" s="40"/>
      <c r="Q7" s="41"/>
      <c r="R7" s="42"/>
      <c r="S7" s="39"/>
    </row>
    <row r="8" spans="2:19" x14ac:dyDescent="0.25">
      <c r="B8" s="33"/>
      <c r="C8" s="35"/>
      <c r="D8" s="33"/>
      <c r="E8" s="35" t="str">
        <f>'Acamprosate  tab'!D7</f>
        <v>Kyrgyzstan</v>
      </c>
      <c r="F8" s="33">
        <f>'Acamprosate  tab'!H7</f>
        <v>180</v>
      </c>
      <c r="G8" s="36"/>
      <c r="H8" s="37"/>
      <c r="I8" s="38"/>
      <c r="J8" s="37">
        <f>'Acamprosate  tab'!S7</f>
        <v>80000</v>
      </c>
      <c r="K8" s="37">
        <f>'Acamprosate  tab'!Y7</f>
        <v>32498</v>
      </c>
      <c r="L8" s="37">
        <f t="shared" si="0"/>
        <v>22748.6</v>
      </c>
      <c r="M8" s="39"/>
      <c r="N8" s="39"/>
      <c r="O8" s="43"/>
      <c r="P8" s="40"/>
      <c r="Q8" s="41"/>
      <c r="R8" s="42"/>
      <c r="S8" s="39"/>
    </row>
    <row r="9" spans="2:19" x14ac:dyDescent="0.25">
      <c r="B9" s="33"/>
      <c r="C9" s="35"/>
      <c r="D9" s="33"/>
      <c r="E9" s="35" t="str">
        <f>'Acamprosate  tab'!D8</f>
        <v>Tajikistan</v>
      </c>
      <c r="F9" s="33">
        <f>'Acamprosate  tab'!H8</f>
        <v>180</v>
      </c>
      <c r="G9" s="36"/>
      <c r="H9" s="37"/>
      <c r="I9" s="38"/>
      <c r="J9" s="37">
        <f>'Acamprosate  tab'!S8</f>
        <v>20000</v>
      </c>
      <c r="K9" s="37">
        <f>'Acamprosate  tab'!Y8</f>
        <v>8124.5</v>
      </c>
      <c r="L9" s="37">
        <f t="shared" si="0"/>
        <v>5687.15</v>
      </c>
      <c r="M9" s="39"/>
      <c r="N9" s="39"/>
      <c r="O9" s="43"/>
      <c r="P9" s="40"/>
      <c r="Q9" s="41"/>
      <c r="R9" s="42"/>
      <c r="S9" s="39"/>
    </row>
    <row r="10" spans="2:19" x14ac:dyDescent="0.25">
      <c r="B10" s="33"/>
      <c r="C10" s="35"/>
      <c r="D10" s="33"/>
      <c r="E10" s="35" t="str">
        <f>'Acamprosate  tab'!D9</f>
        <v>Srilanka</v>
      </c>
      <c r="F10" s="33">
        <f>'Acamprosate  tab'!H9</f>
        <v>180</v>
      </c>
      <c r="G10" s="36"/>
      <c r="H10" s="37"/>
      <c r="I10" s="38"/>
      <c r="J10" s="37">
        <f>'Acamprosate  tab'!S9</f>
        <v>10800</v>
      </c>
      <c r="K10" s="37">
        <f>'Acamprosate  tab'!Y9</f>
        <v>3674.7</v>
      </c>
      <c r="L10" s="37">
        <f t="shared" si="0"/>
        <v>2572.2899999999995</v>
      </c>
      <c r="M10" s="39"/>
      <c r="N10" s="39"/>
      <c r="O10" s="43"/>
      <c r="P10" s="40"/>
      <c r="Q10" s="41"/>
      <c r="R10" s="42"/>
      <c r="S10" s="39"/>
    </row>
    <row r="11" spans="2:19" x14ac:dyDescent="0.25">
      <c r="B11" s="33"/>
      <c r="C11" s="35"/>
      <c r="D11" s="33"/>
      <c r="E11" s="35" t="str">
        <f>'Acamprosate  tab'!D10</f>
        <v>South Africa</v>
      </c>
      <c r="F11" s="33">
        <f>'Acamprosate  tab'!H10</f>
        <v>180</v>
      </c>
      <c r="G11" s="36"/>
      <c r="H11" s="37"/>
      <c r="I11" s="38"/>
      <c r="J11" s="37">
        <f>'Acamprosate  tab'!S10</f>
        <v>28000</v>
      </c>
      <c r="K11" s="37">
        <f>'Acamprosate  tab'!Y10</f>
        <v>7217.875</v>
      </c>
      <c r="L11" s="37">
        <f t="shared" si="0"/>
        <v>5052.5124999999998</v>
      </c>
      <c r="M11" s="39"/>
      <c r="N11" s="39"/>
      <c r="O11" s="43"/>
      <c r="P11" s="40"/>
      <c r="Q11" s="41"/>
      <c r="R11" s="42"/>
      <c r="S11" s="39"/>
    </row>
    <row r="12" spans="2:19" x14ac:dyDescent="0.25">
      <c r="B12" s="33"/>
      <c r="C12" s="35"/>
      <c r="D12" s="33"/>
      <c r="E12" s="35" t="str">
        <f>'Acamprosate  tab'!D11</f>
        <v>Kenya</v>
      </c>
      <c r="F12" s="33">
        <f>'Acamprosate  tab'!H11</f>
        <v>180</v>
      </c>
      <c r="G12" s="36"/>
      <c r="H12" s="37"/>
      <c r="I12" s="38"/>
      <c r="J12" s="37">
        <f>'Acamprosate  tab'!S11</f>
        <v>26592</v>
      </c>
      <c r="K12" s="37">
        <f>'Acamprosate  tab'!Y11</f>
        <v>6854.9189999999981</v>
      </c>
      <c r="L12" s="37">
        <f t="shared" si="0"/>
        <v>4798.4432999999981</v>
      </c>
      <c r="M12" s="39"/>
      <c r="N12" s="39"/>
      <c r="O12" s="43"/>
      <c r="P12" s="40"/>
      <c r="Q12" s="41"/>
      <c r="R12" s="42"/>
      <c r="S12" s="39"/>
    </row>
    <row r="13" spans="2:19" x14ac:dyDescent="0.25">
      <c r="B13" s="33"/>
      <c r="C13" s="35"/>
      <c r="D13" s="33"/>
      <c r="E13" s="35" t="str">
        <f>'Acamprosate  tab'!D12</f>
        <v>Tanzania</v>
      </c>
      <c r="F13" s="33">
        <f>'Acamprosate  tab'!H12</f>
        <v>180</v>
      </c>
      <c r="G13" s="36"/>
      <c r="H13" s="37"/>
      <c r="I13" s="38"/>
      <c r="J13" s="37">
        <f>'Acamprosate  tab'!S12</f>
        <v>25216</v>
      </c>
      <c r="K13" s="37">
        <f>'Acamprosate  tab'!Y12</f>
        <v>6500.2119999999995</v>
      </c>
      <c r="L13" s="37">
        <f t="shared" si="0"/>
        <v>4550.1483999999991</v>
      </c>
      <c r="M13" s="39"/>
      <c r="N13" s="39"/>
      <c r="O13" s="43"/>
      <c r="P13" s="40"/>
      <c r="Q13" s="41"/>
      <c r="R13" s="42"/>
      <c r="S13" s="39"/>
    </row>
    <row r="14" spans="2:19" x14ac:dyDescent="0.25">
      <c r="B14" s="33"/>
      <c r="C14" s="35"/>
      <c r="D14" s="33"/>
      <c r="E14" s="35" t="str">
        <f>'Acamprosate  tab'!D13</f>
        <v>Zambia</v>
      </c>
      <c r="F14" s="33">
        <f>'Acamprosate  tab'!H13</f>
        <v>180</v>
      </c>
      <c r="G14" s="36"/>
      <c r="H14" s="37"/>
      <c r="I14" s="38"/>
      <c r="J14" s="37">
        <f>'Acamprosate  tab'!S13</f>
        <v>20992</v>
      </c>
      <c r="K14" s="37">
        <f>'Acamprosate  tab'!Y13</f>
        <v>5411.3439999999991</v>
      </c>
      <c r="L14" s="37">
        <f t="shared" si="0"/>
        <v>3787.9407999999989</v>
      </c>
      <c r="M14" s="39"/>
      <c r="N14" s="39"/>
      <c r="O14" s="43"/>
      <c r="P14" s="40"/>
      <c r="Q14" s="41"/>
      <c r="R14" s="42"/>
      <c r="S14" s="39"/>
    </row>
    <row r="15" spans="2:19" x14ac:dyDescent="0.25">
      <c r="B15" s="33"/>
      <c r="C15" s="35"/>
      <c r="D15" s="33"/>
      <c r="E15" s="35" t="str">
        <f>'Acamprosate  tab'!D14</f>
        <v>Nigeria</v>
      </c>
      <c r="F15" s="33">
        <f>'Acamprosate  tab'!H14</f>
        <v>180</v>
      </c>
      <c r="G15" s="36"/>
      <c r="H15" s="37"/>
      <c r="I15" s="38"/>
      <c r="J15" s="37">
        <f>'Acamprosate  tab'!S14</f>
        <v>16800</v>
      </c>
      <c r="K15" s="37">
        <f>'Acamprosate  tab'!Y14</f>
        <v>4330.7249999999985</v>
      </c>
      <c r="L15" s="37">
        <f t="shared" si="0"/>
        <v>3031.5074999999988</v>
      </c>
      <c r="M15" s="39"/>
      <c r="N15" s="39"/>
      <c r="O15" s="43"/>
      <c r="P15" s="40"/>
      <c r="Q15" s="41"/>
      <c r="R15" s="42"/>
      <c r="S15" s="39"/>
    </row>
    <row r="16" spans="2:19" x14ac:dyDescent="0.25">
      <c r="B16" s="44"/>
      <c r="C16" s="45" t="s">
        <v>49</v>
      </c>
      <c r="D16" s="45"/>
      <c r="E16" s="45"/>
      <c r="F16" s="44"/>
      <c r="G16" s="46"/>
      <c r="H16" s="47">
        <f>'Acamprosate  tab'!AJ15*70%</f>
        <v>98150.5</v>
      </c>
      <c r="I16" s="48"/>
      <c r="J16" s="47">
        <f>SUM(J4:J15)</f>
        <v>362200</v>
      </c>
      <c r="K16" s="47">
        <f>SUM(K4:K15)</f>
        <v>150341.08000000002</v>
      </c>
      <c r="L16" s="47">
        <f>SUM(L4:L15)</f>
        <v>105238.75599999998</v>
      </c>
      <c r="M16" s="49"/>
      <c r="N16" s="49">
        <f>H16/L16*12</f>
        <v>11.191751449437508</v>
      </c>
      <c r="O16" s="50"/>
      <c r="P16" s="51"/>
      <c r="Q16" s="52"/>
      <c r="R16" s="53"/>
      <c r="S16" s="49"/>
    </row>
    <row r="22" spans="2:19" x14ac:dyDescent="0.25">
      <c r="B22" s="61" t="s">
        <v>53</v>
      </c>
      <c r="C22" s="61"/>
      <c r="D22" s="61"/>
      <c r="E22" s="61" t="s">
        <v>54</v>
      </c>
      <c r="F22" s="62"/>
      <c r="G22" s="12"/>
      <c r="H22" s="63"/>
      <c r="I22" s="63"/>
      <c r="J22" s="63"/>
      <c r="K22" s="63" t="s">
        <v>55</v>
      </c>
      <c r="L22" s="64"/>
      <c r="M22" s="64"/>
      <c r="N22" s="64"/>
      <c r="O22" s="65"/>
      <c r="P22" s="64"/>
      <c r="Q22" s="66" t="s">
        <v>56</v>
      </c>
      <c r="R22" s="64"/>
      <c r="S22" s="64"/>
    </row>
    <row r="23" spans="2:19" x14ac:dyDescent="0.25">
      <c r="B23" s="67" t="s">
        <v>57</v>
      </c>
      <c r="C23" s="68"/>
      <c r="D23" s="69"/>
      <c r="E23" s="68" t="s">
        <v>58</v>
      </c>
      <c r="F23" s="69"/>
      <c r="G23" s="54"/>
      <c r="H23" s="70"/>
      <c r="I23" s="70"/>
      <c r="J23" s="70"/>
      <c r="K23" s="70" t="s">
        <v>59</v>
      </c>
      <c r="L23" s="69"/>
      <c r="M23" s="69"/>
      <c r="N23" s="54"/>
      <c r="O23" s="54"/>
      <c r="P23" s="69"/>
      <c r="Q23" s="54"/>
      <c r="R23" s="69"/>
      <c r="S23" s="70" t="s">
        <v>60</v>
      </c>
    </row>
  </sheetData>
  <pageMargins left="0.11811023622047245" right="0.11811023622047245" top="0.74803149606299213" bottom="0.74803149606299213" header="0.31496062992125984" footer="0.31496062992125984"/>
  <pageSetup paperSize="9" scale="83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15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" sqref="O3"/>
    </sheetView>
  </sheetViews>
  <sheetFormatPr defaultRowHeight="15" x14ac:dyDescent="0.25"/>
  <cols>
    <col min="2" max="2" width="19.85546875" bestFit="1" customWidth="1"/>
    <col min="3" max="3" width="9.42578125" bestFit="1" customWidth="1"/>
    <col min="4" max="4" width="11.7109375" bestFit="1" customWidth="1"/>
    <col min="5" max="5" width="9.140625" customWidth="1"/>
    <col min="6" max="6" width="9.140625" bestFit="1" customWidth="1"/>
    <col min="7" max="7" width="10.42578125" customWidth="1"/>
    <col min="8" max="8" width="5.7109375" customWidth="1"/>
    <col min="9" max="9" width="6.5703125" bestFit="1" customWidth="1"/>
    <col min="12" max="12" width="9.140625" customWidth="1"/>
    <col min="13" max="13" width="10.5703125" customWidth="1"/>
    <col min="15" max="15" width="7.5703125" customWidth="1"/>
    <col min="17" max="18" width="9.140625" customWidth="1"/>
    <col min="19" max="19" width="10" bestFit="1" customWidth="1"/>
    <col min="20" max="21" width="10" customWidth="1"/>
    <col min="22" max="22" width="8.28515625" customWidth="1"/>
    <col min="23" max="23" width="8.7109375" customWidth="1"/>
    <col min="24" max="24" width="10.5703125" customWidth="1"/>
    <col min="25" max="26" width="10" customWidth="1"/>
    <col min="27" max="27" width="17" customWidth="1"/>
    <col min="28" max="28" width="12.140625" customWidth="1"/>
    <col min="29" max="29" width="8.7109375" customWidth="1"/>
    <col min="30" max="30" width="10.42578125" hidden="1" customWidth="1"/>
    <col min="31" max="31" width="7.140625" hidden="1" customWidth="1"/>
    <col min="32" max="32" width="8.28515625" hidden="1" customWidth="1"/>
    <col min="33" max="33" width="8.28515625" customWidth="1"/>
    <col min="34" max="34" width="10.85546875" customWidth="1"/>
    <col min="35" max="35" width="8" customWidth="1"/>
    <col min="36" max="36" width="11.7109375" customWidth="1"/>
  </cols>
  <sheetData>
    <row r="1" spans="2:37" s="1" customFormat="1" ht="15" customHeight="1" x14ac:dyDescent="0.25">
      <c r="B1" s="145" t="s">
        <v>0</v>
      </c>
      <c r="C1" s="145" t="s">
        <v>1</v>
      </c>
      <c r="D1" s="145" t="s">
        <v>2</v>
      </c>
      <c r="E1" s="138" t="s">
        <v>51</v>
      </c>
      <c r="F1" s="145" t="s">
        <v>3</v>
      </c>
      <c r="G1" s="138" t="s">
        <v>4</v>
      </c>
      <c r="H1" s="138" t="s">
        <v>5</v>
      </c>
      <c r="I1" s="138" t="s">
        <v>6</v>
      </c>
      <c r="J1" s="138" t="s">
        <v>7</v>
      </c>
      <c r="K1" s="148" t="s">
        <v>8</v>
      </c>
      <c r="L1" s="140" t="s">
        <v>9</v>
      </c>
      <c r="M1" s="151" t="s">
        <v>10</v>
      </c>
      <c r="N1" s="151" t="s">
        <v>11</v>
      </c>
      <c r="O1" s="71"/>
      <c r="P1" s="153" t="s">
        <v>12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B1" s="140" t="s">
        <v>76</v>
      </c>
      <c r="AC1" s="140" t="s">
        <v>13</v>
      </c>
      <c r="AD1" s="140" t="s">
        <v>14</v>
      </c>
      <c r="AE1" s="140" t="s">
        <v>15</v>
      </c>
      <c r="AF1" s="140" t="s">
        <v>16</v>
      </c>
      <c r="AG1" s="138" t="s">
        <v>77</v>
      </c>
      <c r="AH1" s="138" t="s">
        <v>17</v>
      </c>
      <c r="AI1" s="140" t="s">
        <v>18</v>
      </c>
      <c r="AJ1" s="138" t="s">
        <v>19</v>
      </c>
      <c r="AK1" s="140" t="s">
        <v>20</v>
      </c>
    </row>
    <row r="2" spans="2:37" s="1" customFormat="1" x14ac:dyDescent="0.25">
      <c r="B2" s="146"/>
      <c r="C2" s="146"/>
      <c r="D2" s="146"/>
      <c r="E2" s="147"/>
      <c r="F2" s="146"/>
      <c r="G2" s="147"/>
      <c r="H2" s="147"/>
      <c r="I2" s="147"/>
      <c r="J2" s="147"/>
      <c r="K2" s="149"/>
      <c r="L2" s="150"/>
      <c r="M2" s="152"/>
      <c r="N2" s="152"/>
      <c r="O2" s="88" t="s">
        <v>21</v>
      </c>
      <c r="P2" s="78" t="s">
        <v>22</v>
      </c>
      <c r="Q2" s="79" t="s">
        <v>23</v>
      </c>
      <c r="R2" s="80" t="s">
        <v>24</v>
      </c>
      <c r="S2" s="78" t="s">
        <v>25</v>
      </c>
      <c r="T2" s="79" t="s">
        <v>26</v>
      </c>
      <c r="U2" s="80" t="s">
        <v>27</v>
      </c>
      <c r="V2" s="14" t="s">
        <v>28</v>
      </c>
      <c r="W2" s="15" t="s">
        <v>29</v>
      </c>
      <c r="X2" s="16" t="s">
        <v>30</v>
      </c>
      <c r="Y2" s="17" t="s">
        <v>31</v>
      </c>
      <c r="Z2" s="18" t="s">
        <v>32</v>
      </c>
      <c r="AA2" s="19" t="s">
        <v>33</v>
      </c>
      <c r="AB2" s="141"/>
      <c r="AC2" s="141"/>
      <c r="AD2" s="141"/>
      <c r="AE2" s="141"/>
      <c r="AF2" s="141"/>
      <c r="AG2" s="139"/>
      <c r="AH2" s="139"/>
      <c r="AI2" s="141"/>
      <c r="AJ2" s="139"/>
      <c r="AK2" s="141"/>
    </row>
    <row r="3" spans="2:37" s="12" customFormat="1" x14ac:dyDescent="0.25">
      <c r="B3" s="103" t="s">
        <v>61</v>
      </c>
      <c r="C3" s="104" t="s">
        <v>62</v>
      </c>
      <c r="D3" s="104" t="s">
        <v>63</v>
      </c>
      <c r="E3" s="105"/>
      <c r="F3" s="105" t="s">
        <v>75</v>
      </c>
      <c r="G3" s="81">
        <v>1138</v>
      </c>
      <c r="H3" s="106">
        <v>180</v>
      </c>
      <c r="I3" s="107">
        <v>22.62</v>
      </c>
      <c r="J3" s="108">
        <f>I3*5%</f>
        <v>1.131</v>
      </c>
      <c r="K3" s="89">
        <f t="shared" ref="K3:K14" si="0">I3+J3</f>
        <v>23.751000000000001</v>
      </c>
      <c r="L3" s="89">
        <f>M3/H3</f>
        <v>0.27777777777777779</v>
      </c>
      <c r="M3" s="109">
        <v>50</v>
      </c>
      <c r="N3" s="89">
        <f t="shared" ref="N3:N14" si="1">M3-K3</f>
        <v>26.248999999999999</v>
      </c>
      <c r="O3" s="110" t="b">
        <f>M18=N3/M3</f>
        <v>0</v>
      </c>
      <c r="P3" s="111">
        <v>115</v>
      </c>
      <c r="Q3" s="112">
        <v>346</v>
      </c>
      <c r="R3" s="113">
        <v>577</v>
      </c>
      <c r="S3" s="111">
        <f>$M3*P3</f>
        <v>5750</v>
      </c>
      <c r="T3" s="112">
        <f t="shared" ref="T3:U3" si="2">$M3*Q3</f>
        <v>17300</v>
      </c>
      <c r="U3" s="113">
        <f t="shared" si="2"/>
        <v>28850</v>
      </c>
      <c r="V3" s="114">
        <f>K3*P3</f>
        <v>2731.3650000000002</v>
      </c>
      <c r="W3" s="115">
        <f t="shared" ref="W3:W14" si="3">K3*Q3</f>
        <v>8217.8459999999995</v>
      </c>
      <c r="X3" s="116">
        <f t="shared" ref="X3:X14" si="4">K3*R3</f>
        <v>13704.327000000001</v>
      </c>
      <c r="Y3" s="8">
        <f>S3-V3</f>
        <v>3018.6349999999998</v>
      </c>
      <c r="Z3" s="9">
        <f t="shared" ref="Y3:AA14" si="5">T3-W3</f>
        <v>9082.1540000000005</v>
      </c>
      <c r="AA3" s="10">
        <f t="shared" si="5"/>
        <v>15145.672999999999</v>
      </c>
      <c r="AB3" s="11">
        <f t="shared" ref="AB3:AB14" si="6">Y3+Z3+AA3</f>
        <v>27246.462</v>
      </c>
      <c r="AC3" s="117"/>
      <c r="AD3" s="118"/>
      <c r="AE3" s="118"/>
      <c r="AF3" s="118"/>
      <c r="AG3" s="118"/>
      <c r="AH3" s="119">
        <v>0</v>
      </c>
      <c r="AI3" s="119"/>
      <c r="AJ3" s="102">
        <f>SUM(AC3:AI3)</f>
        <v>0</v>
      </c>
      <c r="AK3" s="118"/>
    </row>
    <row r="4" spans="2:37" s="12" customFormat="1" x14ac:dyDescent="0.25">
      <c r="B4" s="120"/>
      <c r="C4" s="121"/>
      <c r="D4" s="122" t="s">
        <v>64</v>
      </c>
      <c r="E4" s="123"/>
      <c r="F4" s="123" t="s">
        <v>75</v>
      </c>
      <c r="G4" s="76">
        <v>1138</v>
      </c>
      <c r="H4" s="124">
        <v>180</v>
      </c>
      <c r="I4" s="125">
        <v>22.62</v>
      </c>
      <c r="J4" s="126">
        <f t="shared" ref="J4:J14" si="7">I4*5%</f>
        <v>1.131</v>
      </c>
      <c r="K4" s="72">
        <f t="shared" si="0"/>
        <v>23.751000000000001</v>
      </c>
      <c r="L4" s="72">
        <f t="shared" ref="L4" si="8">M4/H4</f>
        <v>0.27777777777777779</v>
      </c>
      <c r="M4" s="127">
        <v>50</v>
      </c>
      <c r="N4" s="72">
        <f t="shared" si="1"/>
        <v>26.248999999999999</v>
      </c>
      <c r="O4" s="128">
        <f t="shared" ref="O4:O14" si="9">N4/M4</f>
        <v>0.52498</v>
      </c>
      <c r="P4" s="8">
        <v>165</v>
      </c>
      <c r="Q4" s="9">
        <v>495</v>
      </c>
      <c r="R4" s="10">
        <v>824</v>
      </c>
      <c r="S4" s="8">
        <f t="shared" ref="S4:S14" si="10">$M4*P4</f>
        <v>8250</v>
      </c>
      <c r="T4" s="9">
        <f t="shared" ref="T4:T14" si="11">$M4*Q4</f>
        <v>24750</v>
      </c>
      <c r="U4" s="10">
        <f t="shared" ref="U4:U14" si="12">$M4*R4</f>
        <v>41200</v>
      </c>
      <c r="V4" s="114">
        <f t="shared" ref="V4:V14" si="13">K4*P4</f>
        <v>3918.9150000000004</v>
      </c>
      <c r="W4" s="115">
        <f t="shared" si="3"/>
        <v>11756.745000000001</v>
      </c>
      <c r="X4" s="116">
        <f t="shared" si="4"/>
        <v>19570.824000000001</v>
      </c>
      <c r="Y4" s="8">
        <f t="shared" si="5"/>
        <v>4331.0849999999991</v>
      </c>
      <c r="Z4" s="9">
        <f t="shared" si="5"/>
        <v>12993.254999999999</v>
      </c>
      <c r="AA4" s="10">
        <f t="shared" si="5"/>
        <v>21629.175999999999</v>
      </c>
      <c r="AB4" s="11">
        <f t="shared" si="6"/>
        <v>38953.515999999996</v>
      </c>
      <c r="AC4" s="117"/>
      <c r="AD4" s="118"/>
      <c r="AE4" s="118"/>
      <c r="AF4" s="118"/>
      <c r="AG4" s="118"/>
      <c r="AH4" s="119">
        <v>5000</v>
      </c>
      <c r="AI4" s="119"/>
      <c r="AJ4" s="102">
        <f t="shared" ref="AJ4:AJ14" si="14">SUM(AC4:AI4)</f>
        <v>5000</v>
      </c>
      <c r="AK4" s="118"/>
    </row>
    <row r="5" spans="2:37" s="12" customFormat="1" x14ac:dyDescent="0.25">
      <c r="B5" s="120"/>
      <c r="C5" s="121"/>
      <c r="D5" s="122" t="s">
        <v>65</v>
      </c>
      <c r="E5" s="123"/>
      <c r="F5" s="123" t="s">
        <v>75</v>
      </c>
      <c r="G5" s="76">
        <v>1138</v>
      </c>
      <c r="H5" s="124">
        <v>180</v>
      </c>
      <c r="I5" s="125">
        <v>22.62</v>
      </c>
      <c r="J5" s="126">
        <f t="shared" si="7"/>
        <v>1.131</v>
      </c>
      <c r="K5" s="72">
        <f t="shared" si="0"/>
        <v>23.751000000000001</v>
      </c>
      <c r="L5" s="72"/>
      <c r="M5" s="127">
        <v>120</v>
      </c>
      <c r="N5" s="72">
        <f t="shared" si="1"/>
        <v>96.248999999999995</v>
      </c>
      <c r="O5" s="128">
        <f t="shared" si="9"/>
        <v>0.80207499999999998</v>
      </c>
      <c r="P5" s="8">
        <v>165</v>
      </c>
      <c r="Q5" s="9">
        <v>412</v>
      </c>
      <c r="R5" s="10">
        <v>495</v>
      </c>
      <c r="S5" s="8">
        <f t="shared" si="10"/>
        <v>19800</v>
      </c>
      <c r="T5" s="9">
        <f t="shared" si="11"/>
        <v>49440</v>
      </c>
      <c r="U5" s="10">
        <f t="shared" si="12"/>
        <v>59400</v>
      </c>
      <c r="V5" s="114">
        <f t="shared" si="13"/>
        <v>3918.9150000000004</v>
      </c>
      <c r="W5" s="115">
        <f t="shared" si="3"/>
        <v>9785.4120000000003</v>
      </c>
      <c r="X5" s="116">
        <f t="shared" si="4"/>
        <v>11756.745000000001</v>
      </c>
      <c r="Y5" s="8">
        <f t="shared" si="5"/>
        <v>15881.084999999999</v>
      </c>
      <c r="Z5" s="9">
        <f t="shared" si="5"/>
        <v>39654.588000000003</v>
      </c>
      <c r="AA5" s="10">
        <f t="shared" si="5"/>
        <v>47643.254999999997</v>
      </c>
      <c r="AB5" s="11">
        <f t="shared" si="6"/>
        <v>103178.928</v>
      </c>
      <c r="AC5" s="129"/>
      <c r="AD5" s="118"/>
      <c r="AE5" s="118"/>
      <c r="AF5" s="118"/>
      <c r="AG5" s="133"/>
      <c r="AH5" s="130">
        <v>3000</v>
      </c>
      <c r="AI5" s="119"/>
      <c r="AJ5" s="102">
        <f t="shared" si="14"/>
        <v>3000</v>
      </c>
      <c r="AK5" s="118"/>
    </row>
    <row r="6" spans="2:37" s="12" customFormat="1" x14ac:dyDescent="0.25">
      <c r="B6" s="120"/>
      <c r="C6" s="121"/>
      <c r="D6" s="122" t="s">
        <v>66</v>
      </c>
      <c r="E6" s="123"/>
      <c r="F6" s="123" t="s">
        <v>75</v>
      </c>
      <c r="G6" s="76">
        <v>1138</v>
      </c>
      <c r="H6" s="124">
        <v>180</v>
      </c>
      <c r="I6" s="125">
        <v>22.62</v>
      </c>
      <c r="J6" s="126">
        <f t="shared" si="7"/>
        <v>1.131</v>
      </c>
      <c r="K6" s="72">
        <f t="shared" si="0"/>
        <v>23.751000000000001</v>
      </c>
      <c r="L6" s="72"/>
      <c r="M6" s="127">
        <v>50</v>
      </c>
      <c r="N6" s="72">
        <f t="shared" si="1"/>
        <v>26.248999999999999</v>
      </c>
      <c r="O6" s="128">
        <f t="shared" si="9"/>
        <v>0.52498</v>
      </c>
      <c r="P6" s="8">
        <v>2000</v>
      </c>
      <c r="Q6" s="9">
        <v>3000</v>
      </c>
      <c r="R6" s="10">
        <v>4000</v>
      </c>
      <c r="S6" s="8">
        <f t="shared" si="10"/>
        <v>100000</v>
      </c>
      <c r="T6" s="9">
        <f t="shared" si="11"/>
        <v>150000</v>
      </c>
      <c r="U6" s="10">
        <f t="shared" si="12"/>
        <v>200000</v>
      </c>
      <c r="V6" s="114">
        <f t="shared" si="13"/>
        <v>47502</v>
      </c>
      <c r="W6" s="115">
        <f t="shared" si="3"/>
        <v>71253</v>
      </c>
      <c r="X6" s="116">
        <f t="shared" si="4"/>
        <v>95004</v>
      </c>
      <c r="Y6" s="8">
        <f t="shared" si="5"/>
        <v>52498</v>
      </c>
      <c r="Z6" s="9">
        <f t="shared" si="5"/>
        <v>78747</v>
      </c>
      <c r="AA6" s="10">
        <f t="shared" si="5"/>
        <v>104996</v>
      </c>
      <c r="AB6" s="11">
        <f t="shared" si="6"/>
        <v>236241</v>
      </c>
      <c r="AC6" s="129"/>
      <c r="AD6" s="118"/>
      <c r="AE6" s="118"/>
      <c r="AF6" s="118"/>
      <c r="AG6" s="133"/>
      <c r="AH6" s="130">
        <v>8000</v>
      </c>
      <c r="AI6" s="119"/>
      <c r="AJ6" s="102">
        <f t="shared" si="14"/>
        <v>8000</v>
      </c>
      <c r="AK6" s="118"/>
    </row>
    <row r="7" spans="2:37" s="12" customFormat="1" x14ac:dyDescent="0.25">
      <c r="B7" s="120"/>
      <c r="C7" s="121"/>
      <c r="D7" s="122" t="s">
        <v>67</v>
      </c>
      <c r="E7" s="123"/>
      <c r="F7" s="123" t="s">
        <v>75</v>
      </c>
      <c r="G7" s="76">
        <v>1138</v>
      </c>
      <c r="H7" s="124">
        <v>180</v>
      </c>
      <c r="I7" s="125">
        <v>22.62</v>
      </c>
      <c r="J7" s="126">
        <f t="shared" si="7"/>
        <v>1.131</v>
      </c>
      <c r="K7" s="72">
        <f t="shared" si="0"/>
        <v>23.751000000000001</v>
      </c>
      <c r="L7" s="72"/>
      <c r="M7" s="127">
        <v>40</v>
      </c>
      <c r="N7" s="72">
        <f t="shared" si="1"/>
        <v>16.248999999999999</v>
      </c>
      <c r="O7" s="128">
        <f t="shared" si="9"/>
        <v>0.40622499999999995</v>
      </c>
      <c r="P7" s="8">
        <v>2000</v>
      </c>
      <c r="Q7" s="9">
        <v>3000</v>
      </c>
      <c r="R7" s="10">
        <v>4000</v>
      </c>
      <c r="S7" s="8">
        <f t="shared" si="10"/>
        <v>80000</v>
      </c>
      <c r="T7" s="9">
        <f t="shared" si="11"/>
        <v>120000</v>
      </c>
      <c r="U7" s="10">
        <f t="shared" si="12"/>
        <v>160000</v>
      </c>
      <c r="V7" s="114">
        <f t="shared" si="13"/>
        <v>47502</v>
      </c>
      <c r="W7" s="115">
        <f t="shared" si="3"/>
        <v>71253</v>
      </c>
      <c r="X7" s="116">
        <f t="shared" si="4"/>
        <v>95004</v>
      </c>
      <c r="Y7" s="8">
        <f t="shared" si="5"/>
        <v>32498</v>
      </c>
      <c r="Z7" s="9">
        <f t="shared" si="5"/>
        <v>48747</v>
      </c>
      <c r="AA7" s="10">
        <f t="shared" si="5"/>
        <v>64996</v>
      </c>
      <c r="AB7" s="11">
        <f t="shared" si="6"/>
        <v>146241</v>
      </c>
      <c r="AC7" s="129"/>
      <c r="AD7" s="118"/>
      <c r="AE7" s="118"/>
      <c r="AF7" s="118"/>
      <c r="AG7" s="118"/>
      <c r="AH7" s="119">
        <v>2000</v>
      </c>
      <c r="AI7" s="119"/>
      <c r="AJ7" s="102">
        <f t="shared" si="14"/>
        <v>2000</v>
      </c>
      <c r="AK7" s="118"/>
    </row>
    <row r="8" spans="2:37" s="12" customFormat="1" x14ac:dyDescent="0.25">
      <c r="B8" s="120"/>
      <c r="C8" s="121"/>
      <c r="D8" s="122" t="s">
        <v>68</v>
      </c>
      <c r="E8" s="123"/>
      <c r="F8" s="123" t="s">
        <v>75</v>
      </c>
      <c r="G8" s="76">
        <v>1138</v>
      </c>
      <c r="H8" s="124">
        <v>180</v>
      </c>
      <c r="I8" s="125">
        <v>22.62</v>
      </c>
      <c r="J8" s="126">
        <f t="shared" si="7"/>
        <v>1.131</v>
      </c>
      <c r="K8" s="72">
        <f t="shared" si="0"/>
        <v>23.751000000000001</v>
      </c>
      <c r="L8" s="72"/>
      <c r="M8" s="127">
        <v>40</v>
      </c>
      <c r="N8" s="72">
        <f t="shared" si="1"/>
        <v>16.248999999999999</v>
      </c>
      <c r="O8" s="128">
        <f t="shared" si="9"/>
        <v>0.40622499999999995</v>
      </c>
      <c r="P8" s="8">
        <v>500</v>
      </c>
      <c r="Q8" s="9">
        <v>600</v>
      </c>
      <c r="R8" s="10">
        <v>700</v>
      </c>
      <c r="S8" s="8">
        <f t="shared" si="10"/>
        <v>20000</v>
      </c>
      <c r="T8" s="9">
        <f t="shared" si="11"/>
        <v>24000</v>
      </c>
      <c r="U8" s="10">
        <f t="shared" si="12"/>
        <v>28000</v>
      </c>
      <c r="V8" s="114">
        <f t="shared" si="13"/>
        <v>11875.5</v>
      </c>
      <c r="W8" s="115">
        <f t="shared" si="3"/>
        <v>14250.6</v>
      </c>
      <c r="X8" s="116">
        <f t="shared" si="4"/>
        <v>16625.7</v>
      </c>
      <c r="Y8" s="8">
        <f t="shared" si="5"/>
        <v>8124.5</v>
      </c>
      <c r="Z8" s="9">
        <f t="shared" si="5"/>
        <v>9749.4</v>
      </c>
      <c r="AA8" s="10">
        <f t="shared" si="5"/>
        <v>11374.3</v>
      </c>
      <c r="AB8" s="11">
        <f t="shared" si="6"/>
        <v>29248.2</v>
      </c>
      <c r="AC8" s="129"/>
      <c r="AD8" s="118"/>
      <c r="AE8" s="118"/>
      <c r="AF8" s="118"/>
      <c r="AG8" s="118"/>
      <c r="AH8" s="119">
        <v>3000</v>
      </c>
      <c r="AI8" s="119"/>
      <c r="AJ8" s="102">
        <f t="shared" si="14"/>
        <v>3000</v>
      </c>
      <c r="AK8" s="118"/>
    </row>
    <row r="9" spans="2:37" s="12" customFormat="1" x14ac:dyDescent="0.25">
      <c r="B9" s="2"/>
      <c r="C9" s="73"/>
      <c r="D9" s="82" t="s">
        <v>69</v>
      </c>
      <c r="E9" s="23"/>
      <c r="F9" s="23" t="s">
        <v>75</v>
      </c>
      <c r="G9" s="76">
        <v>1138</v>
      </c>
      <c r="H9" s="24">
        <v>180</v>
      </c>
      <c r="I9" s="77">
        <v>22.62</v>
      </c>
      <c r="J9" s="4">
        <f t="shared" si="7"/>
        <v>1.131</v>
      </c>
      <c r="K9" s="5">
        <f t="shared" si="0"/>
        <v>23.751000000000001</v>
      </c>
      <c r="L9" s="72"/>
      <c r="M9" s="90">
        <v>36</v>
      </c>
      <c r="N9" s="5">
        <f t="shared" si="1"/>
        <v>12.248999999999999</v>
      </c>
      <c r="O9" s="13">
        <f>N9/M9</f>
        <v>0.34024999999999994</v>
      </c>
      <c r="P9" s="6">
        <v>300</v>
      </c>
      <c r="Q9" s="7">
        <v>400</v>
      </c>
      <c r="R9" s="98">
        <v>450</v>
      </c>
      <c r="S9" s="6">
        <f t="shared" si="10"/>
        <v>10800</v>
      </c>
      <c r="T9" s="7">
        <f t="shared" si="11"/>
        <v>14400</v>
      </c>
      <c r="U9" s="98">
        <f t="shared" si="12"/>
        <v>16200</v>
      </c>
      <c r="V9" s="21">
        <f t="shared" si="13"/>
        <v>7125.3</v>
      </c>
      <c r="W9" s="22">
        <f t="shared" si="3"/>
        <v>9500.4</v>
      </c>
      <c r="X9" s="20">
        <f t="shared" si="4"/>
        <v>10687.95</v>
      </c>
      <c r="Y9" s="8">
        <f t="shared" si="5"/>
        <v>3674.7</v>
      </c>
      <c r="Z9" s="9">
        <f t="shared" si="5"/>
        <v>4899.6000000000004</v>
      </c>
      <c r="AA9" s="10">
        <f t="shared" si="5"/>
        <v>5512.0499999999993</v>
      </c>
      <c r="AB9" s="11">
        <f t="shared" si="6"/>
        <v>14086.349999999999</v>
      </c>
      <c r="AC9" s="75"/>
      <c r="AD9" s="3"/>
      <c r="AE9" s="3"/>
      <c r="AF9" s="3"/>
      <c r="AG9" s="3"/>
      <c r="AH9" s="119">
        <v>1000</v>
      </c>
      <c r="AI9" s="59"/>
      <c r="AJ9" s="102">
        <f t="shared" si="14"/>
        <v>1000</v>
      </c>
      <c r="AK9" s="3"/>
    </row>
    <row r="10" spans="2:37" s="12" customFormat="1" x14ac:dyDescent="0.25">
      <c r="B10" s="2"/>
      <c r="C10" s="73"/>
      <c r="D10" s="82" t="s">
        <v>70</v>
      </c>
      <c r="E10" s="23"/>
      <c r="F10" s="23" t="s">
        <v>75</v>
      </c>
      <c r="G10" s="76">
        <v>1138</v>
      </c>
      <c r="H10" s="24">
        <v>180</v>
      </c>
      <c r="I10" s="77">
        <v>22.62</v>
      </c>
      <c r="J10" s="4">
        <f t="shared" si="7"/>
        <v>1.131</v>
      </c>
      <c r="K10" s="5">
        <f t="shared" si="0"/>
        <v>23.751000000000001</v>
      </c>
      <c r="L10" s="72"/>
      <c r="M10" s="90">
        <v>32</v>
      </c>
      <c r="N10" s="5">
        <f t="shared" si="1"/>
        <v>8.2489999999999988</v>
      </c>
      <c r="O10" s="13">
        <f t="shared" si="9"/>
        <v>0.25778124999999996</v>
      </c>
      <c r="P10" s="6">
        <v>875</v>
      </c>
      <c r="Q10" s="7">
        <v>1000</v>
      </c>
      <c r="R10" s="98">
        <v>1094</v>
      </c>
      <c r="S10" s="6">
        <f t="shared" si="10"/>
        <v>28000</v>
      </c>
      <c r="T10" s="7">
        <f t="shared" si="11"/>
        <v>32000</v>
      </c>
      <c r="U10" s="98">
        <f t="shared" si="12"/>
        <v>35008</v>
      </c>
      <c r="V10" s="21">
        <f t="shared" si="13"/>
        <v>20782.125</v>
      </c>
      <c r="W10" s="22">
        <f t="shared" si="3"/>
        <v>23751</v>
      </c>
      <c r="X10" s="20">
        <f t="shared" si="4"/>
        <v>25983.594000000001</v>
      </c>
      <c r="Y10" s="8">
        <f t="shared" si="5"/>
        <v>7217.875</v>
      </c>
      <c r="Z10" s="9">
        <f t="shared" si="5"/>
        <v>8249</v>
      </c>
      <c r="AA10" s="10">
        <f t="shared" si="5"/>
        <v>9024.405999999999</v>
      </c>
      <c r="AB10" s="11">
        <f t="shared" si="6"/>
        <v>24491.280999999999</v>
      </c>
      <c r="AC10" s="75"/>
      <c r="AD10" s="3"/>
      <c r="AE10" s="3"/>
      <c r="AF10" s="3"/>
      <c r="AG10" s="3"/>
      <c r="AH10" s="119">
        <v>2620</v>
      </c>
      <c r="AI10" s="59"/>
      <c r="AJ10" s="102">
        <f t="shared" si="14"/>
        <v>2620</v>
      </c>
      <c r="AK10" s="3"/>
    </row>
    <row r="11" spans="2:37" s="12" customFormat="1" x14ac:dyDescent="0.25">
      <c r="B11" s="2"/>
      <c r="C11" s="73"/>
      <c r="D11" s="82" t="s">
        <v>71</v>
      </c>
      <c r="E11" s="23"/>
      <c r="F11" s="23" t="s">
        <v>75</v>
      </c>
      <c r="G11" s="76">
        <v>1138</v>
      </c>
      <c r="H11" s="24">
        <v>180</v>
      </c>
      <c r="I11" s="77">
        <v>22.62</v>
      </c>
      <c r="J11" s="4">
        <f t="shared" si="7"/>
        <v>1.131</v>
      </c>
      <c r="K11" s="5">
        <f t="shared" si="0"/>
        <v>23.751000000000001</v>
      </c>
      <c r="L11" s="72"/>
      <c r="M11" s="90">
        <v>32</v>
      </c>
      <c r="N11" s="5">
        <f t="shared" si="1"/>
        <v>8.2489999999999988</v>
      </c>
      <c r="O11" s="13">
        <f t="shared" si="9"/>
        <v>0.25778124999999996</v>
      </c>
      <c r="P11" s="6">
        <v>831</v>
      </c>
      <c r="Q11" s="7">
        <v>950</v>
      </c>
      <c r="R11" s="98">
        <v>1039</v>
      </c>
      <c r="S11" s="6">
        <f t="shared" si="10"/>
        <v>26592</v>
      </c>
      <c r="T11" s="7">
        <f t="shared" si="11"/>
        <v>30400</v>
      </c>
      <c r="U11" s="98">
        <f t="shared" si="12"/>
        <v>33248</v>
      </c>
      <c r="V11" s="21">
        <f t="shared" si="13"/>
        <v>19737.081000000002</v>
      </c>
      <c r="W11" s="22">
        <f t="shared" si="3"/>
        <v>22563.45</v>
      </c>
      <c r="X11" s="20">
        <f t="shared" si="4"/>
        <v>24677.289000000001</v>
      </c>
      <c r="Y11" s="8">
        <f t="shared" si="5"/>
        <v>6854.9189999999981</v>
      </c>
      <c r="Z11" s="9">
        <f t="shared" si="5"/>
        <v>7836.5499999999993</v>
      </c>
      <c r="AA11" s="10">
        <f t="shared" si="5"/>
        <v>8570.7109999999993</v>
      </c>
      <c r="AB11" s="11">
        <f t="shared" si="6"/>
        <v>23262.179999999997</v>
      </c>
      <c r="AC11" s="75"/>
      <c r="AD11" s="3"/>
      <c r="AE11" s="3"/>
      <c r="AF11" s="3"/>
      <c r="AG11" s="3"/>
      <c r="AH11" s="119">
        <v>3570</v>
      </c>
      <c r="AI11" s="59"/>
      <c r="AJ11" s="102">
        <f t="shared" si="14"/>
        <v>3570</v>
      </c>
      <c r="AK11" s="3"/>
    </row>
    <row r="12" spans="2:37" s="12" customFormat="1" x14ac:dyDescent="0.25">
      <c r="B12" s="2"/>
      <c r="C12" s="73"/>
      <c r="D12" s="82" t="s">
        <v>72</v>
      </c>
      <c r="E12" s="23"/>
      <c r="F12" s="23" t="s">
        <v>75</v>
      </c>
      <c r="G12" s="76">
        <v>1138</v>
      </c>
      <c r="H12" s="24">
        <v>180</v>
      </c>
      <c r="I12" s="77">
        <v>22.62</v>
      </c>
      <c r="J12" s="4">
        <f t="shared" si="7"/>
        <v>1.131</v>
      </c>
      <c r="K12" s="5">
        <f t="shared" si="0"/>
        <v>23.751000000000001</v>
      </c>
      <c r="L12" s="72"/>
      <c r="M12" s="90">
        <v>32</v>
      </c>
      <c r="N12" s="5">
        <f t="shared" si="1"/>
        <v>8.2489999999999988</v>
      </c>
      <c r="O12" s="13">
        <f t="shared" si="9"/>
        <v>0.25778124999999996</v>
      </c>
      <c r="P12" s="6">
        <v>788</v>
      </c>
      <c r="Q12" s="7">
        <v>900</v>
      </c>
      <c r="R12" s="98">
        <v>984</v>
      </c>
      <c r="S12" s="6">
        <f t="shared" si="10"/>
        <v>25216</v>
      </c>
      <c r="T12" s="7">
        <f t="shared" si="11"/>
        <v>28800</v>
      </c>
      <c r="U12" s="98">
        <f t="shared" si="12"/>
        <v>31488</v>
      </c>
      <c r="V12" s="21">
        <f t="shared" si="13"/>
        <v>18715.788</v>
      </c>
      <c r="W12" s="22">
        <f t="shared" si="3"/>
        <v>21375.9</v>
      </c>
      <c r="X12" s="20">
        <f t="shared" si="4"/>
        <v>23370.984</v>
      </c>
      <c r="Y12" s="8">
        <f t="shared" si="5"/>
        <v>6500.2119999999995</v>
      </c>
      <c r="Z12" s="9">
        <f t="shared" si="5"/>
        <v>7424.0999999999985</v>
      </c>
      <c r="AA12" s="10">
        <f t="shared" si="5"/>
        <v>8117.0159999999996</v>
      </c>
      <c r="AB12" s="11">
        <f t="shared" si="6"/>
        <v>22041.327999999998</v>
      </c>
      <c r="AC12" s="75"/>
      <c r="AD12" s="3"/>
      <c r="AE12" s="3"/>
      <c r="AF12" s="3"/>
      <c r="AG12" s="3"/>
      <c r="AH12" s="119">
        <v>2270</v>
      </c>
      <c r="AI12" s="59"/>
      <c r="AJ12" s="102">
        <f t="shared" si="14"/>
        <v>2270</v>
      </c>
      <c r="AK12" s="3"/>
    </row>
    <row r="13" spans="2:37" s="12" customFormat="1" x14ac:dyDescent="0.25">
      <c r="B13" s="2"/>
      <c r="C13" s="73"/>
      <c r="D13" s="82" t="s">
        <v>73</v>
      </c>
      <c r="E13" s="23"/>
      <c r="F13" s="23" t="s">
        <v>75</v>
      </c>
      <c r="G13" s="76">
        <v>1138</v>
      </c>
      <c r="H13" s="24">
        <v>180</v>
      </c>
      <c r="I13" s="77">
        <v>22.62</v>
      </c>
      <c r="J13" s="4">
        <f t="shared" si="7"/>
        <v>1.131</v>
      </c>
      <c r="K13" s="5">
        <f t="shared" si="0"/>
        <v>23.751000000000001</v>
      </c>
      <c r="L13" s="72"/>
      <c r="M13" s="90">
        <v>32</v>
      </c>
      <c r="N13" s="5">
        <f t="shared" si="1"/>
        <v>8.2489999999999988</v>
      </c>
      <c r="O13" s="13">
        <f t="shared" si="9"/>
        <v>0.25778124999999996</v>
      </c>
      <c r="P13" s="6">
        <v>656</v>
      </c>
      <c r="Q13" s="7">
        <v>750</v>
      </c>
      <c r="R13" s="98">
        <v>820</v>
      </c>
      <c r="S13" s="6">
        <f t="shared" si="10"/>
        <v>20992</v>
      </c>
      <c r="T13" s="7">
        <f t="shared" si="11"/>
        <v>24000</v>
      </c>
      <c r="U13" s="98">
        <f t="shared" si="12"/>
        <v>26240</v>
      </c>
      <c r="V13" s="21">
        <f t="shared" si="13"/>
        <v>15580.656000000001</v>
      </c>
      <c r="W13" s="22">
        <f t="shared" si="3"/>
        <v>17813.25</v>
      </c>
      <c r="X13" s="20">
        <f t="shared" si="4"/>
        <v>19475.82</v>
      </c>
      <c r="Y13" s="8">
        <f t="shared" si="5"/>
        <v>5411.3439999999991</v>
      </c>
      <c r="Z13" s="9">
        <f t="shared" si="5"/>
        <v>6186.75</v>
      </c>
      <c r="AA13" s="10">
        <f t="shared" si="5"/>
        <v>6764.18</v>
      </c>
      <c r="AB13" s="11">
        <f t="shared" si="6"/>
        <v>18362.273999999998</v>
      </c>
      <c r="AC13" s="75"/>
      <c r="AD13" s="3"/>
      <c r="AE13" s="3"/>
      <c r="AF13" s="3"/>
      <c r="AG13" s="3"/>
      <c r="AH13" s="119">
        <v>1070</v>
      </c>
      <c r="AI13" s="59"/>
      <c r="AJ13" s="102">
        <f t="shared" si="14"/>
        <v>1070</v>
      </c>
      <c r="AK13" s="3"/>
    </row>
    <row r="14" spans="2:37" s="12" customFormat="1" x14ac:dyDescent="0.25">
      <c r="B14" s="83"/>
      <c r="C14" s="84"/>
      <c r="D14" s="85" t="s">
        <v>74</v>
      </c>
      <c r="E14" s="86"/>
      <c r="F14" s="86" t="s">
        <v>75</v>
      </c>
      <c r="G14" s="87">
        <v>1138</v>
      </c>
      <c r="H14" s="91">
        <v>180</v>
      </c>
      <c r="I14" s="92">
        <v>22.62</v>
      </c>
      <c r="J14" s="93">
        <f t="shared" si="7"/>
        <v>1.131</v>
      </c>
      <c r="K14" s="94">
        <f t="shared" si="0"/>
        <v>23.751000000000001</v>
      </c>
      <c r="L14" s="95"/>
      <c r="M14" s="96">
        <v>32</v>
      </c>
      <c r="N14" s="94">
        <f t="shared" si="1"/>
        <v>8.2489999999999988</v>
      </c>
      <c r="O14" s="97">
        <f t="shared" si="9"/>
        <v>0.25778124999999996</v>
      </c>
      <c r="P14" s="99">
        <v>525</v>
      </c>
      <c r="Q14" s="100">
        <v>600</v>
      </c>
      <c r="R14" s="101">
        <v>656</v>
      </c>
      <c r="S14" s="99">
        <f t="shared" si="10"/>
        <v>16800</v>
      </c>
      <c r="T14" s="100">
        <f t="shared" si="11"/>
        <v>19200</v>
      </c>
      <c r="U14" s="101">
        <f t="shared" si="12"/>
        <v>20992</v>
      </c>
      <c r="V14" s="21">
        <f t="shared" si="13"/>
        <v>12469.275000000001</v>
      </c>
      <c r="W14" s="22">
        <f t="shared" si="3"/>
        <v>14250.6</v>
      </c>
      <c r="X14" s="20">
        <f t="shared" si="4"/>
        <v>15580.656000000001</v>
      </c>
      <c r="Y14" s="8">
        <f t="shared" si="5"/>
        <v>4330.7249999999985</v>
      </c>
      <c r="Z14" s="9">
        <f t="shared" si="5"/>
        <v>4949.3999999999996</v>
      </c>
      <c r="AA14" s="10">
        <f t="shared" si="5"/>
        <v>5411.3439999999991</v>
      </c>
      <c r="AB14" s="11">
        <f t="shared" si="6"/>
        <v>14691.468999999997</v>
      </c>
      <c r="AC14" s="75"/>
      <c r="AD14" s="3"/>
      <c r="AE14" s="3"/>
      <c r="AF14" s="3"/>
      <c r="AG14" s="134"/>
      <c r="AH14" s="74">
        <v>1460</v>
      </c>
      <c r="AI14" s="59"/>
      <c r="AJ14" s="102">
        <f t="shared" si="14"/>
        <v>1460</v>
      </c>
      <c r="AK14" s="3"/>
    </row>
    <row r="15" spans="2:37" s="54" customFormat="1" x14ac:dyDescent="0.25">
      <c r="B15" s="142" t="s">
        <v>50</v>
      </c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4"/>
      <c r="S15" s="58">
        <f>SUM(S3:S14)</f>
        <v>362200</v>
      </c>
      <c r="T15" s="58">
        <f t="shared" ref="T15:AB15" si="15">SUM(T3:T14)</f>
        <v>534290</v>
      </c>
      <c r="U15" s="58">
        <f t="shared" si="15"/>
        <v>680626</v>
      </c>
      <c r="V15" s="58">
        <f t="shared" si="15"/>
        <v>211858.91999999998</v>
      </c>
      <c r="W15" s="58">
        <f t="shared" si="15"/>
        <v>295771.20299999998</v>
      </c>
      <c r="X15" s="58">
        <f t="shared" si="15"/>
        <v>371441.88900000002</v>
      </c>
      <c r="Y15" s="58">
        <f t="shared" si="15"/>
        <v>150341.08000000002</v>
      </c>
      <c r="Z15" s="58">
        <f t="shared" si="15"/>
        <v>238518.79699999999</v>
      </c>
      <c r="AA15" s="58">
        <f t="shared" si="15"/>
        <v>309184.11099999998</v>
      </c>
      <c r="AB15" s="58">
        <f t="shared" si="15"/>
        <v>698043.9879999999</v>
      </c>
      <c r="AC15" s="58">
        <v>77225</v>
      </c>
      <c r="AD15" s="55">
        <v>0</v>
      </c>
      <c r="AE15" s="55">
        <v>0</v>
      </c>
      <c r="AF15" s="55">
        <v>0</v>
      </c>
      <c r="AG15" s="58">
        <v>15000</v>
      </c>
      <c r="AH15" s="58">
        <f>SUM(AH3:AH14)</f>
        <v>32990</v>
      </c>
      <c r="AI15" s="58">
        <v>15000</v>
      </c>
      <c r="AJ15" s="57">
        <f>SUM(AC15:AI15)</f>
        <v>140215</v>
      </c>
      <c r="AK15" s="56"/>
    </row>
  </sheetData>
  <mergeCells count="25">
    <mergeCell ref="AB1:AB2"/>
    <mergeCell ref="B15:R15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P1:AA1"/>
    <mergeCell ref="AH1:AH2"/>
    <mergeCell ref="AI1:AI2"/>
    <mergeCell ref="AJ1:AJ2"/>
    <mergeCell ref="AK1:AK2"/>
    <mergeCell ref="AC1:AC2"/>
    <mergeCell ref="AD1:AD2"/>
    <mergeCell ref="AE1:AE2"/>
    <mergeCell ref="AF1:AF2"/>
    <mergeCell ref="AG1:AG2"/>
  </mergeCells>
  <pageMargins left="0" right="0.11811023622047245" top="0.74803149606299213" bottom="0.74803149606299213" header="0.31496062992125984" footer="0.31496062992125984"/>
  <pageSetup paperSize="9" scale="5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1:S21"/>
  <sheetViews>
    <sheetView tabSelected="1" topLeftCell="A2" workbookViewId="0">
      <selection activeCell="P11" sqref="P11"/>
    </sheetView>
  </sheetViews>
  <sheetFormatPr defaultRowHeight="15" x14ac:dyDescent="0.25"/>
  <cols>
    <col min="2" max="2" width="5.85546875" bestFit="1" customWidth="1"/>
    <col min="3" max="3" width="19.85546875" bestFit="1" customWidth="1"/>
    <col min="4" max="4" width="10.42578125" bestFit="1" customWidth="1"/>
    <col min="5" max="5" width="14.5703125" customWidth="1"/>
    <col min="8" max="8" width="10" bestFit="1" customWidth="1"/>
    <col min="9" max="9" width="0.5703125" customWidth="1"/>
    <col min="10" max="10" width="10" bestFit="1" customWidth="1"/>
    <col min="11" max="11" width="14.28515625" customWidth="1"/>
    <col min="12" max="12" width="10" bestFit="1" customWidth="1"/>
    <col min="13" max="13" width="0" hidden="1" customWidth="1"/>
    <col min="15" max="15" width="0.5703125" customWidth="1"/>
    <col min="18" max="18" width="0" hidden="1" customWidth="1"/>
  </cols>
  <sheetData>
    <row r="1" spans="2:19" x14ac:dyDescent="0.25">
      <c r="H1" s="60" t="s">
        <v>52</v>
      </c>
    </row>
    <row r="3" spans="2:19" ht="45" x14ac:dyDescent="0.25">
      <c r="B3" s="25" t="s">
        <v>34</v>
      </c>
      <c r="C3" s="25" t="s">
        <v>35</v>
      </c>
      <c r="D3" s="26" t="s">
        <v>1</v>
      </c>
      <c r="E3" s="26" t="s">
        <v>36</v>
      </c>
      <c r="F3" s="27" t="s">
        <v>5</v>
      </c>
      <c r="G3" s="27" t="s">
        <v>37</v>
      </c>
      <c r="H3" s="28" t="s">
        <v>38</v>
      </c>
      <c r="I3" s="29"/>
      <c r="J3" s="28" t="s">
        <v>39</v>
      </c>
      <c r="K3" s="28" t="s">
        <v>40</v>
      </c>
      <c r="L3" s="28" t="s">
        <v>41</v>
      </c>
      <c r="M3" s="28" t="s">
        <v>42</v>
      </c>
      <c r="N3" s="28" t="s">
        <v>43</v>
      </c>
      <c r="O3" s="30"/>
      <c r="P3" s="31" t="s">
        <v>44</v>
      </c>
      <c r="Q3" s="28" t="s">
        <v>45</v>
      </c>
      <c r="R3" s="32" t="s">
        <v>46</v>
      </c>
      <c r="S3" s="28" t="s">
        <v>47</v>
      </c>
    </row>
    <row r="4" spans="2:19" x14ac:dyDescent="0.25">
      <c r="B4" s="33">
        <v>1</v>
      </c>
      <c r="C4" s="34" t="str">
        <f>Revised!B4</f>
        <v>Acamprosate EC Tabs</v>
      </c>
      <c r="D4" s="33" t="str">
        <f>Revised!C4</f>
        <v>333mg</v>
      </c>
      <c r="E4" s="35" t="str">
        <f>Revised!D4</f>
        <v>Chile</v>
      </c>
      <c r="F4" s="33">
        <f>Revised!H4</f>
        <v>180</v>
      </c>
      <c r="G4" s="36"/>
      <c r="H4" s="37"/>
      <c r="I4" s="38"/>
      <c r="J4" s="37">
        <f>Revised!S4</f>
        <v>5750</v>
      </c>
      <c r="K4" s="37">
        <f>Revised!Y4</f>
        <v>3018.6349999999998</v>
      </c>
      <c r="L4" s="37">
        <f t="shared" ref="L4:L13" si="0">K4*70%</f>
        <v>2113.0444999999995</v>
      </c>
      <c r="M4" s="39"/>
      <c r="N4" s="39"/>
      <c r="O4" s="43"/>
      <c r="P4" s="40"/>
      <c r="Q4" s="41" t="s">
        <v>48</v>
      </c>
      <c r="R4" s="42"/>
      <c r="S4" s="39"/>
    </row>
    <row r="5" spans="2:19" x14ac:dyDescent="0.25">
      <c r="B5" s="33"/>
      <c r="C5" s="34"/>
      <c r="D5" s="33"/>
      <c r="E5" s="35" t="str">
        <f>Revised!D5</f>
        <v>Peru</v>
      </c>
      <c r="F5" s="33">
        <f>Revised!H5</f>
        <v>180</v>
      </c>
      <c r="G5" s="36"/>
      <c r="H5" s="37"/>
      <c r="I5" s="38"/>
      <c r="J5" s="37">
        <f>Revised!S5</f>
        <v>19800</v>
      </c>
      <c r="K5" s="37">
        <f>Revised!Y5</f>
        <v>15881.084999999999</v>
      </c>
      <c r="L5" s="37">
        <f t="shared" si="0"/>
        <v>11116.759499999998</v>
      </c>
      <c r="M5" s="39"/>
      <c r="N5" s="39"/>
      <c r="O5" s="43"/>
      <c r="P5" s="40"/>
      <c r="Q5" s="41"/>
      <c r="R5" s="42"/>
      <c r="S5" s="39"/>
    </row>
    <row r="6" spans="2:19" x14ac:dyDescent="0.25">
      <c r="B6" s="33"/>
      <c r="C6" s="35"/>
      <c r="D6" s="33"/>
      <c r="E6" s="35" t="str">
        <f>Revised!D6</f>
        <v>Kazakhstan</v>
      </c>
      <c r="F6" s="33">
        <f>Revised!H6</f>
        <v>180</v>
      </c>
      <c r="G6" s="36"/>
      <c r="H6" s="37"/>
      <c r="I6" s="38"/>
      <c r="J6" s="37">
        <f>Revised!S6</f>
        <v>70000</v>
      </c>
      <c r="K6" s="37">
        <f>Revised!Y6</f>
        <v>22498</v>
      </c>
      <c r="L6" s="37">
        <f t="shared" si="0"/>
        <v>15748.599999999999</v>
      </c>
      <c r="M6" s="39"/>
      <c r="N6" s="39"/>
      <c r="O6" s="43"/>
      <c r="P6" s="40"/>
      <c r="Q6" s="41"/>
      <c r="R6" s="42"/>
      <c r="S6" s="39"/>
    </row>
    <row r="7" spans="2:19" x14ac:dyDescent="0.25">
      <c r="B7" s="33"/>
      <c r="C7" s="35"/>
      <c r="D7" s="33"/>
      <c r="E7" s="35" t="str">
        <f>Revised!D7</f>
        <v>Kyrgyzstan</v>
      </c>
      <c r="F7" s="33">
        <f>Revised!H7</f>
        <v>180</v>
      </c>
      <c r="G7" s="36"/>
      <c r="H7" s="37"/>
      <c r="I7" s="38"/>
      <c r="J7" s="37">
        <f>Revised!S7</f>
        <v>70000</v>
      </c>
      <c r="K7" s="37">
        <f>Revised!Y7</f>
        <v>22498</v>
      </c>
      <c r="L7" s="37">
        <f t="shared" si="0"/>
        <v>15748.599999999999</v>
      </c>
      <c r="M7" s="39"/>
      <c r="N7" s="39"/>
      <c r="O7" s="43"/>
      <c r="P7" s="40"/>
      <c r="Q7" s="41"/>
      <c r="R7" s="42"/>
      <c r="S7" s="39"/>
    </row>
    <row r="8" spans="2:19" x14ac:dyDescent="0.25">
      <c r="B8" s="33"/>
      <c r="C8" s="35"/>
      <c r="D8" s="33"/>
      <c r="E8" s="35" t="str">
        <f>Revised!D8</f>
        <v>Srilanka</v>
      </c>
      <c r="F8" s="33">
        <f>Revised!H8</f>
        <v>180</v>
      </c>
      <c r="G8" s="36"/>
      <c r="H8" s="37"/>
      <c r="I8" s="38"/>
      <c r="J8" s="37">
        <f>Revised!S8</f>
        <v>10800</v>
      </c>
      <c r="K8" s="37">
        <f>Revised!Y8</f>
        <v>3674.7</v>
      </c>
      <c r="L8" s="37">
        <f t="shared" si="0"/>
        <v>2572.2899999999995</v>
      </c>
      <c r="M8" s="39"/>
      <c r="N8" s="39"/>
      <c r="O8" s="43"/>
      <c r="P8" s="40"/>
      <c r="Q8" s="41"/>
      <c r="R8" s="42"/>
      <c r="S8" s="39"/>
    </row>
    <row r="9" spans="2:19" x14ac:dyDescent="0.25">
      <c r="B9" s="33"/>
      <c r="C9" s="35"/>
      <c r="D9" s="33"/>
      <c r="E9" s="35" t="str">
        <f>Revised!D9</f>
        <v>Kenya</v>
      </c>
      <c r="F9" s="33">
        <f>Revised!H9</f>
        <v>180</v>
      </c>
      <c r="G9" s="36"/>
      <c r="H9" s="37"/>
      <c r="I9" s="38"/>
      <c r="J9" s="37">
        <f>Revised!S9</f>
        <v>26592</v>
      </c>
      <c r="K9" s="37">
        <f>Revised!Y9</f>
        <v>6854.9189999999981</v>
      </c>
      <c r="L9" s="37">
        <f t="shared" si="0"/>
        <v>4798.4432999999981</v>
      </c>
      <c r="M9" s="39"/>
      <c r="N9" s="39"/>
      <c r="O9" s="43"/>
      <c r="P9" s="40"/>
      <c r="Q9" s="41"/>
      <c r="R9" s="42"/>
      <c r="S9" s="39"/>
    </row>
    <row r="10" spans="2:19" x14ac:dyDescent="0.25">
      <c r="B10" s="33"/>
      <c r="C10" s="35"/>
      <c r="D10" s="33"/>
      <c r="E10" s="35" t="str">
        <f>Revised!D10</f>
        <v>Tanzania</v>
      </c>
      <c r="F10" s="33">
        <f>Revised!H10</f>
        <v>180</v>
      </c>
      <c r="G10" s="36"/>
      <c r="H10" s="37"/>
      <c r="I10" s="38"/>
      <c r="J10" s="37">
        <f>Revised!S10</f>
        <v>25216</v>
      </c>
      <c r="K10" s="37">
        <f>Revised!Y10</f>
        <v>6500.2119999999995</v>
      </c>
      <c r="L10" s="37">
        <f t="shared" si="0"/>
        <v>4550.1483999999991</v>
      </c>
      <c r="M10" s="39"/>
      <c r="N10" s="39"/>
      <c r="O10" s="43"/>
      <c r="P10" s="40"/>
      <c r="Q10" s="41"/>
      <c r="R10" s="42"/>
      <c r="S10" s="39"/>
    </row>
    <row r="11" spans="2:19" x14ac:dyDescent="0.25">
      <c r="B11" s="33"/>
      <c r="C11" s="35"/>
      <c r="D11" s="33"/>
      <c r="E11" s="35" t="str">
        <f>Revised!D11</f>
        <v>Zambia</v>
      </c>
      <c r="F11" s="33">
        <f>Revised!H11</f>
        <v>180</v>
      </c>
      <c r="G11" s="36"/>
      <c r="H11" s="37"/>
      <c r="I11" s="38"/>
      <c r="J11" s="37">
        <f>Revised!S11</f>
        <v>20992</v>
      </c>
      <c r="K11" s="37">
        <f>Revised!Y11</f>
        <v>5411.3439999999991</v>
      </c>
      <c r="L11" s="37">
        <f t="shared" si="0"/>
        <v>3787.9407999999989</v>
      </c>
      <c r="M11" s="39"/>
      <c r="N11" s="39"/>
      <c r="O11" s="43"/>
      <c r="P11" s="40"/>
      <c r="Q11" s="41"/>
      <c r="R11" s="42"/>
      <c r="S11" s="39"/>
    </row>
    <row r="12" spans="2:19" x14ac:dyDescent="0.25">
      <c r="B12" s="33"/>
      <c r="C12" s="35"/>
      <c r="D12" s="33"/>
      <c r="E12" s="35" t="str">
        <f>Revised!D12</f>
        <v>Nigeria</v>
      </c>
      <c r="F12" s="33">
        <f>Revised!H12</f>
        <v>180</v>
      </c>
      <c r="G12" s="36"/>
      <c r="H12" s="37"/>
      <c r="I12" s="38"/>
      <c r="J12" s="37">
        <f>Revised!S12</f>
        <v>16800</v>
      </c>
      <c r="K12" s="37">
        <f>Revised!Y12</f>
        <v>4330.7249999999985</v>
      </c>
      <c r="L12" s="37">
        <f t="shared" si="0"/>
        <v>3031.5074999999988</v>
      </c>
      <c r="M12" s="39"/>
      <c r="N12" s="39"/>
      <c r="O12" s="43"/>
      <c r="P12" s="40"/>
      <c r="Q12" s="41"/>
      <c r="R12" s="42"/>
      <c r="S12" s="39"/>
    </row>
    <row r="13" spans="2:19" x14ac:dyDescent="0.25">
      <c r="B13" s="33"/>
      <c r="C13" s="35"/>
      <c r="D13" s="33"/>
      <c r="E13" s="35" t="str">
        <f>Revised!D13</f>
        <v>Ukraine</v>
      </c>
      <c r="F13" s="33">
        <f>Revised!H13</f>
        <v>180</v>
      </c>
      <c r="G13" s="36"/>
      <c r="H13" s="37"/>
      <c r="I13" s="38"/>
      <c r="J13" s="37">
        <f>Revised!S13</f>
        <v>70000</v>
      </c>
      <c r="K13" s="37">
        <f>Revised!Y13</f>
        <v>22498</v>
      </c>
      <c r="L13" s="37">
        <f t="shared" si="0"/>
        <v>15748.599999999999</v>
      </c>
      <c r="M13" s="39"/>
      <c r="N13" s="39"/>
      <c r="O13" s="43"/>
      <c r="P13" s="40"/>
      <c r="Q13" s="41"/>
      <c r="R13" s="42"/>
      <c r="S13" s="39"/>
    </row>
    <row r="14" spans="2:19" x14ac:dyDescent="0.25">
      <c r="B14" s="44"/>
      <c r="C14" s="45" t="s">
        <v>49</v>
      </c>
      <c r="D14" s="45"/>
      <c r="E14" s="45"/>
      <c r="F14" s="44"/>
      <c r="G14" s="46"/>
      <c r="H14" s="47">
        <f>Revised!AJ14*70%</f>
        <v>95539.5</v>
      </c>
      <c r="I14" s="48"/>
      <c r="J14" s="47">
        <f>SUM(J4:J13)</f>
        <v>335950</v>
      </c>
      <c r="K14" s="47">
        <f>SUM(K4:K13)</f>
        <v>113165.62</v>
      </c>
      <c r="L14" s="47">
        <f>SUM(L4:L13)</f>
        <v>79215.933999999979</v>
      </c>
      <c r="M14" s="49"/>
      <c r="N14" s="49">
        <f>H14/L14*12</f>
        <v>14.472770086886815</v>
      </c>
      <c r="O14" s="50"/>
      <c r="P14" s="51"/>
      <c r="Q14" s="52"/>
      <c r="R14" s="53"/>
      <c r="S14" s="49"/>
    </row>
    <row r="20" spans="2:19" x14ac:dyDescent="0.25">
      <c r="B20" s="61" t="s">
        <v>53</v>
      </c>
      <c r="C20" s="61"/>
      <c r="D20" s="61"/>
      <c r="E20" s="61" t="s">
        <v>54</v>
      </c>
      <c r="F20" s="62"/>
      <c r="G20" s="12"/>
      <c r="H20" s="63"/>
      <c r="I20" s="63"/>
      <c r="J20" s="63"/>
      <c r="K20" s="63" t="s">
        <v>55</v>
      </c>
      <c r="L20" s="64"/>
      <c r="M20" s="64"/>
      <c r="N20" s="64"/>
      <c r="O20" s="65"/>
      <c r="P20" s="64"/>
      <c r="Q20" s="66" t="s">
        <v>56</v>
      </c>
      <c r="R20" s="64"/>
      <c r="S20" s="64"/>
    </row>
    <row r="21" spans="2:19" x14ac:dyDescent="0.25">
      <c r="B21" s="67" t="s">
        <v>57</v>
      </c>
      <c r="C21" s="68"/>
      <c r="D21" s="69"/>
      <c r="E21" s="68" t="s">
        <v>58</v>
      </c>
      <c r="F21" s="69"/>
      <c r="G21" s="54"/>
      <c r="H21" s="70"/>
      <c r="I21" s="70"/>
      <c r="J21" s="70"/>
      <c r="K21" s="70" t="s">
        <v>59</v>
      </c>
      <c r="L21" s="69"/>
      <c r="M21" s="69"/>
      <c r="N21" s="54"/>
      <c r="O21" s="54"/>
      <c r="P21" s="69"/>
      <c r="Q21" s="54"/>
      <c r="R21" s="69"/>
      <c r="S21" s="70" t="s">
        <v>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K14"/>
  <sheetViews>
    <sheetView topLeftCell="D1" workbookViewId="0">
      <selection activeCell="C13" sqref="A13:XFD13"/>
    </sheetView>
  </sheetViews>
  <sheetFormatPr defaultRowHeight="15" x14ac:dyDescent="0.25"/>
  <cols>
    <col min="2" max="2" width="19.85546875" bestFit="1" customWidth="1"/>
    <col min="3" max="3" width="9.42578125" bestFit="1" customWidth="1"/>
    <col min="4" max="4" width="11.7109375" bestFit="1" customWidth="1"/>
    <col min="5" max="5" width="9.140625" customWidth="1"/>
    <col min="6" max="6" width="9.140625" bestFit="1" customWidth="1"/>
    <col min="7" max="7" width="10.42578125" customWidth="1"/>
    <col min="8" max="8" width="5.7109375" customWidth="1"/>
    <col min="9" max="9" width="6.5703125" bestFit="1" customWidth="1"/>
    <col min="12" max="12" width="9.140625" customWidth="1"/>
    <col min="13" max="13" width="10.5703125" customWidth="1"/>
    <col min="15" max="15" width="7.140625" bestFit="1" customWidth="1"/>
    <col min="17" max="18" width="9.140625" customWidth="1"/>
    <col min="19" max="19" width="10" bestFit="1" customWidth="1"/>
    <col min="20" max="21" width="10" customWidth="1"/>
    <col min="22" max="22" width="0" hidden="1" customWidth="1"/>
    <col min="23" max="24" width="9.140625" hidden="1" customWidth="1"/>
    <col min="25" max="27" width="10" customWidth="1"/>
    <col min="28" max="28" width="12.140625" customWidth="1"/>
    <col min="29" max="29" width="8.7109375" customWidth="1"/>
    <col min="30" max="30" width="10.42578125" hidden="1" customWidth="1"/>
    <col min="31" max="31" width="7.140625" hidden="1" customWidth="1"/>
    <col min="32" max="32" width="8.28515625" hidden="1" customWidth="1"/>
    <col min="33" max="33" width="8.28515625" customWidth="1"/>
    <col min="35" max="35" width="8" customWidth="1"/>
  </cols>
  <sheetData>
    <row r="2" spans="2:37" s="1" customFormat="1" ht="15" customHeight="1" x14ac:dyDescent="0.25">
      <c r="B2" s="145" t="s">
        <v>0</v>
      </c>
      <c r="C2" s="145" t="s">
        <v>1</v>
      </c>
      <c r="D2" s="145" t="s">
        <v>2</v>
      </c>
      <c r="E2" s="138" t="s">
        <v>51</v>
      </c>
      <c r="F2" s="145" t="s">
        <v>3</v>
      </c>
      <c r="G2" s="138" t="s">
        <v>4</v>
      </c>
      <c r="H2" s="138" t="s">
        <v>5</v>
      </c>
      <c r="I2" s="138" t="s">
        <v>6</v>
      </c>
      <c r="J2" s="138" t="s">
        <v>7</v>
      </c>
      <c r="K2" s="148" t="s">
        <v>8</v>
      </c>
      <c r="L2" s="140" t="s">
        <v>9</v>
      </c>
      <c r="M2" s="151" t="s">
        <v>10</v>
      </c>
      <c r="N2" s="151" t="s">
        <v>11</v>
      </c>
      <c r="O2" s="131"/>
      <c r="P2" s="153" t="s">
        <v>12</v>
      </c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5"/>
      <c r="AB2" s="140" t="s">
        <v>76</v>
      </c>
      <c r="AC2" s="140" t="s">
        <v>13</v>
      </c>
      <c r="AD2" s="140" t="s">
        <v>14</v>
      </c>
      <c r="AE2" s="140" t="s">
        <v>15</v>
      </c>
      <c r="AF2" s="140" t="s">
        <v>16</v>
      </c>
      <c r="AG2" s="138" t="s">
        <v>77</v>
      </c>
      <c r="AH2" s="138" t="s">
        <v>17</v>
      </c>
      <c r="AI2" s="140" t="s">
        <v>18</v>
      </c>
      <c r="AJ2" s="138" t="s">
        <v>19</v>
      </c>
      <c r="AK2" s="140" t="s">
        <v>20</v>
      </c>
    </row>
    <row r="3" spans="2:37" s="1" customFormat="1" x14ac:dyDescent="0.25">
      <c r="B3" s="146"/>
      <c r="C3" s="146"/>
      <c r="D3" s="146"/>
      <c r="E3" s="147"/>
      <c r="F3" s="146"/>
      <c r="G3" s="147"/>
      <c r="H3" s="147"/>
      <c r="I3" s="147"/>
      <c r="J3" s="147"/>
      <c r="K3" s="149"/>
      <c r="L3" s="150"/>
      <c r="M3" s="152"/>
      <c r="N3" s="152"/>
      <c r="O3" s="132" t="s">
        <v>21</v>
      </c>
      <c r="P3" s="78" t="s">
        <v>22</v>
      </c>
      <c r="Q3" s="79" t="s">
        <v>23</v>
      </c>
      <c r="R3" s="80" t="s">
        <v>24</v>
      </c>
      <c r="S3" s="78" t="s">
        <v>25</v>
      </c>
      <c r="T3" s="79" t="s">
        <v>26</v>
      </c>
      <c r="U3" s="80" t="s">
        <v>27</v>
      </c>
      <c r="V3" s="14" t="s">
        <v>28</v>
      </c>
      <c r="W3" s="15" t="s">
        <v>29</v>
      </c>
      <c r="X3" s="16" t="s">
        <v>30</v>
      </c>
      <c r="Y3" s="17" t="s">
        <v>31</v>
      </c>
      <c r="Z3" s="18" t="s">
        <v>32</v>
      </c>
      <c r="AA3" s="19" t="s">
        <v>33</v>
      </c>
      <c r="AB3" s="141"/>
      <c r="AC3" s="141"/>
      <c r="AD3" s="141"/>
      <c r="AE3" s="141"/>
      <c r="AF3" s="141"/>
      <c r="AG3" s="139"/>
      <c r="AH3" s="139"/>
      <c r="AI3" s="141"/>
      <c r="AJ3" s="139"/>
      <c r="AK3" s="141"/>
    </row>
    <row r="4" spans="2:37" s="12" customFormat="1" x14ac:dyDescent="0.25">
      <c r="B4" s="103" t="s">
        <v>61</v>
      </c>
      <c r="C4" s="104" t="s">
        <v>62</v>
      </c>
      <c r="D4" s="105" t="s">
        <v>63</v>
      </c>
      <c r="E4" s="105"/>
      <c r="F4" s="105" t="s">
        <v>75</v>
      </c>
      <c r="G4" s="81">
        <v>1138</v>
      </c>
      <c r="H4" s="106">
        <v>180</v>
      </c>
      <c r="I4" s="107">
        <v>22.62</v>
      </c>
      <c r="J4" s="108">
        <f>I4*5%</f>
        <v>1.131</v>
      </c>
      <c r="K4" s="89">
        <f t="shared" ref="K4:K13" si="0">I4+J4</f>
        <v>23.751000000000001</v>
      </c>
      <c r="L4" s="89">
        <f>M4/H4</f>
        <v>0.27777777777777779</v>
      </c>
      <c r="M4" s="89">
        <v>50</v>
      </c>
      <c r="N4" s="89">
        <f t="shared" ref="N4:N13" si="1">M4-K4</f>
        <v>26.248999999999999</v>
      </c>
      <c r="O4" s="110">
        <f t="shared" ref="O4:O9" si="2">N4/M4</f>
        <v>0.52498</v>
      </c>
      <c r="P4" s="111">
        <v>115</v>
      </c>
      <c r="Q4" s="112">
        <v>346</v>
      </c>
      <c r="R4" s="113">
        <v>577</v>
      </c>
      <c r="S4" s="111">
        <f>$M4*P4</f>
        <v>5750</v>
      </c>
      <c r="T4" s="112">
        <f>$M4*Q4</f>
        <v>17300</v>
      </c>
      <c r="U4" s="113">
        <f>$M4*R4</f>
        <v>28850</v>
      </c>
      <c r="V4" s="114">
        <f>K4*P4</f>
        <v>2731.3650000000002</v>
      </c>
      <c r="W4" s="115">
        <f t="shared" ref="W4:W13" si="3">K4*Q4</f>
        <v>8217.8459999999995</v>
      </c>
      <c r="X4" s="116">
        <f t="shared" ref="X4:X13" si="4">K4*R4</f>
        <v>13704.327000000001</v>
      </c>
      <c r="Y4" s="8">
        <f>S4-V4</f>
        <v>3018.6349999999998</v>
      </c>
      <c r="Z4" s="9">
        <f t="shared" ref="Z4:AA13" si="5">T4-W4</f>
        <v>9082.1540000000005</v>
      </c>
      <c r="AA4" s="10">
        <f t="shared" si="5"/>
        <v>15145.672999999999</v>
      </c>
      <c r="AB4" s="11">
        <f t="shared" ref="AB4:AB13" si="6">Y4+Z4+AA4</f>
        <v>27246.462</v>
      </c>
      <c r="AC4" s="117"/>
      <c r="AD4" s="118"/>
      <c r="AE4" s="118"/>
      <c r="AF4" s="118"/>
      <c r="AG4" s="118"/>
      <c r="AH4" s="119">
        <v>0</v>
      </c>
      <c r="AI4" s="119"/>
      <c r="AJ4" s="102">
        <f>VLOOKUP(D4,'Acamprosate  tab'!D3:AJ14,33,0)</f>
        <v>0</v>
      </c>
      <c r="AK4" s="118"/>
    </row>
    <row r="5" spans="2:37" s="12" customFormat="1" x14ac:dyDescent="0.25">
      <c r="B5" s="120"/>
      <c r="C5" s="121"/>
      <c r="D5" s="123" t="s">
        <v>65</v>
      </c>
      <c r="E5" s="123"/>
      <c r="F5" s="123" t="s">
        <v>75</v>
      </c>
      <c r="G5" s="76">
        <v>1138</v>
      </c>
      <c r="H5" s="124">
        <v>180</v>
      </c>
      <c r="I5" s="125">
        <v>22.62</v>
      </c>
      <c r="J5" s="126">
        <f t="shared" ref="J5:J13" si="7">I5*5%</f>
        <v>1.131</v>
      </c>
      <c r="K5" s="72">
        <f t="shared" si="0"/>
        <v>23.751000000000001</v>
      </c>
      <c r="L5" s="72">
        <f t="shared" ref="L5:L13" si="8">M5/H5</f>
        <v>0.66666666666666663</v>
      </c>
      <c r="M5" s="72">
        <v>120</v>
      </c>
      <c r="N5" s="72">
        <f t="shared" si="1"/>
        <v>96.248999999999995</v>
      </c>
      <c r="O5" s="128">
        <f t="shared" si="2"/>
        <v>0.80207499999999998</v>
      </c>
      <c r="P5" s="8">
        <v>165</v>
      </c>
      <c r="Q5" s="9">
        <v>412</v>
      </c>
      <c r="R5" s="10">
        <v>495</v>
      </c>
      <c r="S5" s="8">
        <f t="shared" ref="S5:U13" si="9">$M5*P5</f>
        <v>19800</v>
      </c>
      <c r="T5" s="9">
        <f t="shared" si="9"/>
        <v>49440</v>
      </c>
      <c r="U5" s="10">
        <f t="shared" si="9"/>
        <v>59400</v>
      </c>
      <c r="V5" s="114">
        <f t="shared" ref="V5:V13" si="10">K5*P5</f>
        <v>3918.9150000000004</v>
      </c>
      <c r="W5" s="115">
        <f t="shared" si="3"/>
        <v>9785.4120000000003</v>
      </c>
      <c r="X5" s="116">
        <f t="shared" si="4"/>
        <v>11756.745000000001</v>
      </c>
      <c r="Y5" s="8">
        <f t="shared" ref="Y5:Y13" si="11">S5-V5</f>
        <v>15881.084999999999</v>
      </c>
      <c r="Z5" s="9">
        <f t="shared" si="5"/>
        <v>39654.588000000003</v>
      </c>
      <c r="AA5" s="10">
        <f t="shared" si="5"/>
        <v>47643.254999999997</v>
      </c>
      <c r="AB5" s="11">
        <f t="shared" si="6"/>
        <v>103178.928</v>
      </c>
      <c r="AC5" s="117"/>
      <c r="AD5" s="118"/>
      <c r="AE5" s="118"/>
      <c r="AF5" s="118"/>
      <c r="AG5" s="118"/>
      <c r="AH5" s="119">
        <v>5000</v>
      </c>
      <c r="AI5" s="119"/>
      <c r="AJ5" s="102">
        <f>VLOOKUP(D5,'Acamprosate  tab'!D4:AJ15,33,0)</f>
        <v>3000</v>
      </c>
      <c r="AK5" s="118"/>
    </row>
    <row r="6" spans="2:37" s="12" customFormat="1" x14ac:dyDescent="0.25">
      <c r="B6" s="120"/>
      <c r="C6" s="121"/>
      <c r="D6" s="123" t="s">
        <v>66</v>
      </c>
      <c r="E6" s="123"/>
      <c r="F6" s="123" t="s">
        <v>75</v>
      </c>
      <c r="G6" s="76">
        <v>1138</v>
      </c>
      <c r="H6" s="124">
        <v>180</v>
      </c>
      <c r="I6" s="125">
        <v>22.62</v>
      </c>
      <c r="J6" s="126">
        <f t="shared" si="7"/>
        <v>1.131</v>
      </c>
      <c r="K6" s="72">
        <f t="shared" si="0"/>
        <v>23.751000000000001</v>
      </c>
      <c r="L6" s="72">
        <f t="shared" si="8"/>
        <v>0.19444444444444445</v>
      </c>
      <c r="M6" s="72">
        <v>35</v>
      </c>
      <c r="N6" s="72">
        <f t="shared" si="1"/>
        <v>11.248999999999999</v>
      </c>
      <c r="O6" s="128">
        <f t="shared" si="2"/>
        <v>0.32139999999999996</v>
      </c>
      <c r="P6" s="8">
        <v>2000</v>
      </c>
      <c r="Q6" s="9">
        <v>3000</v>
      </c>
      <c r="R6" s="10">
        <v>4000</v>
      </c>
      <c r="S6" s="8">
        <f t="shared" si="9"/>
        <v>70000</v>
      </c>
      <c r="T6" s="9">
        <f t="shared" si="9"/>
        <v>105000</v>
      </c>
      <c r="U6" s="10">
        <f t="shared" si="9"/>
        <v>140000</v>
      </c>
      <c r="V6" s="114">
        <f t="shared" si="10"/>
        <v>47502</v>
      </c>
      <c r="W6" s="115">
        <f t="shared" si="3"/>
        <v>71253</v>
      </c>
      <c r="X6" s="116">
        <f t="shared" si="4"/>
        <v>95004</v>
      </c>
      <c r="Y6" s="8">
        <f t="shared" si="11"/>
        <v>22498</v>
      </c>
      <c r="Z6" s="9">
        <f t="shared" si="5"/>
        <v>33747</v>
      </c>
      <c r="AA6" s="10">
        <f t="shared" si="5"/>
        <v>44996</v>
      </c>
      <c r="AB6" s="11">
        <f t="shared" si="6"/>
        <v>101241</v>
      </c>
      <c r="AC6" s="129"/>
      <c r="AD6" s="118"/>
      <c r="AE6" s="118"/>
      <c r="AF6" s="118"/>
      <c r="AG6" s="133"/>
      <c r="AH6" s="130">
        <v>3000</v>
      </c>
      <c r="AI6" s="119"/>
      <c r="AJ6" s="102">
        <f>VLOOKUP(D6,'Acamprosate  tab'!D5:AJ16,33,0)</f>
        <v>8000</v>
      </c>
      <c r="AK6" s="118"/>
    </row>
    <row r="7" spans="2:37" s="12" customFormat="1" x14ac:dyDescent="0.25">
      <c r="B7" s="120"/>
      <c r="C7" s="121"/>
      <c r="D7" s="123" t="s">
        <v>67</v>
      </c>
      <c r="E7" s="123"/>
      <c r="F7" s="123" t="s">
        <v>75</v>
      </c>
      <c r="G7" s="76">
        <v>1138</v>
      </c>
      <c r="H7" s="124">
        <v>180</v>
      </c>
      <c r="I7" s="125">
        <v>22.62</v>
      </c>
      <c r="J7" s="126">
        <f t="shared" si="7"/>
        <v>1.131</v>
      </c>
      <c r="K7" s="72">
        <f t="shared" si="0"/>
        <v>23.751000000000001</v>
      </c>
      <c r="L7" s="72">
        <f t="shared" si="8"/>
        <v>0.19444444444444445</v>
      </c>
      <c r="M7" s="72">
        <v>35</v>
      </c>
      <c r="N7" s="72">
        <f t="shared" si="1"/>
        <v>11.248999999999999</v>
      </c>
      <c r="O7" s="128">
        <f t="shared" si="2"/>
        <v>0.32139999999999996</v>
      </c>
      <c r="P7" s="8">
        <v>2000</v>
      </c>
      <c r="Q7" s="9">
        <v>3000</v>
      </c>
      <c r="R7" s="10">
        <v>4000</v>
      </c>
      <c r="S7" s="8">
        <f t="shared" si="9"/>
        <v>70000</v>
      </c>
      <c r="T7" s="9">
        <f t="shared" si="9"/>
        <v>105000</v>
      </c>
      <c r="U7" s="10">
        <f t="shared" si="9"/>
        <v>140000</v>
      </c>
      <c r="V7" s="114">
        <f t="shared" si="10"/>
        <v>47502</v>
      </c>
      <c r="W7" s="115">
        <f t="shared" si="3"/>
        <v>71253</v>
      </c>
      <c r="X7" s="116">
        <f t="shared" si="4"/>
        <v>95004</v>
      </c>
      <c r="Y7" s="8">
        <f t="shared" si="11"/>
        <v>22498</v>
      </c>
      <c r="Z7" s="9">
        <f t="shared" si="5"/>
        <v>33747</v>
      </c>
      <c r="AA7" s="10">
        <f t="shared" si="5"/>
        <v>44996</v>
      </c>
      <c r="AB7" s="11">
        <f t="shared" si="6"/>
        <v>101241</v>
      </c>
      <c r="AC7" s="129"/>
      <c r="AD7" s="118"/>
      <c r="AE7" s="118"/>
      <c r="AF7" s="118"/>
      <c r="AG7" s="133"/>
      <c r="AH7" s="130">
        <v>8000</v>
      </c>
      <c r="AI7" s="119"/>
      <c r="AJ7" s="102">
        <f>VLOOKUP(D7,'Acamprosate  tab'!D6:AJ16,33,0)</f>
        <v>2000</v>
      </c>
      <c r="AK7" s="118"/>
    </row>
    <row r="8" spans="2:37" s="12" customFormat="1" x14ac:dyDescent="0.25">
      <c r="B8" s="120"/>
      <c r="C8" s="121"/>
      <c r="D8" s="123" t="s">
        <v>69</v>
      </c>
      <c r="E8" s="123"/>
      <c r="F8" s="123" t="s">
        <v>75</v>
      </c>
      <c r="G8" s="76">
        <v>1138</v>
      </c>
      <c r="H8" s="124">
        <v>180</v>
      </c>
      <c r="I8" s="125">
        <v>22.62</v>
      </c>
      <c r="J8" s="126">
        <f t="shared" si="7"/>
        <v>1.131</v>
      </c>
      <c r="K8" s="72">
        <f t="shared" si="0"/>
        <v>23.751000000000001</v>
      </c>
      <c r="L8" s="72">
        <f t="shared" si="8"/>
        <v>0.2</v>
      </c>
      <c r="M8" s="72">
        <v>36</v>
      </c>
      <c r="N8" s="72">
        <f t="shared" si="1"/>
        <v>12.248999999999999</v>
      </c>
      <c r="O8" s="128">
        <f t="shared" si="2"/>
        <v>0.34024999999999994</v>
      </c>
      <c r="P8" s="8">
        <v>300</v>
      </c>
      <c r="Q8" s="9">
        <v>400</v>
      </c>
      <c r="R8" s="10">
        <v>450</v>
      </c>
      <c r="S8" s="8">
        <f t="shared" si="9"/>
        <v>10800</v>
      </c>
      <c r="T8" s="9">
        <f t="shared" si="9"/>
        <v>14400</v>
      </c>
      <c r="U8" s="10">
        <f t="shared" si="9"/>
        <v>16200</v>
      </c>
      <c r="V8" s="114">
        <f t="shared" si="10"/>
        <v>7125.3</v>
      </c>
      <c r="W8" s="115">
        <f t="shared" si="3"/>
        <v>9500.4</v>
      </c>
      <c r="X8" s="116">
        <f t="shared" si="4"/>
        <v>10687.95</v>
      </c>
      <c r="Y8" s="8">
        <f t="shared" si="11"/>
        <v>3674.7</v>
      </c>
      <c r="Z8" s="9">
        <f t="shared" si="5"/>
        <v>4899.6000000000004</v>
      </c>
      <c r="AA8" s="10">
        <f t="shared" si="5"/>
        <v>5512.0499999999993</v>
      </c>
      <c r="AB8" s="11">
        <f t="shared" si="6"/>
        <v>14086.349999999999</v>
      </c>
      <c r="AC8" s="129"/>
      <c r="AD8" s="118"/>
      <c r="AE8" s="118"/>
      <c r="AF8" s="118"/>
      <c r="AG8" s="118"/>
      <c r="AH8" s="119">
        <v>2000</v>
      </c>
      <c r="AI8" s="119"/>
      <c r="AJ8" s="102">
        <f>VLOOKUP(D8,'Acamprosate  tab'!D7:AJ16,33,0)</f>
        <v>1000</v>
      </c>
      <c r="AK8" s="118"/>
    </row>
    <row r="9" spans="2:37" s="12" customFormat="1" x14ac:dyDescent="0.25">
      <c r="B9" s="120"/>
      <c r="C9" s="121"/>
      <c r="D9" s="123" t="s">
        <v>71</v>
      </c>
      <c r="E9" s="123"/>
      <c r="F9" s="123" t="s">
        <v>75</v>
      </c>
      <c r="G9" s="76">
        <v>1138</v>
      </c>
      <c r="H9" s="124">
        <v>180</v>
      </c>
      <c r="I9" s="125">
        <v>22.62</v>
      </c>
      <c r="J9" s="126">
        <f t="shared" si="7"/>
        <v>1.131</v>
      </c>
      <c r="K9" s="72">
        <f t="shared" si="0"/>
        <v>23.751000000000001</v>
      </c>
      <c r="L9" s="72">
        <f t="shared" si="8"/>
        <v>0.17777777777777778</v>
      </c>
      <c r="M9" s="72">
        <v>32</v>
      </c>
      <c r="N9" s="72">
        <f t="shared" si="1"/>
        <v>8.2489999999999988</v>
      </c>
      <c r="O9" s="128">
        <f t="shared" si="2"/>
        <v>0.25778124999999996</v>
      </c>
      <c r="P9" s="8">
        <v>831</v>
      </c>
      <c r="Q9" s="9">
        <v>950</v>
      </c>
      <c r="R9" s="10">
        <v>1039</v>
      </c>
      <c r="S9" s="8">
        <f t="shared" si="9"/>
        <v>26592</v>
      </c>
      <c r="T9" s="9">
        <f t="shared" si="9"/>
        <v>30400</v>
      </c>
      <c r="U9" s="10">
        <f t="shared" si="9"/>
        <v>33248</v>
      </c>
      <c r="V9" s="114">
        <f t="shared" si="10"/>
        <v>19737.081000000002</v>
      </c>
      <c r="W9" s="115">
        <f t="shared" si="3"/>
        <v>22563.45</v>
      </c>
      <c r="X9" s="116">
        <f t="shared" si="4"/>
        <v>24677.289000000001</v>
      </c>
      <c r="Y9" s="8">
        <f t="shared" si="11"/>
        <v>6854.9189999999981</v>
      </c>
      <c r="Z9" s="9">
        <f t="shared" si="5"/>
        <v>7836.5499999999993</v>
      </c>
      <c r="AA9" s="10">
        <f t="shared" si="5"/>
        <v>8570.7109999999993</v>
      </c>
      <c r="AB9" s="11">
        <f t="shared" si="6"/>
        <v>23262.179999999997</v>
      </c>
      <c r="AC9" s="129"/>
      <c r="AD9" s="118"/>
      <c r="AE9" s="118"/>
      <c r="AF9" s="118"/>
      <c r="AG9" s="118"/>
      <c r="AH9" s="119">
        <v>3000</v>
      </c>
      <c r="AI9" s="119"/>
      <c r="AJ9" s="102">
        <f>VLOOKUP(D9,'Acamprosate  tab'!D8:AJ16,33,0)</f>
        <v>3570</v>
      </c>
      <c r="AK9" s="118"/>
    </row>
    <row r="10" spans="2:37" s="12" customFormat="1" x14ac:dyDescent="0.25">
      <c r="B10" s="2"/>
      <c r="C10" s="73"/>
      <c r="D10" s="23" t="s">
        <v>72</v>
      </c>
      <c r="E10" s="23"/>
      <c r="F10" s="23" t="s">
        <v>75</v>
      </c>
      <c r="G10" s="76">
        <v>1138</v>
      </c>
      <c r="H10" s="24">
        <v>180</v>
      </c>
      <c r="I10" s="77">
        <v>22.62</v>
      </c>
      <c r="J10" s="4">
        <f t="shared" si="7"/>
        <v>1.131</v>
      </c>
      <c r="K10" s="5">
        <f t="shared" si="0"/>
        <v>23.751000000000001</v>
      </c>
      <c r="L10" s="5">
        <f t="shared" si="8"/>
        <v>0.17777777777777778</v>
      </c>
      <c r="M10" s="5">
        <v>32</v>
      </c>
      <c r="N10" s="5">
        <f t="shared" si="1"/>
        <v>8.2489999999999988</v>
      </c>
      <c r="O10" s="13">
        <f>N10/M10</f>
        <v>0.25778124999999996</v>
      </c>
      <c r="P10" s="6">
        <v>788</v>
      </c>
      <c r="Q10" s="7">
        <v>900</v>
      </c>
      <c r="R10" s="98">
        <v>984</v>
      </c>
      <c r="S10" s="6">
        <f t="shared" si="9"/>
        <v>25216</v>
      </c>
      <c r="T10" s="7">
        <f t="shared" si="9"/>
        <v>28800</v>
      </c>
      <c r="U10" s="98">
        <f t="shared" si="9"/>
        <v>31488</v>
      </c>
      <c r="V10" s="21">
        <f t="shared" si="10"/>
        <v>18715.788</v>
      </c>
      <c r="W10" s="22">
        <f t="shared" si="3"/>
        <v>21375.9</v>
      </c>
      <c r="X10" s="20">
        <f t="shared" si="4"/>
        <v>23370.984</v>
      </c>
      <c r="Y10" s="8">
        <f t="shared" si="11"/>
        <v>6500.2119999999995</v>
      </c>
      <c r="Z10" s="9">
        <f t="shared" si="5"/>
        <v>7424.0999999999985</v>
      </c>
      <c r="AA10" s="10">
        <f t="shared" si="5"/>
        <v>8117.0159999999996</v>
      </c>
      <c r="AB10" s="11">
        <f t="shared" si="6"/>
        <v>22041.327999999998</v>
      </c>
      <c r="AC10" s="75"/>
      <c r="AD10" s="3"/>
      <c r="AE10" s="3"/>
      <c r="AF10" s="3"/>
      <c r="AG10" s="3"/>
      <c r="AH10" s="119">
        <v>1000</v>
      </c>
      <c r="AI10" s="59"/>
      <c r="AJ10" s="102">
        <f>VLOOKUP(D10,'Acamprosate  tab'!D9:AJ16,33,0)</f>
        <v>2270</v>
      </c>
      <c r="AK10" s="3"/>
    </row>
    <row r="11" spans="2:37" s="12" customFormat="1" x14ac:dyDescent="0.25">
      <c r="B11" s="2"/>
      <c r="C11" s="73"/>
      <c r="D11" s="23" t="s">
        <v>73</v>
      </c>
      <c r="E11" s="23"/>
      <c r="F11" s="23" t="s">
        <v>75</v>
      </c>
      <c r="G11" s="76">
        <v>1138</v>
      </c>
      <c r="H11" s="24">
        <v>180</v>
      </c>
      <c r="I11" s="77">
        <v>22.62</v>
      </c>
      <c r="J11" s="4">
        <f t="shared" si="7"/>
        <v>1.131</v>
      </c>
      <c r="K11" s="5">
        <f t="shared" si="0"/>
        <v>23.751000000000001</v>
      </c>
      <c r="L11" s="5">
        <f t="shared" si="8"/>
        <v>0.17777777777777778</v>
      </c>
      <c r="M11" s="5">
        <v>32</v>
      </c>
      <c r="N11" s="5">
        <f t="shared" si="1"/>
        <v>8.2489999999999988</v>
      </c>
      <c r="O11" s="13">
        <f t="shared" ref="O11:O13" si="12">N11/M11</f>
        <v>0.25778124999999996</v>
      </c>
      <c r="P11" s="6">
        <v>656</v>
      </c>
      <c r="Q11" s="7">
        <v>750</v>
      </c>
      <c r="R11" s="98">
        <v>820</v>
      </c>
      <c r="S11" s="6">
        <f t="shared" si="9"/>
        <v>20992</v>
      </c>
      <c r="T11" s="7">
        <f t="shared" si="9"/>
        <v>24000</v>
      </c>
      <c r="U11" s="98">
        <f t="shared" si="9"/>
        <v>26240</v>
      </c>
      <c r="V11" s="21">
        <f t="shared" si="10"/>
        <v>15580.656000000001</v>
      </c>
      <c r="W11" s="22">
        <f t="shared" si="3"/>
        <v>17813.25</v>
      </c>
      <c r="X11" s="20">
        <f t="shared" si="4"/>
        <v>19475.82</v>
      </c>
      <c r="Y11" s="8">
        <f t="shared" si="11"/>
        <v>5411.3439999999991</v>
      </c>
      <c r="Z11" s="9">
        <f t="shared" si="5"/>
        <v>6186.75</v>
      </c>
      <c r="AA11" s="10">
        <f t="shared" si="5"/>
        <v>6764.18</v>
      </c>
      <c r="AB11" s="11">
        <f t="shared" si="6"/>
        <v>18362.273999999998</v>
      </c>
      <c r="AC11" s="75"/>
      <c r="AD11" s="3"/>
      <c r="AE11" s="3"/>
      <c r="AF11" s="3"/>
      <c r="AG11" s="3"/>
      <c r="AH11" s="119">
        <v>2620</v>
      </c>
      <c r="AI11" s="59"/>
      <c r="AJ11" s="102">
        <f>VLOOKUP(D11,'Acamprosate  tab'!D10:AJ16,33,0)</f>
        <v>1070</v>
      </c>
      <c r="AK11" s="3"/>
    </row>
    <row r="12" spans="2:37" s="12" customFormat="1" x14ac:dyDescent="0.25">
      <c r="B12" s="2"/>
      <c r="C12" s="73"/>
      <c r="D12" s="23" t="s">
        <v>74</v>
      </c>
      <c r="E12" s="23"/>
      <c r="F12" s="23" t="s">
        <v>75</v>
      </c>
      <c r="G12" s="76">
        <v>1138</v>
      </c>
      <c r="H12" s="24">
        <v>180</v>
      </c>
      <c r="I12" s="77">
        <v>22.62</v>
      </c>
      <c r="J12" s="4">
        <f t="shared" si="7"/>
        <v>1.131</v>
      </c>
      <c r="K12" s="5">
        <f t="shared" si="0"/>
        <v>23.751000000000001</v>
      </c>
      <c r="L12" s="5">
        <f t="shared" si="8"/>
        <v>0.17777777777777778</v>
      </c>
      <c r="M12" s="5">
        <v>32</v>
      </c>
      <c r="N12" s="5">
        <f t="shared" si="1"/>
        <v>8.2489999999999988</v>
      </c>
      <c r="O12" s="13">
        <f t="shared" si="12"/>
        <v>0.25778124999999996</v>
      </c>
      <c r="P12" s="6">
        <v>525</v>
      </c>
      <c r="Q12" s="7">
        <v>600</v>
      </c>
      <c r="R12" s="98">
        <v>656</v>
      </c>
      <c r="S12" s="6">
        <f t="shared" si="9"/>
        <v>16800</v>
      </c>
      <c r="T12" s="7">
        <f t="shared" si="9"/>
        <v>19200</v>
      </c>
      <c r="U12" s="98">
        <f t="shared" si="9"/>
        <v>20992</v>
      </c>
      <c r="V12" s="21">
        <f t="shared" si="10"/>
        <v>12469.275000000001</v>
      </c>
      <c r="W12" s="22">
        <f t="shared" si="3"/>
        <v>14250.6</v>
      </c>
      <c r="X12" s="20">
        <f t="shared" si="4"/>
        <v>15580.656000000001</v>
      </c>
      <c r="Y12" s="8">
        <f t="shared" si="11"/>
        <v>4330.7249999999985</v>
      </c>
      <c r="Z12" s="9">
        <f t="shared" si="5"/>
        <v>4949.3999999999996</v>
      </c>
      <c r="AA12" s="10">
        <f t="shared" si="5"/>
        <v>5411.3439999999991</v>
      </c>
      <c r="AB12" s="11">
        <f t="shared" si="6"/>
        <v>14691.468999999997</v>
      </c>
      <c r="AC12" s="75"/>
      <c r="AD12" s="3"/>
      <c r="AE12" s="3"/>
      <c r="AF12" s="3"/>
      <c r="AG12" s="3"/>
      <c r="AH12" s="119">
        <v>3570</v>
      </c>
      <c r="AI12" s="59"/>
      <c r="AJ12" s="102">
        <f>VLOOKUP(D12,'Acamprosate  tab'!D11:AJ16,33,0)</f>
        <v>1460</v>
      </c>
      <c r="AK12" s="3"/>
    </row>
    <row r="13" spans="2:37" s="12" customFormat="1" x14ac:dyDescent="0.25">
      <c r="B13" s="2"/>
      <c r="C13" s="73"/>
      <c r="D13" s="23" t="s">
        <v>79</v>
      </c>
      <c r="E13" s="23"/>
      <c r="F13" s="23" t="s">
        <v>75</v>
      </c>
      <c r="G13" s="76">
        <v>1138</v>
      </c>
      <c r="H13" s="24">
        <v>180</v>
      </c>
      <c r="I13" s="77">
        <v>22.62</v>
      </c>
      <c r="J13" s="4">
        <f t="shared" si="7"/>
        <v>1.131</v>
      </c>
      <c r="K13" s="5">
        <f t="shared" si="0"/>
        <v>23.751000000000001</v>
      </c>
      <c r="L13" s="5">
        <f t="shared" si="8"/>
        <v>0.19444444444444445</v>
      </c>
      <c r="M13" s="5">
        <v>35</v>
      </c>
      <c r="N13" s="5">
        <f t="shared" si="1"/>
        <v>11.248999999999999</v>
      </c>
      <c r="O13" s="13">
        <f t="shared" si="12"/>
        <v>0.32139999999999996</v>
      </c>
      <c r="P13" s="6">
        <v>2000</v>
      </c>
      <c r="Q13" s="7">
        <v>3000</v>
      </c>
      <c r="R13" s="98">
        <v>4000</v>
      </c>
      <c r="S13" s="6">
        <f t="shared" si="9"/>
        <v>70000</v>
      </c>
      <c r="T13" s="7">
        <f t="shared" si="9"/>
        <v>105000</v>
      </c>
      <c r="U13" s="98">
        <f t="shared" si="9"/>
        <v>140000</v>
      </c>
      <c r="V13" s="21">
        <f t="shared" si="10"/>
        <v>47502</v>
      </c>
      <c r="W13" s="22">
        <f t="shared" si="3"/>
        <v>71253</v>
      </c>
      <c r="X13" s="20">
        <f t="shared" si="4"/>
        <v>95004</v>
      </c>
      <c r="Y13" s="8">
        <f t="shared" si="11"/>
        <v>22498</v>
      </c>
      <c r="Z13" s="9">
        <f t="shared" si="5"/>
        <v>33747</v>
      </c>
      <c r="AA13" s="10">
        <f t="shared" si="5"/>
        <v>44996</v>
      </c>
      <c r="AB13" s="11">
        <f t="shared" si="6"/>
        <v>101241</v>
      </c>
      <c r="AC13" s="75"/>
      <c r="AD13" s="3"/>
      <c r="AE13" s="3"/>
      <c r="AF13" s="3"/>
      <c r="AG13" s="3"/>
      <c r="AH13" s="119">
        <v>1070</v>
      </c>
      <c r="AI13" s="59"/>
      <c r="AJ13" s="102">
        <v>3300</v>
      </c>
      <c r="AK13" s="3"/>
    </row>
    <row r="14" spans="2:37" s="54" customFormat="1" x14ac:dyDescent="0.25">
      <c r="B14" s="142" t="s">
        <v>50</v>
      </c>
      <c r="C14" s="143"/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  <c r="Q14" s="143"/>
      <c r="R14" s="144"/>
      <c r="S14" s="58">
        <f t="shared" ref="S14:AB14" si="13">SUM(S4:S13)</f>
        <v>335950</v>
      </c>
      <c r="T14" s="58">
        <f t="shared" si="13"/>
        <v>498540</v>
      </c>
      <c r="U14" s="58">
        <f t="shared" si="13"/>
        <v>636418</v>
      </c>
      <c r="V14" s="58">
        <f t="shared" si="13"/>
        <v>222784.38</v>
      </c>
      <c r="W14" s="58">
        <f t="shared" si="13"/>
        <v>317265.85800000001</v>
      </c>
      <c r="X14" s="58">
        <f t="shared" si="13"/>
        <v>404265.77100000001</v>
      </c>
      <c r="Y14" s="58">
        <f t="shared" si="13"/>
        <v>113165.62</v>
      </c>
      <c r="Z14" s="58">
        <f t="shared" si="13"/>
        <v>181274.14199999999</v>
      </c>
      <c r="AA14" s="58">
        <f t="shared" si="13"/>
        <v>232152.22900000002</v>
      </c>
      <c r="AB14" s="58">
        <f t="shared" si="13"/>
        <v>526591.99099999992</v>
      </c>
      <c r="AC14" s="58">
        <v>77225</v>
      </c>
      <c r="AD14" s="55">
        <v>0</v>
      </c>
      <c r="AE14" s="55">
        <v>0</v>
      </c>
      <c r="AF14" s="55">
        <v>0</v>
      </c>
      <c r="AG14" s="58">
        <v>15000</v>
      </c>
      <c r="AH14" s="58">
        <f>SUM(AH4:AH13)</f>
        <v>29260</v>
      </c>
      <c r="AI14" s="58">
        <v>15000</v>
      </c>
      <c r="AJ14" s="57">
        <f>SUM(AC14:AI14)</f>
        <v>136485</v>
      </c>
      <c r="AK14" s="56"/>
    </row>
  </sheetData>
  <mergeCells count="25">
    <mergeCell ref="AI2:AI3"/>
    <mergeCell ref="AJ2:AJ3"/>
    <mergeCell ref="AK2:AK3"/>
    <mergeCell ref="B14:R14"/>
    <mergeCell ref="AC2:AC3"/>
    <mergeCell ref="AD2:AD3"/>
    <mergeCell ref="AE2:AE3"/>
    <mergeCell ref="AF2:AF3"/>
    <mergeCell ref="AG2:AG3"/>
    <mergeCell ref="AH2:AH3"/>
    <mergeCell ref="K2:K3"/>
    <mergeCell ref="L2:L3"/>
    <mergeCell ref="M2:M3"/>
    <mergeCell ref="N2:N3"/>
    <mergeCell ref="P2:AA2"/>
    <mergeCell ref="AB2:AB3"/>
    <mergeCell ref="G2:G3"/>
    <mergeCell ref="H2:H3"/>
    <mergeCell ref="I2:I3"/>
    <mergeCell ref="J2:J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39997558519241921"/>
  </sheetPr>
  <dimension ref="B1:S12"/>
  <sheetViews>
    <sheetView workbookViewId="0">
      <selection activeCell="G10" sqref="G10"/>
    </sheetView>
  </sheetViews>
  <sheetFormatPr defaultRowHeight="15" x14ac:dyDescent="0.25"/>
  <cols>
    <col min="2" max="2" width="5.85546875" bestFit="1" customWidth="1"/>
    <col min="3" max="3" width="19.85546875" bestFit="1" customWidth="1"/>
    <col min="4" max="4" width="10.42578125" bestFit="1" customWidth="1"/>
    <col min="5" max="5" width="14.5703125" customWidth="1"/>
    <col min="8" max="8" width="10" bestFit="1" customWidth="1"/>
    <col min="9" max="9" width="0.5703125" customWidth="1"/>
    <col min="10" max="10" width="10" bestFit="1" customWidth="1"/>
    <col min="11" max="11" width="14.28515625" customWidth="1"/>
    <col min="12" max="12" width="10" bestFit="1" customWidth="1"/>
    <col min="13" max="13" width="0" hidden="1" customWidth="1"/>
    <col min="15" max="15" width="0.5703125" customWidth="1"/>
    <col min="18" max="18" width="0" hidden="1" customWidth="1"/>
  </cols>
  <sheetData>
    <row r="1" spans="2:19" x14ac:dyDescent="0.25">
      <c r="H1" s="60" t="s">
        <v>52</v>
      </c>
    </row>
    <row r="3" spans="2:19" ht="45" x14ac:dyDescent="0.25">
      <c r="B3" s="25" t="s">
        <v>34</v>
      </c>
      <c r="C3" s="25" t="s">
        <v>35</v>
      </c>
      <c r="D3" s="26" t="s">
        <v>1</v>
      </c>
      <c r="E3" s="26" t="s">
        <v>36</v>
      </c>
      <c r="F3" s="27" t="s">
        <v>5</v>
      </c>
      <c r="G3" s="27" t="s">
        <v>37</v>
      </c>
      <c r="H3" s="28" t="s">
        <v>38</v>
      </c>
      <c r="I3" s="29"/>
      <c r="J3" s="28" t="s">
        <v>39</v>
      </c>
      <c r="K3" s="28" t="s">
        <v>40</v>
      </c>
      <c r="L3" s="28" t="s">
        <v>41</v>
      </c>
      <c r="M3" s="28" t="s">
        <v>42</v>
      </c>
      <c r="N3" s="28" t="s">
        <v>43</v>
      </c>
      <c r="O3" s="30"/>
      <c r="P3" s="31" t="s">
        <v>44</v>
      </c>
      <c r="Q3" s="28" t="s">
        <v>45</v>
      </c>
      <c r="R3" s="32" t="s">
        <v>46</v>
      </c>
      <c r="S3" s="28" t="s">
        <v>47</v>
      </c>
    </row>
    <row r="4" spans="2:19" x14ac:dyDescent="0.25">
      <c r="B4" s="33"/>
      <c r="C4" s="34" t="str">
        <f>Revised!B4</f>
        <v>Acamprosate EC Tabs</v>
      </c>
      <c r="D4" s="33" t="str">
        <f>Revised!C4</f>
        <v>333mg</v>
      </c>
      <c r="E4" s="35" t="str">
        <f>Russia!C3</f>
        <v>Russia</v>
      </c>
      <c r="F4" s="33">
        <f>Russia!G3</f>
        <v>180</v>
      </c>
      <c r="G4" s="36"/>
      <c r="H4" s="37"/>
      <c r="I4" s="38"/>
      <c r="J4" s="37">
        <f>Russia!R3</f>
        <v>175000</v>
      </c>
      <c r="K4" s="37">
        <f>Russia!X3</f>
        <v>56245</v>
      </c>
      <c r="L4" s="37">
        <f t="shared" ref="L4" si="0">K4*70%</f>
        <v>39371.5</v>
      </c>
      <c r="M4" s="39"/>
      <c r="N4" s="39"/>
      <c r="O4" s="43"/>
      <c r="P4" s="40"/>
      <c r="Q4" s="41"/>
      <c r="R4" s="42"/>
      <c r="S4" s="39"/>
    </row>
    <row r="5" spans="2:19" x14ac:dyDescent="0.25">
      <c r="B5" s="44"/>
      <c r="C5" s="45" t="s">
        <v>49</v>
      </c>
      <c r="D5" s="45"/>
      <c r="E5" s="45"/>
      <c r="F5" s="44"/>
      <c r="G5" s="46"/>
      <c r="H5" s="47">
        <f>Russia!AI4*70%</f>
        <v>175000</v>
      </c>
      <c r="I5" s="48"/>
      <c r="J5" s="47">
        <f>SUM(J4:J4)</f>
        <v>175000</v>
      </c>
      <c r="K5" s="47">
        <f>SUM(K4:K4)</f>
        <v>56245</v>
      </c>
      <c r="L5" s="47">
        <f>SUM(L4:L4)</f>
        <v>39371.5</v>
      </c>
      <c r="M5" s="49"/>
      <c r="N5" s="49">
        <f>H5/L5*12</f>
        <v>53.33807449551071</v>
      </c>
      <c r="O5" s="50"/>
      <c r="P5" s="51"/>
      <c r="Q5" s="52"/>
      <c r="R5" s="53"/>
      <c r="S5" s="49"/>
    </row>
    <row r="11" spans="2:19" x14ac:dyDescent="0.25">
      <c r="B11" s="61" t="s">
        <v>53</v>
      </c>
      <c r="C11" s="61"/>
      <c r="D11" s="61"/>
      <c r="E11" s="61" t="s">
        <v>54</v>
      </c>
      <c r="F11" s="62"/>
      <c r="G11" s="12"/>
      <c r="H11" s="63"/>
      <c r="I11" s="63"/>
      <c r="J11" s="63"/>
      <c r="K11" s="63" t="s">
        <v>55</v>
      </c>
      <c r="L11" s="64"/>
      <c r="M11" s="64"/>
      <c r="N11" s="64"/>
      <c r="O11" s="65"/>
      <c r="P11" s="64"/>
      <c r="Q11" s="66" t="s">
        <v>56</v>
      </c>
      <c r="R11" s="64"/>
      <c r="S11" s="64"/>
    </row>
    <row r="12" spans="2:19" x14ac:dyDescent="0.25">
      <c r="B12" s="67" t="s">
        <v>57</v>
      </c>
      <c r="C12" s="68"/>
      <c r="D12" s="69"/>
      <c r="E12" s="68" t="s">
        <v>58</v>
      </c>
      <c r="F12" s="69"/>
      <c r="G12" s="54"/>
      <c r="H12" s="70"/>
      <c r="I12" s="70"/>
      <c r="J12" s="70"/>
      <c r="K12" s="70" t="s">
        <v>59</v>
      </c>
      <c r="L12" s="69"/>
      <c r="M12" s="69"/>
      <c r="N12" s="54"/>
      <c r="O12" s="54"/>
      <c r="P12" s="69"/>
      <c r="Q12" s="54"/>
      <c r="R12" s="69"/>
      <c r="S12" s="70" t="s">
        <v>60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J12"/>
  <sheetViews>
    <sheetView workbookViewId="0">
      <selection activeCell="AI3" sqref="AI3"/>
    </sheetView>
  </sheetViews>
  <sheetFormatPr defaultRowHeight="15" x14ac:dyDescent="0.25"/>
  <cols>
    <col min="15" max="15" width="14.28515625" bestFit="1" customWidth="1"/>
    <col min="25" max="26" width="9.7109375" bestFit="1" customWidth="1"/>
    <col min="27" max="27" width="18.42578125" bestFit="1" customWidth="1"/>
  </cols>
  <sheetData>
    <row r="1" spans="1:36" x14ac:dyDescent="0.25">
      <c r="A1" s="145" t="s">
        <v>0</v>
      </c>
      <c r="B1" s="145" t="s">
        <v>1</v>
      </c>
      <c r="C1" s="145" t="s">
        <v>2</v>
      </c>
      <c r="D1" s="138" t="s">
        <v>51</v>
      </c>
      <c r="E1" s="145" t="s">
        <v>3</v>
      </c>
      <c r="F1" s="138" t="s">
        <v>4</v>
      </c>
      <c r="G1" s="138" t="s">
        <v>5</v>
      </c>
      <c r="H1" s="138" t="s">
        <v>6</v>
      </c>
      <c r="I1" s="138" t="s">
        <v>7</v>
      </c>
      <c r="J1" s="148" t="s">
        <v>8</v>
      </c>
      <c r="K1" s="140" t="s">
        <v>9</v>
      </c>
      <c r="L1" s="151" t="s">
        <v>10</v>
      </c>
      <c r="M1" s="151" t="s">
        <v>11</v>
      </c>
      <c r="N1" s="135"/>
      <c r="O1" s="153" t="s">
        <v>12</v>
      </c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5"/>
      <c r="AA1" s="140" t="s">
        <v>76</v>
      </c>
      <c r="AB1" s="140" t="s">
        <v>13</v>
      </c>
      <c r="AC1" s="140" t="s">
        <v>14</v>
      </c>
      <c r="AD1" s="140" t="s">
        <v>15</v>
      </c>
      <c r="AE1" s="140" t="s">
        <v>16</v>
      </c>
      <c r="AF1" s="138" t="s">
        <v>77</v>
      </c>
      <c r="AG1" s="138" t="s">
        <v>17</v>
      </c>
      <c r="AH1" s="140" t="s">
        <v>18</v>
      </c>
      <c r="AI1" s="138" t="s">
        <v>19</v>
      </c>
      <c r="AJ1" s="140" t="s">
        <v>20</v>
      </c>
    </row>
    <row r="2" spans="1:36" x14ac:dyDescent="0.25">
      <c r="A2" s="146"/>
      <c r="B2" s="146"/>
      <c r="C2" s="146"/>
      <c r="D2" s="147"/>
      <c r="E2" s="146"/>
      <c r="F2" s="147"/>
      <c r="G2" s="147"/>
      <c r="H2" s="147"/>
      <c r="I2" s="147"/>
      <c r="J2" s="149"/>
      <c r="K2" s="150"/>
      <c r="L2" s="152"/>
      <c r="M2" s="152"/>
      <c r="N2" s="136" t="s">
        <v>21</v>
      </c>
      <c r="O2" s="78" t="s">
        <v>22</v>
      </c>
      <c r="P2" s="79" t="s">
        <v>23</v>
      </c>
      <c r="Q2" s="80" t="s">
        <v>24</v>
      </c>
      <c r="R2" s="78" t="s">
        <v>25</v>
      </c>
      <c r="S2" s="79" t="s">
        <v>26</v>
      </c>
      <c r="T2" s="80" t="s">
        <v>27</v>
      </c>
      <c r="U2" s="14" t="s">
        <v>28</v>
      </c>
      <c r="V2" s="15" t="s">
        <v>29</v>
      </c>
      <c r="W2" s="16" t="s">
        <v>30</v>
      </c>
      <c r="X2" s="17" t="s">
        <v>31</v>
      </c>
      <c r="Y2" s="18" t="s">
        <v>32</v>
      </c>
      <c r="Z2" s="19" t="s">
        <v>33</v>
      </c>
      <c r="AA2" s="141"/>
      <c r="AB2" s="141"/>
      <c r="AC2" s="141"/>
      <c r="AD2" s="141"/>
      <c r="AE2" s="141"/>
      <c r="AF2" s="139"/>
      <c r="AG2" s="139"/>
      <c r="AH2" s="141"/>
      <c r="AI2" s="139"/>
      <c r="AJ2" s="141"/>
    </row>
    <row r="3" spans="1:36" x14ac:dyDescent="0.25">
      <c r="A3" s="103" t="s">
        <v>61</v>
      </c>
      <c r="B3" s="104" t="s">
        <v>62</v>
      </c>
      <c r="C3" s="23" t="s">
        <v>78</v>
      </c>
      <c r="D3" s="23"/>
      <c r="E3" s="23" t="s">
        <v>75</v>
      </c>
      <c r="F3" s="76">
        <v>1138</v>
      </c>
      <c r="G3" s="24">
        <v>180</v>
      </c>
      <c r="H3" s="77">
        <v>22.62</v>
      </c>
      <c r="I3" s="4">
        <f t="shared" ref="I3" si="0">H3*5%</f>
        <v>1.131</v>
      </c>
      <c r="J3" s="5">
        <f t="shared" ref="J3" si="1">H3+I3</f>
        <v>23.751000000000001</v>
      </c>
      <c r="K3" s="5">
        <f t="shared" ref="K3" si="2">L3/G3</f>
        <v>0.19444444444444445</v>
      </c>
      <c r="L3" s="5">
        <v>35</v>
      </c>
      <c r="M3" s="5">
        <f t="shared" ref="M3" si="3">L3-J3</f>
        <v>11.248999999999999</v>
      </c>
      <c r="N3" s="13">
        <f t="shared" ref="N3" si="4">M3/L3</f>
        <v>0.32139999999999996</v>
      </c>
      <c r="O3" s="6">
        <v>5000</v>
      </c>
      <c r="P3" s="7">
        <v>10000</v>
      </c>
      <c r="Q3" s="98">
        <v>15000</v>
      </c>
      <c r="R3" s="6">
        <f>$L3*O3</f>
        <v>175000</v>
      </c>
      <c r="S3" s="7">
        <f>$L3*P3</f>
        <v>350000</v>
      </c>
      <c r="T3" s="98">
        <f>$L3*Q3</f>
        <v>525000</v>
      </c>
      <c r="U3" s="21">
        <f>J3*O3</f>
        <v>118755</v>
      </c>
      <c r="V3" s="22">
        <f t="shared" ref="V3" si="5">J3*P3</f>
        <v>237510</v>
      </c>
      <c r="W3" s="20">
        <f t="shared" ref="W3" si="6">J3*Q3</f>
        <v>356265</v>
      </c>
      <c r="X3" s="8">
        <f>R3-U3</f>
        <v>56245</v>
      </c>
      <c r="Y3" s="9">
        <f t="shared" ref="Y3:Z3" si="7">S3-V3</f>
        <v>112490</v>
      </c>
      <c r="Z3" s="10">
        <f t="shared" si="7"/>
        <v>168735</v>
      </c>
      <c r="AA3" s="11">
        <f t="shared" ref="AA3" si="8">X3+Y3+Z3</f>
        <v>337470</v>
      </c>
      <c r="AB3" s="75"/>
      <c r="AC3" s="3"/>
      <c r="AD3" s="3"/>
      <c r="AE3" s="3"/>
      <c r="AF3" s="3"/>
      <c r="AG3" s="119"/>
      <c r="AH3" s="59"/>
      <c r="AI3" s="102">
        <v>0</v>
      </c>
      <c r="AJ3" s="3"/>
    </row>
    <row r="4" spans="1:36" x14ac:dyDescent="0.25">
      <c r="A4" s="142" t="s">
        <v>50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4"/>
      <c r="R4" s="58">
        <f t="shared" ref="R4:AA4" si="9">SUM(R3:R3)</f>
        <v>175000</v>
      </c>
      <c r="S4" s="58">
        <f t="shared" si="9"/>
        <v>350000</v>
      </c>
      <c r="T4" s="58">
        <f t="shared" si="9"/>
        <v>525000</v>
      </c>
      <c r="U4" s="58">
        <f t="shared" si="9"/>
        <v>118755</v>
      </c>
      <c r="V4" s="58">
        <f t="shared" si="9"/>
        <v>237510</v>
      </c>
      <c r="W4" s="58">
        <f t="shared" si="9"/>
        <v>356265</v>
      </c>
      <c r="X4" s="58">
        <f t="shared" si="9"/>
        <v>56245</v>
      </c>
      <c r="Y4" s="58">
        <f t="shared" si="9"/>
        <v>112490</v>
      </c>
      <c r="Z4" s="58">
        <f t="shared" si="9"/>
        <v>168735</v>
      </c>
      <c r="AA4" s="58">
        <f t="shared" si="9"/>
        <v>337470</v>
      </c>
      <c r="AB4" s="58"/>
      <c r="AC4" s="55">
        <v>0</v>
      </c>
      <c r="AD4" s="55">
        <v>0</v>
      </c>
      <c r="AE4" s="55">
        <v>0</v>
      </c>
      <c r="AF4" s="58"/>
      <c r="AG4" s="58">
        <f>SUM(AG3:AG3)</f>
        <v>0</v>
      </c>
      <c r="AH4" s="58"/>
      <c r="AI4" s="57">
        <v>250000</v>
      </c>
      <c r="AJ4" s="56"/>
    </row>
    <row r="11" spans="1:36" x14ac:dyDescent="0.25">
      <c r="O11">
        <v>250000</v>
      </c>
    </row>
    <row r="12" spans="1:36" x14ac:dyDescent="0.25">
      <c r="O12" s="137">
        <f>O11*70</f>
        <v>17500000</v>
      </c>
    </row>
  </sheetData>
  <mergeCells count="25">
    <mergeCell ref="F1:F2"/>
    <mergeCell ref="AI1:AI2"/>
    <mergeCell ref="AJ1:AJ2"/>
    <mergeCell ref="M1:M2"/>
    <mergeCell ref="O1:Z1"/>
    <mergeCell ref="AA1:AA2"/>
    <mergeCell ref="AB1:AB2"/>
    <mergeCell ref="AC1:AC2"/>
    <mergeCell ref="AD1:AD2"/>
    <mergeCell ref="A4:Q4"/>
    <mergeCell ref="AE1:AE2"/>
    <mergeCell ref="AF1:AF2"/>
    <mergeCell ref="AG1:AG2"/>
    <mergeCell ref="AH1:AH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PIDF</vt:lpstr>
      <vt:lpstr>Acamprosate  tab</vt:lpstr>
      <vt:lpstr>PIDF1</vt:lpstr>
      <vt:lpstr>Revised</vt:lpstr>
      <vt:lpstr>PIDF_Russia</vt:lpstr>
      <vt:lpstr>Russia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Vikram</dc:creator>
  <cp:lastModifiedBy>Patil, Rahul A.</cp:lastModifiedBy>
  <cp:lastPrinted>2019-05-06T11:12:21Z</cp:lastPrinted>
  <dcterms:created xsi:type="dcterms:W3CDTF">2019-03-06T11:00:29Z</dcterms:created>
  <dcterms:modified xsi:type="dcterms:W3CDTF">2021-03-23T12:04:04Z</dcterms:modified>
</cp:coreProperties>
</file>