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2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3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drawings/drawing4.xml" ContentType="application/vnd.openxmlformats-officedocument.drawing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drawings/drawing5.xml" ContentType="application/vnd.openxmlformats-officedocument.drawing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drawings/drawing6.xml" ContentType="application/vnd.openxmlformats-officedocument.drawing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hula.Patil\Desktop\"/>
    </mc:Choice>
  </mc:AlternateContent>
  <bookViews>
    <workbookView xWindow="0" yWindow="0" windowWidth="20490" windowHeight="7650" tabRatio="684" activeTab="1"/>
  </bookViews>
  <sheets>
    <sheet name="1.PM" sheetId="27" r:id="rId1"/>
    <sheet name="2.1.FDGL-US" sheetId="28" r:id="rId2"/>
    <sheet name="2.2.FDGL-EU" sheetId="40" r:id="rId3"/>
    <sheet name="2.3.FDGL-Canada" sheetId="41" r:id="rId4"/>
    <sheet name="2.4.FDGL-ROW" sheetId="42" r:id="rId5"/>
    <sheet name="2.5.FDGL-Domestic" sheetId="43" r:id="rId6"/>
    <sheet name="3.IPD" sheetId="35" r:id="rId7"/>
    <sheet name="PIF" sheetId="18" r:id="rId8"/>
    <sheet name="Project Charter." sheetId="33" r:id="rId9"/>
    <sheet name="Activity Duration" sheetId="29" state="hidden" r:id="rId10"/>
    <sheet name="Graphs" sheetId="38" r:id="rId11"/>
    <sheet name="List" sheetId="16" r:id="rId12"/>
    <sheet name="RACI" sheetId="8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11" hidden="1">List!$Y$1:$Y$5</definedName>
    <definedName name="_xlnm.Print_Area" localSheetId="0">'1.PM'!$B$2:$R$35</definedName>
    <definedName name="_xlnm.Print_Area" localSheetId="1">'2.1.FDGL-US'!$A$1:$P$391</definedName>
    <definedName name="_xlnm.Print_Area" localSheetId="2">'2.2.FDGL-EU'!$A$1:$P$72</definedName>
    <definedName name="_xlnm.Print_Area" localSheetId="3">'2.3.FDGL-Canada'!$A$1:$P$72</definedName>
    <definedName name="_xlnm.Print_Area" localSheetId="4">'2.4.FDGL-ROW'!$A$1:$P$72</definedName>
    <definedName name="_xlnm.Print_Area" localSheetId="5">'2.5.FDGL-Domestic'!$A$1:$P$72</definedName>
    <definedName name="_xlnm.Print_Area" localSheetId="6">'3.IPD'!$B$2:$M$34</definedName>
    <definedName name="_xlnm.Print_Area" localSheetId="10">Graphs!$B$2:$O$53</definedName>
    <definedName name="_xlnm.Print_Area" localSheetId="7">PIF!$B$2:$X$40</definedName>
    <definedName name="_xlnm.Print_Area" localSheetId="8">'Project Charter.'!$B$2:$Q$61</definedName>
    <definedName name="_xlnm.Print_Titles" localSheetId="1">'2.1.FDGL-US'!$2:$9</definedName>
    <definedName name="_xlnm.Print_Titles" localSheetId="2">'2.2.FDGL-EU'!$2:$5</definedName>
    <definedName name="_xlnm.Print_Titles" localSheetId="3">'2.3.FDGL-Canada'!$2:$5</definedName>
    <definedName name="_xlnm.Print_Titles" localSheetId="4">'2.4.FDGL-ROW'!$2:$5</definedName>
    <definedName name="_xlnm.Print_Titles" localSheetId="5">'2.5.FDGL-Domestic'!$2:$5</definedName>
    <definedName name="_xlnm.Print_Titles" localSheetId="10">Graphs!$2:$5</definedName>
  </definedNames>
  <calcPr calcId="162913"/>
</workbook>
</file>

<file path=xl/calcChain.xml><?xml version="1.0" encoding="utf-8"?>
<calcChain xmlns="http://schemas.openxmlformats.org/spreadsheetml/2006/main">
  <c r="B171" i="28" l="1"/>
  <c r="B170" i="28"/>
  <c r="B159" i="28"/>
  <c r="B158" i="28"/>
  <c r="B260" i="28" l="1"/>
  <c r="B259" i="28"/>
  <c r="B258" i="28"/>
  <c r="B257" i="28"/>
  <c r="B256" i="28"/>
  <c r="B255" i="28"/>
  <c r="B254" i="28"/>
  <c r="B253" i="28"/>
  <c r="B252" i="28"/>
  <c r="B251" i="28"/>
  <c r="B250" i="28"/>
  <c r="B249" i="28"/>
  <c r="B248" i="28"/>
  <c r="B239" i="28"/>
  <c r="B238" i="28"/>
  <c r="B237" i="28"/>
  <c r="B236" i="28"/>
  <c r="B235" i="28"/>
  <c r="B234" i="28"/>
  <c r="B233" i="28"/>
  <c r="B232" i="28"/>
  <c r="B231" i="28"/>
  <c r="B230" i="28"/>
  <c r="B229" i="28"/>
  <c r="B228" i="28"/>
  <c r="B227" i="28"/>
  <c r="B211" i="28"/>
  <c r="B210" i="28"/>
  <c r="B209" i="28"/>
  <c r="B208" i="28"/>
  <c r="B207" i="28"/>
  <c r="B206" i="28"/>
  <c r="B205" i="28"/>
  <c r="B204" i="28"/>
  <c r="B203" i="28"/>
  <c r="B202" i="28"/>
  <c r="B201" i="28"/>
  <c r="B200" i="28"/>
  <c r="B199" i="28"/>
  <c r="B198" i="28"/>
  <c r="B197" i="28"/>
  <c r="B196" i="28"/>
  <c r="B195" i="28"/>
  <c r="J8" i="28" l="1"/>
  <c r="N15" i="27" l="1"/>
  <c r="G18" i="18" l="1"/>
  <c r="H17" i="18"/>
  <c r="G17" i="18"/>
  <c r="L13" i="33" l="1"/>
  <c r="S12" i="18"/>
  <c r="L11" i="33" l="1"/>
  <c r="L12" i="33"/>
  <c r="L18" i="33"/>
  <c r="L16" i="33"/>
  <c r="M25" i="28"/>
  <c r="O16" i="33"/>
  <c r="O15" i="33"/>
  <c r="N16" i="33"/>
  <c r="N15" i="33"/>
  <c r="M16" i="33"/>
  <c r="L15" i="33"/>
  <c r="L25" i="33"/>
  <c r="M25" i="33"/>
  <c r="N25" i="33"/>
  <c r="O25" i="33"/>
  <c r="P25" i="33"/>
  <c r="L16" i="18" l="1"/>
  <c r="K16" i="18"/>
  <c r="I16" i="18"/>
  <c r="H16" i="18"/>
  <c r="G16" i="18"/>
  <c r="G19" i="18"/>
  <c r="P10" i="33"/>
  <c r="O10" i="33"/>
  <c r="N10" i="33"/>
  <c r="M10" i="33"/>
  <c r="W10" i="18" l="1"/>
  <c r="V10" i="18"/>
  <c r="U10" i="18"/>
  <c r="T10" i="18"/>
  <c r="S10" i="18"/>
  <c r="L10" i="33" l="1"/>
  <c r="O38" i="18" l="1"/>
  <c r="R38" i="18"/>
  <c r="Q38" i="18" s="1"/>
  <c r="P38" i="18" s="1"/>
  <c r="B66" i="41" l="1"/>
  <c r="B376" i="28" l="1"/>
  <c r="J23" i="18"/>
  <c r="N19" i="33"/>
  <c r="O19" i="33"/>
  <c r="L19" i="33"/>
  <c r="F38" i="18"/>
  <c r="G277" i="28" l="1"/>
  <c r="B261" i="28" l="1"/>
  <c r="B262" i="28"/>
  <c r="B263" i="28"/>
  <c r="B264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D5" i="33" l="1"/>
  <c r="J22" i="18"/>
  <c r="B25" i="35"/>
  <c r="B24" i="35"/>
  <c r="B10" i="35"/>
  <c r="G4" i="40"/>
  <c r="H4" i="40"/>
  <c r="I4" i="40"/>
  <c r="J4" i="40"/>
  <c r="K4" i="40"/>
  <c r="L4" i="40"/>
  <c r="M4" i="40"/>
  <c r="N4" i="40"/>
  <c r="O4" i="40"/>
  <c r="F313" i="28"/>
  <c r="G313" i="28"/>
  <c r="H313" i="28"/>
  <c r="I313" i="28"/>
  <c r="J313" i="28"/>
  <c r="K313" i="28"/>
  <c r="L313" i="28"/>
  <c r="M313" i="28"/>
  <c r="N313" i="28"/>
  <c r="O313" i="28"/>
  <c r="G311" i="28"/>
  <c r="H311" i="28"/>
  <c r="I311" i="28"/>
  <c r="J311" i="28"/>
  <c r="K311" i="28"/>
  <c r="L311" i="28"/>
  <c r="M311" i="28"/>
  <c r="N311" i="28"/>
  <c r="O311" i="28"/>
  <c r="G309" i="28"/>
  <c r="H309" i="28"/>
  <c r="I309" i="28"/>
  <c r="J309" i="28"/>
  <c r="K309" i="28"/>
  <c r="L309" i="28"/>
  <c r="M309" i="28"/>
  <c r="N309" i="28"/>
  <c r="O309" i="28"/>
  <c r="E299" i="28"/>
  <c r="F299" i="28"/>
  <c r="G299" i="28"/>
  <c r="H299" i="28"/>
  <c r="I299" i="28"/>
  <c r="J299" i="28"/>
  <c r="K299" i="28"/>
  <c r="L299" i="28"/>
  <c r="M299" i="28"/>
  <c r="N299" i="28"/>
  <c r="O299" i="28"/>
  <c r="G297" i="28"/>
  <c r="H297" i="28"/>
  <c r="I297" i="28"/>
  <c r="J297" i="28"/>
  <c r="K297" i="28"/>
  <c r="L297" i="28"/>
  <c r="M297" i="28"/>
  <c r="N297" i="28"/>
  <c r="O297" i="28"/>
  <c r="G295" i="28"/>
  <c r="H295" i="28"/>
  <c r="I295" i="28"/>
  <c r="J295" i="28"/>
  <c r="K295" i="28"/>
  <c r="L295" i="28"/>
  <c r="M295" i="28"/>
  <c r="N295" i="28"/>
  <c r="O295" i="28"/>
  <c r="G293" i="28"/>
  <c r="H293" i="28"/>
  <c r="I293" i="28"/>
  <c r="J293" i="28"/>
  <c r="K293" i="28"/>
  <c r="L293" i="28"/>
  <c r="M293" i="28"/>
  <c r="N293" i="28"/>
  <c r="O293" i="28"/>
  <c r="H291" i="28"/>
  <c r="I291" i="28"/>
  <c r="J291" i="28"/>
  <c r="K291" i="28"/>
  <c r="L291" i="28"/>
  <c r="M291" i="28"/>
  <c r="N291" i="28"/>
  <c r="O291" i="28"/>
  <c r="H289" i="28"/>
  <c r="I289" i="28"/>
  <c r="J289" i="28"/>
  <c r="K289" i="28"/>
  <c r="L289" i="28"/>
  <c r="M289" i="28"/>
  <c r="N289" i="28"/>
  <c r="O289" i="28"/>
  <c r="D309" i="28"/>
  <c r="D311" i="28"/>
  <c r="D297" i="28"/>
  <c r="D295" i="28"/>
  <c r="D26" i="28"/>
  <c r="D27" i="28"/>
  <c r="D28" i="28"/>
  <c r="D29" i="28"/>
  <c r="D30" i="28"/>
  <c r="B12" i="35" l="1"/>
  <c r="B14" i="35" s="1"/>
  <c r="P377" i="28" l="1"/>
  <c r="O351" i="28"/>
  <c r="D351" i="28"/>
  <c r="D355" i="28"/>
  <c r="R351" i="28"/>
  <c r="E354" i="28" l="1"/>
  <c r="I354" i="28"/>
  <c r="O354" i="28"/>
  <c r="M354" i="28"/>
  <c r="H354" i="28"/>
  <c r="L354" i="28"/>
  <c r="G354" i="28"/>
  <c r="K354" i="28"/>
  <c r="F354" i="28"/>
  <c r="N354" i="28"/>
  <c r="J354" i="28"/>
  <c r="D354" i="28"/>
  <c r="P357" i="28"/>
  <c r="O357" i="28"/>
  <c r="U358" i="28"/>
  <c r="E48" i="27"/>
  <c r="E52" i="27" s="1"/>
  <c r="F48" i="27"/>
  <c r="F52" i="27" s="1"/>
  <c r="G48" i="27"/>
  <c r="G52" i="27" s="1"/>
  <c r="H48" i="27"/>
  <c r="H52" i="27" s="1"/>
  <c r="I48" i="27"/>
  <c r="I52" i="27" s="1"/>
  <c r="J48" i="27"/>
  <c r="J52" i="27" s="1"/>
  <c r="K48" i="27"/>
  <c r="K52" i="27" s="1"/>
  <c r="L48" i="27"/>
  <c r="L52" i="27" s="1"/>
  <c r="M48" i="27"/>
  <c r="M52" i="27" s="1"/>
  <c r="N48" i="27"/>
  <c r="N52" i="27" s="1"/>
  <c r="E49" i="27"/>
  <c r="E53" i="27" s="1"/>
  <c r="F49" i="27"/>
  <c r="F53" i="27" s="1"/>
  <c r="G49" i="27"/>
  <c r="G53" i="27" s="1"/>
  <c r="H49" i="27"/>
  <c r="H53" i="27" s="1"/>
  <c r="I49" i="27"/>
  <c r="I53" i="27" s="1"/>
  <c r="J49" i="27"/>
  <c r="J53" i="27" s="1"/>
  <c r="K49" i="27"/>
  <c r="K53" i="27" s="1"/>
  <c r="L49" i="27"/>
  <c r="L53" i="27" s="1"/>
  <c r="M49" i="27"/>
  <c r="M53" i="27" s="1"/>
  <c r="N49" i="27"/>
  <c r="N53" i="27" s="1"/>
  <c r="E50" i="27"/>
  <c r="E54" i="27" s="1"/>
  <c r="F50" i="27"/>
  <c r="F54" i="27" s="1"/>
  <c r="G50" i="27"/>
  <c r="G54" i="27" s="1"/>
  <c r="H50" i="27"/>
  <c r="H54" i="27" s="1"/>
  <c r="I50" i="27"/>
  <c r="I54" i="27" s="1"/>
  <c r="J50" i="27"/>
  <c r="J54" i="27" s="1"/>
  <c r="K50" i="27"/>
  <c r="K54" i="27" s="1"/>
  <c r="L50" i="27"/>
  <c r="L54" i="27" s="1"/>
  <c r="M50" i="27"/>
  <c r="M54" i="27" s="1"/>
  <c r="N50" i="27"/>
  <c r="N54" i="27" s="1"/>
  <c r="E51" i="27"/>
  <c r="E55" i="27" s="1"/>
  <c r="F51" i="27"/>
  <c r="F55" i="27" s="1"/>
  <c r="G51" i="27"/>
  <c r="G55" i="27" s="1"/>
  <c r="H51" i="27"/>
  <c r="H55" i="27" s="1"/>
  <c r="I51" i="27"/>
  <c r="I55" i="27" s="1"/>
  <c r="J51" i="27"/>
  <c r="J55" i="27" s="1"/>
  <c r="K51" i="27"/>
  <c r="K55" i="27" s="1"/>
  <c r="L51" i="27"/>
  <c r="L55" i="27" s="1"/>
  <c r="M51" i="27"/>
  <c r="M55" i="27" s="1"/>
  <c r="N51" i="27"/>
  <c r="N55" i="27" s="1"/>
  <c r="E47" i="27"/>
  <c r="F47" i="27"/>
  <c r="G47" i="27"/>
  <c r="H47" i="27"/>
  <c r="I47" i="27"/>
  <c r="J47" i="27"/>
  <c r="K47" i="27"/>
  <c r="L47" i="27"/>
  <c r="M47" i="27"/>
  <c r="N47" i="27"/>
  <c r="E66" i="27"/>
  <c r="F66" i="27"/>
  <c r="G66" i="27"/>
  <c r="H66" i="27"/>
  <c r="I66" i="27"/>
  <c r="J66" i="27"/>
  <c r="K66" i="27"/>
  <c r="L66" i="27"/>
  <c r="M66" i="27"/>
  <c r="N66" i="27"/>
  <c r="E68" i="27"/>
  <c r="F68" i="27"/>
  <c r="G68" i="27"/>
  <c r="H68" i="27"/>
  <c r="I68" i="27"/>
  <c r="J68" i="27"/>
  <c r="K68" i="27"/>
  <c r="L68" i="27"/>
  <c r="M68" i="27"/>
  <c r="N68" i="27"/>
  <c r="E69" i="27"/>
  <c r="E73" i="27" s="1"/>
  <c r="F69" i="27"/>
  <c r="F73" i="27" s="1"/>
  <c r="G69" i="27"/>
  <c r="G73" i="27" s="1"/>
  <c r="H69" i="27"/>
  <c r="H73" i="27" s="1"/>
  <c r="I69" i="27"/>
  <c r="I73" i="27" s="1"/>
  <c r="J69" i="27"/>
  <c r="J73" i="27" s="1"/>
  <c r="K69" i="27"/>
  <c r="K73" i="27" s="1"/>
  <c r="L69" i="27"/>
  <c r="L73" i="27" s="1"/>
  <c r="M69" i="27"/>
  <c r="M73" i="27" s="1"/>
  <c r="N69" i="27"/>
  <c r="N73" i="27" s="1"/>
  <c r="E70" i="27"/>
  <c r="E74" i="27" s="1"/>
  <c r="F70" i="27"/>
  <c r="F74" i="27" s="1"/>
  <c r="G70" i="27"/>
  <c r="G74" i="27" s="1"/>
  <c r="H70" i="27"/>
  <c r="H74" i="27" s="1"/>
  <c r="I70" i="27"/>
  <c r="I74" i="27" s="1"/>
  <c r="J70" i="27"/>
  <c r="J74" i="27" s="1"/>
  <c r="K70" i="27"/>
  <c r="K74" i="27" s="1"/>
  <c r="L70" i="27"/>
  <c r="L74" i="27" s="1"/>
  <c r="M70" i="27"/>
  <c r="M74" i="27" s="1"/>
  <c r="N70" i="27"/>
  <c r="N74" i="27" s="1"/>
  <c r="E71" i="27"/>
  <c r="E75" i="27" s="1"/>
  <c r="F71" i="27"/>
  <c r="F75" i="27" s="1"/>
  <c r="G71" i="27"/>
  <c r="G75" i="27" s="1"/>
  <c r="H71" i="27"/>
  <c r="H75" i="27" s="1"/>
  <c r="I71" i="27"/>
  <c r="I75" i="27" s="1"/>
  <c r="J71" i="27"/>
  <c r="J75" i="27" s="1"/>
  <c r="K71" i="27"/>
  <c r="K75" i="27" s="1"/>
  <c r="L71" i="27"/>
  <c r="L75" i="27" s="1"/>
  <c r="M71" i="27"/>
  <c r="M75" i="27" s="1"/>
  <c r="N71" i="27"/>
  <c r="N75" i="27" s="1"/>
  <c r="E72" i="27"/>
  <c r="E76" i="27" s="1"/>
  <c r="F72" i="27"/>
  <c r="F76" i="27" s="1"/>
  <c r="G72" i="27"/>
  <c r="G76" i="27" s="1"/>
  <c r="H72" i="27"/>
  <c r="H76" i="27" s="1"/>
  <c r="I72" i="27"/>
  <c r="I76" i="27" s="1"/>
  <c r="J72" i="27"/>
  <c r="J76" i="27" s="1"/>
  <c r="K72" i="27"/>
  <c r="K76" i="27" s="1"/>
  <c r="L72" i="27"/>
  <c r="L76" i="27" s="1"/>
  <c r="M72" i="27"/>
  <c r="M76" i="27" s="1"/>
  <c r="N72" i="27"/>
  <c r="N76" i="27" s="1"/>
  <c r="T368" i="28" l="1"/>
  <c r="U368" i="28" s="1"/>
  <c r="D368" i="28" s="1"/>
  <c r="P354" i="28"/>
  <c r="D72" i="27"/>
  <c r="D76" i="27" s="1"/>
  <c r="C72" i="27"/>
  <c r="D71" i="27"/>
  <c r="D75" i="27" s="1"/>
  <c r="C71" i="27"/>
  <c r="D70" i="27"/>
  <c r="D74" i="27" s="1"/>
  <c r="C70" i="27"/>
  <c r="D69" i="27"/>
  <c r="D73" i="27" s="1"/>
  <c r="C69" i="27"/>
  <c r="D68" i="27"/>
  <c r="C68" i="27"/>
  <c r="O67" i="27"/>
  <c r="D66" i="27"/>
  <c r="C66" i="27"/>
  <c r="O65" i="27"/>
  <c r="O63" i="27"/>
  <c r="U11" i="18" s="1"/>
  <c r="D51" i="27"/>
  <c r="D55" i="27" s="1"/>
  <c r="C51" i="27"/>
  <c r="C55" i="27" s="1"/>
  <c r="D50" i="27"/>
  <c r="D54" i="27" s="1"/>
  <c r="C50" i="27"/>
  <c r="C54" i="27" s="1"/>
  <c r="D49" i="27"/>
  <c r="D53" i="27" s="1"/>
  <c r="C49" i="27"/>
  <c r="C53" i="27" s="1"/>
  <c r="D48" i="27"/>
  <c r="D52" i="27" s="1"/>
  <c r="C48" i="27"/>
  <c r="C52" i="27" s="1"/>
  <c r="D47" i="27"/>
  <c r="C47" i="27"/>
  <c r="O46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O44" i="27"/>
  <c r="O42" i="27"/>
  <c r="T11" i="18" s="1"/>
  <c r="O66" i="27" l="1"/>
  <c r="O68" i="27"/>
  <c r="O45" i="27"/>
  <c r="C73" i="27"/>
  <c r="O73" i="27" s="1"/>
  <c r="O69" i="27"/>
  <c r="C75" i="27"/>
  <c r="O75" i="27" s="1"/>
  <c r="O71" i="27"/>
  <c r="C74" i="27"/>
  <c r="O74" i="27" s="1"/>
  <c r="O70" i="27"/>
  <c r="C76" i="27"/>
  <c r="O76" i="27" s="1"/>
  <c r="O72" i="27"/>
  <c r="O47" i="27"/>
  <c r="O52" i="27"/>
  <c r="O53" i="27"/>
  <c r="O54" i="27"/>
  <c r="O55" i="27"/>
  <c r="O51" i="27"/>
  <c r="O48" i="27"/>
  <c r="O49" i="27"/>
  <c r="O50" i="27"/>
  <c r="E8" i="38" l="1"/>
  <c r="D8" i="38"/>
  <c r="D9" i="38" s="1"/>
  <c r="P275" i="28" l="1"/>
  <c r="O266" i="28" l="1"/>
  <c r="N266" i="28"/>
  <c r="P267" i="28"/>
  <c r="D139" i="35"/>
  <c r="D105" i="35"/>
  <c r="D71" i="35"/>
  <c r="D37" i="35"/>
  <c r="D3" i="35"/>
  <c r="B170" i="35"/>
  <c r="B169" i="35"/>
  <c r="B168" i="35"/>
  <c r="B167" i="35"/>
  <c r="B166" i="35"/>
  <c r="B165" i="35"/>
  <c r="B164" i="35"/>
  <c r="B163" i="35"/>
  <c r="B162" i="35"/>
  <c r="B161" i="35"/>
  <c r="B160" i="35"/>
  <c r="B156" i="35"/>
  <c r="B155" i="35"/>
  <c r="B154" i="35"/>
  <c r="B153" i="35"/>
  <c r="B152" i="35"/>
  <c r="B151" i="35"/>
  <c r="B150" i="35"/>
  <c r="B149" i="35"/>
  <c r="B148" i="35"/>
  <c r="B147" i="35"/>
  <c r="B146" i="35"/>
  <c r="B136" i="35"/>
  <c r="B135" i="35"/>
  <c r="B134" i="35"/>
  <c r="B133" i="35"/>
  <c r="B132" i="35"/>
  <c r="B131" i="35"/>
  <c r="B130" i="35"/>
  <c r="B129" i="35"/>
  <c r="B128" i="35"/>
  <c r="B127" i="35"/>
  <c r="B126" i="35"/>
  <c r="B122" i="35"/>
  <c r="B121" i="35"/>
  <c r="B120" i="35"/>
  <c r="B119" i="35"/>
  <c r="B118" i="35"/>
  <c r="B117" i="35"/>
  <c r="B116" i="35"/>
  <c r="B115" i="35"/>
  <c r="B114" i="35"/>
  <c r="B113" i="35"/>
  <c r="B112" i="35"/>
  <c r="D107" i="35"/>
  <c r="B102" i="35"/>
  <c r="B101" i="35"/>
  <c r="B100" i="35"/>
  <c r="B99" i="35"/>
  <c r="B98" i="35"/>
  <c r="B97" i="35"/>
  <c r="B96" i="35"/>
  <c r="B95" i="35"/>
  <c r="B94" i="35"/>
  <c r="B93" i="35"/>
  <c r="B92" i="35"/>
  <c r="B88" i="35"/>
  <c r="B87" i="35"/>
  <c r="B86" i="35"/>
  <c r="B85" i="35"/>
  <c r="B84" i="35"/>
  <c r="B83" i="35"/>
  <c r="B82" i="35"/>
  <c r="B81" i="35"/>
  <c r="B80" i="35"/>
  <c r="B79" i="35"/>
  <c r="B78" i="35"/>
  <c r="B68" i="35"/>
  <c r="B67" i="35"/>
  <c r="B66" i="35"/>
  <c r="B65" i="35"/>
  <c r="B64" i="35"/>
  <c r="B63" i="35"/>
  <c r="B62" i="35"/>
  <c r="B61" i="35"/>
  <c r="B60" i="35"/>
  <c r="B59" i="35"/>
  <c r="B58" i="35"/>
  <c r="B54" i="35"/>
  <c r="B53" i="35"/>
  <c r="B52" i="35"/>
  <c r="B51" i="35"/>
  <c r="B50" i="35"/>
  <c r="B49" i="35"/>
  <c r="B48" i="35"/>
  <c r="B44" i="35"/>
  <c r="B45" i="35" s="1"/>
  <c r="B46" i="35" s="1"/>
  <c r="B47" i="35" l="1"/>
  <c r="K266" i="28"/>
  <c r="E266" i="28"/>
  <c r="H266" i="28"/>
  <c r="J266" i="28"/>
  <c r="L266" i="28"/>
  <c r="M266" i="28"/>
  <c r="I266" i="28"/>
  <c r="G266" i="28"/>
  <c r="D266" i="28"/>
  <c r="P266" i="28" l="1"/>
  <c r="P71" i="43" l="1"/>
  <c r="O70" i="43"/>
  <c r="N70" i="43"/>
  <c r="M70" i="43"/>
  <c r="L70" i="43"/>
  <c r="K70" i="43"/>
  <c r="J70" i="43"/>
  <c r="I70" i="43"/>
  <c r="H70" i="43"/>
  <c r="G70" i="43"/>
  <c r="F70" i="43"/>
  <c r="E70" i="43"/>
  <c r="D70" i="43"/>
  <c r="B70" i="43"/>
  <c r="P69" i="43"/>
  <c r="B69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B68" i="43"/>
  <c r="P67" i="43"/>
  <c r="B67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B66" i="43"/>
  <c r="O63" i="43"/>
  <c r="N63" i="43"/>
  <c r="M63" i="43"/>
  <c r="L63" i="43"/>
  <c r="K63" i="43"/>
  <c r="J63" i="43"/>
  <c r="I63" i="43"/>
  <c r="H63" i="43"/>
  <c r="G63" i="43"/>
  <c r="F63" i="43"/>
  <c r="E63" i="43"/>
  <c r="D63" i="43"/>
  <c r="P62" i="43"/>
  <c r="P61" i="43"/>
  <c r="P60" i="43"/>
  <c r="P59" i="43"/>
  <c r="P58" i="43"/>
  <c r="P57" i="43"/>
  <c r="P56" i="43"/>
  <c r="P55" i="43"/>
  <c r="O46" i="43"/>
  <c r="N46" i="43"/>
  <c r="M46" i="43"/>
  <c r="L46" i="43"/>
  <c r="K46" i="43"/>
  <c r="J46" i="43"/>
  <c r="I46" i="43"/>
  <c r="H46" i="43"/>
  <c r="G46" i="43"/>
  <c r="F46" i="43"/>
  <c r="E46" i="43"/>
  <c r="D46" i="43"/>
  <c r="P45" i="43"/>
  <c r="O44" i="43"/>
  <c r="N44" i="43"/>
  <c r="M44" i="43"/>
  <c r="L44" i="43"/>
  <c r="K44" i="43"/>
  <c r="J44" i="43"/>
  <c r="I44" i="43"/>
  <c r="H44" i="43"/>
  <c r="G44" i="43"/>
  <c r="F44" i="43"/>
  <c r="E44" i="43"/>
  <c r="D44" i="43"/>
  <c r="P43" i="43"/>
  <c r="O42" i="43"/>
  <c r="N42" i="43"/>
  <c r="M42" i="43"/>
  <c r="L42" i="43"/>
  <c r="K42" i="43"/>
  <c r="J42" i="43"/>
  <c r="I42" i="43"/>
  <c r="H42" i="43"/>
  <c r="G42" i="43"/>
  <c r="F42" i="43"/>
  <c r="E42" i="43"/>
  <c r="D42" i="43"/>
  <c r="P41" i="43"/>
  <c r="O40" i="43"/>
  <c r="O48" i="43" s="1"/>
  <c r="N40" i="43"/>
  <c r="N48" i="43" s="1"/>
  <c r="N52" i="43" s="1"/>
  <c r="M40" i="43"/>
  <c r="M48" i="43" s="1"/>
  <c r="M52" i="43" s="1"/>
  <c r="L40" i="43"/>
  <c r="L48" i="43" s="1"/>
  <c r="K40" i="43"/>
  <c r="K48" i="43" s="1"/>
  <c r="J40" i="43"/>
  <c r="J48" i="43" s="1"/>
  <c r="J52" i="43" s="1"/>
  <c r="I40" i="43"/>
  <c r="I48" i="43" s="1"/>
  <c r="I52" i="43" s="1"/>
  <c r="H40" i="43"/>
  <c r="H48" i="43" s="1"/>
  <c r="G40" i="43"/>
  <c r="G48" i="43" s="1"/>
  <c r="F40" i="43"/>
  <c r="F48" i="43" s="1"/>
  <c r="F52" i="43" s="1"/>
  <c r="E40" i="43"/>
  <c r="E48" i="43" s="1"/>
  <c r="D40" i="43"/>
  <c r="P39" i="43"/>
  <c r="O38" i="43"/>
  <c r="N38" i="43"/>
  <c r="M38" i="43"/>
  <c r="L38" i="43"/>
  <c r="K38" i="43"/>
  <c r="J38" i="43"/>
  <c r="I38" i="43"/>
  <c r="H38" i="43"/>
  <c r="G38" i="43"/>
  <c r="F38" i="43"/>
  <c r="E38" i="43"/>
  <c r="D38" i="43"/>
  <c r="P37" i="43"/>
  <c r="O36" i="43"/>
  <c r="N36" i="43"/>
  <c r="M36" i="43"/>
  <c r="L36" i="43"/>
  <c r="K36" i="43"/>
  <c r="J36" i="43"/>
  <c r="I36" i="43"/>
  <c r="H36" i="43"/>
  <c r="G36" i="43"/>
  <c r="F36" i="43"/>
  <c r="E36" i="43"/>
  <c r="D36" i="43"/>
  <c r="P35" i="43"/>
  <c r="P33" i="43"/>
  <c r="O32" i="43"/>
  <c r="N32" i="43"/>
  <c r="M32" i="43"/>
  <c r="L32" i="43"/>
  <c r="K32" i="43"/>
  <c r="J32" i="43"/>
  <c r="I32" i="43"/>
  <c r="H32" i="43"/>
  <c r="G32" i="43"/>
  <c r="F32" i="43"/>
  <c r="E32" i="43"/>
  <c r="D32" i="43"/>
  <c r="P31" i="43"/>
  <c r="O30" i="43"/>
  <c r="N30" i="43"/>
  <c r="M30" i="43"/>
  <c r="L30" i="43"/>
  <c r="K30" i="43"/>
  <c r="J30" i="43"/>
  <c r="I30" i="43"/>
  <c r="H30" i="43"/>
  <c r="G30" i="43"/>
  <c r="F30" i="43"/>
  <c r="E30" i="43"/>
  <c r="D30" i="43"/>
  <c r="P29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O26" i="43"/>
  <c r="O34" i="43" s="1"/>
  <c r="O51" i="43" s="1"/>
  <c r="N26" i="43"/>
  <c r="N34" i="43" s="1"/>
  <c r="N51" i="43" s="1"/>
  <c r="M26" i="43"/>
  <c r="M34" i="43" s="1"/>
  <c r="M51" i="43" s="1"/>
  <c r="L26" i="43"/>
  <c r="L34" i="43" s="1"/>
  <c r="L51" i="43" s="1"/>
  <c r="K26" i="43"/>
  <c r="K34" i="43" s="1"/>
  <c r="K51" i="43" s="1"/>
  <c r="J26" i="43"/>
  <c r="J34" i="43" s="1"/>
  <c r="J51" i="43" s="1"/>
  <c r="I26" i="43"/>
  <c r="I34" i="43" s="1"/>
  <c r="I51" i="43" s="1"/>
  <c r="H26" i="43"/>
  <c r="H34" i="43" s="1"/>
  <c r="H51" i="43" s="1"/>
  <c r="G26" i="43"/>
  <c r="G34" i="43" s="1"/>
  <c r="G51" i="43" s="1"/>
  <c r="F26" i="43"/>
  <c r="F34" i="43" s="1"/>
  <c r="F51" i="43" s="1"/>
  <c r="E26" i="43"/>
  <c r="E34" i="43" s="1"/>
  <c r="E51" i="43" s="1"/>
  <c r="D26" i="43"/>
  <c r="O24" i="43"/>
  <c r="N24" i="43"/>
  <c r="M24" i="43"/>
  <c r="L24" i="43"/>
  <c r="K24" i="43"/>
  <c r="J24" i="43"/>
  <c r="I24" i="43"/>
  <c r="H24" i="43"/>
  <c r="G24" i="43"/>
  <c r="F24" i="43"/>
  <c r="E24" i="43"/>
  <c r="D24" i="43"/>
  <c r="O22" i="43"/>
  <c r="N22" i="43"/>
  <c r="M22" i="43"/>
  <c r="L22" i="43"/>
  <c r="K22" i="43"/>
  <c r="J22" i="43"/>
  <c r="I22" i="43"/>
  <c r="H22" i="43"/>
  <c r="G22" i="43"/>
  <c r="F22" i="43"/>
  <c r="E22" i="43"/>
  <c r="D22" i="43"/>
  <c r="D20" i="43"/>
  <c r="O18" i="43"/>
  <c r="N18" i="43"/>
  <c r="M18" i="43"/>
  <c r="L18" i="43"/>
  <c r="K18" i="43"/>
  <c r="J18" i="43"/>
  <c r="I18" i="43"/>
  <c r="H18" i="43"/>
  <c r="G18" i="43"/>
  <c r="F18" i="43"/>
  <c r="E18" i="43"/>
  <c r="D18" i="43"/>
  <c r="O17" i="43"/>
  <c r="N17" i="43"/>
  <c r="M17" i="43"/>
  <c r="L17" i="43"/>
  <c r="K17" i="43"/>
  <c r="J17" i="43"/>
  <c r="I17" i="43"/>
  <c r="H17" i="43"/>
  <c r="G17" i="43"/>
  <c r="F17" i="43"/>
  <c r="E17" i="43"/>
  <c r="D17" i="43"/>
  <c r="O16" i="43"/>
  <c r="N16" i="43"/>
  <c r="M16" i="43"/>
  <c r="L16" i="43"/>
  <c r="K16" i="43"/>
  <c r="J16" i="43"/>
  <c r="I16" i="43"/>
  <c r="H16" i="43"/>
  <c r="G16" i="43"/>
  <c r="F16" i="43"/>
  <c r="E16" i="43"/>
  <c r="D16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P13" i="43"/>
  <c r="P12" i="43"/>
  <c r="P11" i="43"/>
  <c r="P10" i="43"/>
  <c r="Q4" i="43"/>
  <c r="D3" i="43"/>
  <c r="P71" i="42"/>
  <c r="O70" i="42"/>
  <c r="N70" i="42"/>
  <c r="M70" i="42"/>
  <c r="L70" i="42"/>
  <c r="K70" i="42"/>
  <c r="J70" i="42"/>
  <c r="I70" i="42"/>
  <c r="H70" i="42"/>
  <c r="G70" i="42"/>
  <c r="F70" i="42"/>
  <c r="E70" i="42"/>
  <c r="D70" i="42"/>
  <c r="B70" i="42"/>
  <c r="P69" i="42"/>
  <c r="B69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B68" i="42"/>
  <c r="P67" i="42"/>
  <c r="B67" i="42"/>
  <c r="O66" i="42"/>
  <c r="N66" i="42"/>
  <c r="M66" i="42"/>
  <c r="L66" i="42"/>
  <c r="K66" i="42"/>
  <c r="J66" i="42"/>
  <c r="I66" i="42"/>
  <c r="H66" i="42"/>
  <c r="G66" i="42"/>
  <c r="F66" i="42"/>
  <c r="E66" i="42"/>
  <c r="D66" i="42"/>
  <c r="B66" i="42"/>
  <c r="O63" i="42"/>
  <c r="N63" i="42"/>
  <c r="M63" i="42"/>
  <c r="L63" i="42"/>
  <c r="K63" i="42"/>
  <c r="J63" i="42"/>
  <c r="I63" i="42"/>
  <c r="H63" i="42"/>
  <c r="G63" i="42"/>
  <c r="F63" i="42"/>
  <c r="E63" i="42"/>
  <c r="D63" i="42"/>
  <c r="P62" i="42"/>
  <c r="P61" i="42"/>
  <c r="P60" i="42"/>
  <c r="P59" i="42"/>
  <c r="P58" i="42"/>
  <c r="P57" i="42"/>
  <c r="P56" i="42"/>
  <c r="P55" i="42"/>
  <c r="O46" i="42"/>
  <c r="N46" i="42"/>
  <c r="M46" i="42"/>
  <c r="L46" i="42"/>
  <c r="K46" i="42"/>
  <c r="J46" i="42"/>
  <c r="I46" i="42"/>
  <c r="H46" i="42"/>
  <c r="G46" i="42"/>
  <c r="F46" i="42"/>
  <c r="E46" i="42"/>
  <c r="D46" i="42"/>
  <c r="P45" i="42"/>
  <c r="O44" i="42"/>
  <c r="N44" i="42"/>
  <c r="M44" i="42"/>
  <c r="L44" i="42"/>
  <c r="K44" i="42"/>
  <c r="J44" i="42"/>
  <c r="I44" i="42"/>
  <c r="H44" i="42"/>
  <c r="G44" i="42"/>
  <c r="F44" i="42"/>
  <c r="E44" i="42"/>
  <c r="D44" i="42"/>
  <c r="P43" i="42"/>
  <c r="O42" i="42"/>
  <c r="N42" i="42"/>
  <c r="M42" i="42"/>
  <c r="L42" i="42"/>
  <c r="K42" i="42"/>
  <c r="J42" i="42"/>
  <c r="I42" i="42"/>
  <c r="H42" i="42"/>
  <c r="G42" i="42"/>
  <c r="F42" i="42"/>
  <c r="E42" i="42"/>
  <c r="D42" i="42"/>
  <c r="P41" i="42"/>
  <c r="O40" i="42"/>
  <c r="O48" i="42" s="1"/>
  <c r="N40" i="42"/>
  <c r="N48" i="42" s="1"/>
  <c r="N52" i="42" s="1"/>
  <c r="M40" i="42"/>
  <c r="M48" i="42" s="1"/>
  <c r="L40" i="42"/>
  <c r="L48" i="42" s="1"/>
  <c r="K40" i="42"/>
  <c r="K48" i="42" s="1"/>
  <c r="J40" i="42"/>
  <c r="J48" i="42" s="1"/>
  <c r="J52" i="42" s="1"/>
  <c r="I40" i="42"/>
  <c r="I48" i="42" s="1"/>
  <c r="I52" i="42" s="1"/>
  <c r="H40" i="42"/>
  <c r="H48" i="42" s="1"/>
  <c r="G40" i="42"/>
  <c r="G48" i="42" s="1"/>
  <c r="F40" i="42"/>
  <c r="F48" i="42" s="1"/>
  <c r="F52" i="42" s="1"/>
  <c r="E40" i="42"/>
  <c r="E48" i="42" s="1"/>
  <c r="D40" i="42"/>
  <c r="D48" i="42" s="1"/>
  <c r="P39" i="42"/>
  <c r="O38" i="42"/>
  <c r="N38" i="42"/>
  <c r="M38" i="42"/>
  <c r="L38" i="42"/>
  <c r="K38" i="42"/>
  <c r="J38" i="42"/>
  <c r="I38" i="42"/>
  <c r="H38" i="42"/>
  <c r="G38" i="42"/>
  <c r="F38" i="42"/>
  <c r="E38" i="42"/>
  <c r="D38" i="42"/>
  <c r="P37" i="42"/>
  <c r="O36" i="42"/>
  <c r="N36" i="42"/>
  <c r="M36" i="42"/>
  <c r="L36" i="42"/>
  <c r="K36" i="42"/>
  <c r="J36" i="42"/>
  <c r="I36" i="42"/>
  <c r="H36" i="42"/>
  <c r="G36" i="42"/>
  <c r="F36" i="42"/>
  <c r="E36" i="42"/>
  <c r="D36" i="42"/>
  <c r="P35" i="42"/>
  <c r="P33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P31" i="42"/>
  <c r="O30" i="42"/>
  <c r="N30" i="42"/>
  <c r="M30" i="42"/>
  <c r="L30" i="42"/>
  <c r="K30" i="42"/>
  <c r="J30" i="42"/>
  <c r="I30" i="42"/>
  <c r="H30" i="42"/>
  <c r="G30" i="42"/>
  <c r="F30" i="42"/>
  <c r="E30" i="42"/>
  <c r="D30" i="42"/>
  <c r="P29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O26" i="42"/>
  <c r="O34" i="42" s="1"/>
  <c r="O51" i="42" s="1"/>
  <c r="N26" i="42"/>
  <c r="N34" i="42" s="1"/>
  <c r="N51" i="42" s="1"/>
  <c r="M26" i="42"/>
  <c r="M34" i="42" s="1"/>
  <c r="M51" i="42" s="1"/>
  <c r="L26" i="42"/>
  <c r="L34" i="42" s="1"/>
  <c r="L51" i="42" s="1"/>
  <c r="K26" i="42"/>
  <c r="K34" i="42" s="1"/>
  <c r="K51" i="42" s="1"/>
  <c r="J26" i="42"/>
  <c r="J34" i="42" s="1"/>
  <c r="J51" i="42" s="1"/>
  <c r="I26" i="42"/>
  <c r="I34" i="42" s="1"/>
  <c r="I51" i="42" s="1"/>
  <c r="H26" i="42"/>
  <c r="H34" i="42" s="1"/>
  <c r="H51" i="42" s="1"/>
  <c r="G26" i="42"/>
  <c r="G34" i="42" s="1"/>
  <c r="G51" i="42" s="1"/>
  <c r="F26" i="42"/>
  <c r="F34" i="42" s="1"/>
  <c r="F51" i="42" s="1"/>
  <c r="E26" i="42"/>
  <c r="E34" i="42" s="1"/>
  <c r="D26" i="42"/>
  <c r="D34" i="42" s="1"/>
  <c r="D51" i="42" s="1"/>
  <c r="O24" i="42"/>
  <c r="N24" i="42"/>
  <c r="M24" i="42"/>
  <c r="L24" i="42"/>
  <c r="K24" i="42"/>
  <c r="J24" i="42"/>
  <c r="I24" i="42"/>
  <c r="H24" i="42"/>
  <c r="G24" i="42"/>
  <c r="F24" i="42"/>
  <c r="E24" i="42"/>
  <c r="D24" i="42"/>
  <c r="O22" i="42"/>
  <c r="N22" i="42"/>
  <c r="M22" i="42"/>
  <c r="L22" i="42"/>
  <c r="K22" i="42"/>
  <c r="J22" i="42"/>
  <c r="I22" i="42"/>
  <c r="H22" i="42"/>
  <c r="G22" i="42"/>
  <c r="F22" i="42"/>
  <c r="E22" i="42"/>
  <c r="D22" i="42"/>
  <c r="D20" i="42"/>
  <c r="O18" i="42"/>
  <c r="N18" i="42"/>
  <c r="M18" i="42"/>
  <c r="L18" i="42"/>
  <c r="K18" i="42"/>
  <c r="J18" i="42"/>
  <c r="I18" i="42"/>
  <c r="H18" i="42"/>
  <c r="G18" i="42"/>
  <c r="F18" i="42"/>
  <c r="E18" i="42"/>
  <c r="D18" i="42"/>
  <c r="O17" i="42"/>
  <c r="N17" i="42"/>
  <c r="M17" i="42"/>
  <c r="L17" i="42"/>
  <c r="K17" i="42"/>
  <c r="J17" i="42"/>
  <c r="I17" i="42"/>
  <c r="H17" i="42"/>
  <c r="G17" i="42"/>
  <c r="F17" i="42"/>
  <c r="E17" i="42"/>
  <c r="D17" i="42"/>
  <c r="O16" i="42"/>
  <c r="N16" i="42"/>
  <c r="M16" i="42"/>
  <c r="L16" i="42"/>
  <c r="K16" i="42"/>
  <c r="J16" i="42"/>
  <c r="I16" i="42"/>
  <c r="H16" i="42"/>
  <c r="G16" i="42"/>
  <c r="F16" i="42"/>
  <c r="E16" i="42"/>
  <c r="D16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P13" i="42"/>
  <c r="P12" i="42"/>
  <c r="P11" i="42"/>
  <c r="P10" i="42"/>
  <c r="Q4" i="42"/>
  <c r="D3" i="42"/>
  <c r="P71" i="41"/>
  <c r="O70" i="41"/>
  <c r="N70" i="41"/>
  <c r="M70" i="41"/>
  <c r="L70" i="41"/>
  <c r="K70" i="41"/>
  <c r="J70" i="41"/>
  <c r="I70" i="41"/>
  <c r="H70" i="41"/>
  <c r="G70" i="41"/>
  <c r="F70" i="41"/>
  <c r="E70" i="41"/>
  <c r="D70" i="41"/>
  <c r="B70" i="41"/>
  <c r="P69" i="41"/>
  <c r="B69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B68" i="41"/>
  <c r="P67" i="41"/>
  <c r="D66" i="41" s="1"/>
  <c r="B67" i="41"/>
  <c r="O66" i="41"/>
  <c r="N66" i="41"/>
  <c r="M66" i="41"/>
  <c r="L66" i="41"/>
  <c r="K66" i="41"/>
  <c r="J66" i="41"/>
  <c r="I66" i="41"/>
  <c r="H66" i="41"/>
  <c r="G66" i="41"/>
  <c r="F66" i="41"/>
  <c r="E66" i="41"/>
  <c r="O63" i="41"/>
  <c r="N63" i="41"/>
  <c r="M63" i="41"/>
  <c r="L63" i="41"/>
  <c r="K63" i="41"/>
  <c r="J63" i="41"/>
  <c r="I63" i="41"/>
  <c r="H63" i="41"/>
  <c r="G63" i="41"/>
  <c r="F63" i="41"/>
  <c r="E63" i="41"/>
  <c r="D63" i="41"/>
  <c r="P62" i="41"/>
  <c r="P61" i="41"/>
  <c r="P60" i="41"/>
  <c r="P59" i="41"/>
  <c r="P58" i="41"/>
  <c r="P57" i="41"/>
  <c r="P56" i="41"/>
  <c r="P55" i="41"/>
  <c r="O46" i="41"/>
  <c r="N46" i="41"/>
  <c r="M46" i="41"/>
  <c r="L46" i="41"/>
  <c r="K46" i="41"/>
  <c r="J46" i="41"/>
  <c r="I46" i="41"/>
  <c r="H46" i="41"/>
  <c r="G46" i="41"/>
  <c r="F46" i="41"/>
  <c r="E46" i="41"/>
  <c r="D46" i="41"/>
  <c r="P45" i="41"/>
  <c r="O44" i="41"/>
  <c r="N44" i="41"/>
  <c r="M44" i="41"/>
  <c r="L44" i="41"/>
  <c r="K44" i="41"/>
  <c r="J44" i="41"/>
  <c r="I44" i="41"/>
  <c r="H44" i="41"/>
  <c r="G44" i="41"/>
  <c r="F44" i="41"/>
  <c r="E44" i="41"/>
  <c r="D44" i="41"/>
  <c r="P43" i="41"/>
  <c r="O42" i="41"/>
  <c r="N42" i="41"/>
  <c r="M42" i="41"/>
  <c r="L42" i="41"/>
  <c r="K42" i="41"/>
  <c r="J42" i="41"/>
  <c r="I42" i="41"/>
  <c r="H42" i="41"/>
  <c r="G42" i="41"/>
  <c r="F42" i="41"/>
  <c r="E42" i="41"/>
  <c r="D42" i="41"/>
  <c r="P41" i="41"/>
  <c r="O40" i="41"/>
  <c r="O48" i="41" s="1"/>
  <c r="N40" i="41"/>
  <c r="N48" i="41" s="1"/>
  <c r="N52" i="41" s="1"/>
  <c r="M40" i="41"/>
  <c r="M48" i="41" s="1"/>
  <c r="M52" i="41" s="1"/>
  <c r="L40" i="41"/>
  <c r="L48" i="41" s="1"/>
  <c r="K40" i="41"/>
  <c r="K48" i="41" s="1"/>
  <c r="J40" i="41"/>
  <c r="J48" i="41" s="1"/>
  <c r="J52" i="41" s="1"/>
  <c r="I40" i="41"/>
  <c r="I48" i="41" s="1"/>
  <c r="I52" i="41" s="1"/>
  <c r="H40" i="41"/>
  <c r="H48" i="41" s="1"/>
  <c r="G40" i="41"/>
  <c r="G48" i="41" s="1"/>
  <c r="F40" i="41"/>
  <c r="F48" i="41" s="1"/>
  <c r="F52" i="41" s="1"/>
  <c r="E40" i="41"/>
  <c r="E48" i="41" s="1"/>
  <c r="D40" i="41"/>
  <c r="D48" i="41" s="1"/>
  <c r="P39" i="41"/>
  <c r="O38" i="41"/>
  <c r="N38" i="41"/>
  <c r="M38" i="41"/>
  <c r="L38" i="41"/>
  <c r="K38" i="41"/>
  <c r="J38" i="41"/>
  <c r="I38" i="41"/>
  <c r="H38" i="41"/>
  <c r="G38" i="41"/>
  <c r="F38" i="41"/>
  <c r="E38" i="41"/>
  <c r="D38" i="41"/>
  <c r="P37" i="41"/>
  <c r="O36" i="41"/>
  <c r="N36" i="41"/>
  <c r="M36" i="41"/>
  <c r="L36" i="41"/>
  <c r="K36" i="41"/>
  <c r="J36" i="41"/>
  <c r="I36" i="41"/>
  <c r="H36" i="41"/>
  <c r="G36" i="41"/>
  <c r="F36" i="41"/>
  <c r="E36" i="41"/>
  <c r="D36" i="41"/>
  <c r="P35" i="41"/>
  <c r="P33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P31" i="41"/>
  <c r="O30" i="41"/>
  <c r="N30" i="41"/>
  <c r="M30" i="41"/>
  <c r="L30" i="41"/>
  <c r="K30" i="41"/>
  <c r="J30" i="41"/>
  <c r="I30" i="41"/>
  <c r="H30" i="41"/>
  <c r="G30" i="41"/>
  <c r="F30" i="41"/>
  <c r="E30" i="41"/>
  <c r="D30" i="41"/>
  <c r="P29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O26" i="41"/>
  <c r="O34" i="41" s="1"/>
  <c r="O51" i="41" s="1"/>
  <c r="N26" i="41"/>
  <c r="N34" i="41" s="1"/>
  <c r="N51" i="41" s="1"/>
  <c r="M26" i="41"/>
  <c r="M34" i="41" s="1"/>
  <c r="M51" i="41" s="1"/>
  <c r="L26" i="41"/>
  <c r="L34" i="41" s="1"/>
  <c r="L51" i="41" s="1"/>
  <c r="K26" i="41"/>
  <c r="K34" i="41" s="1"/>
  <c r="K51" i="41" s="1"/>
  <c r="J26" i="41"/>
  <c r="J34" i="41" s="1"/>
  <c r="J51" i="41" s="1"/>
  <c r="I26" i="41"/>
  <c r="I34" i="41" s="1"/>
  <c r="I51" i="41" s="1"/>
  <c r="H26" i="41"/>
  <c r="H34" i="41" s="1"/>
  <c r="H51" i="41" s="1"/>
  <c r="G26" i="41"/>
  <c r="G34" i="41" s="1"/>
  <c r="G51" i="41" s="1"/>
  <c r="F26" i="41"/>
  <c r="F34" i="41" s="1"/>
  <c r="F51" i="41" s="1"/>
  <c r="E26" i="41"/>
  <c r="E34" i="41" s="1"/>
  <c r="E51" i="41" s="1"/>
  <c r="D26" i="41"/>
  <c r="O24" i="41"/>
  <c r="N24" i="41"/>
  <c r="M24" i="41"/>
  <c r="L24" i="41"/>
  <c r="K24" i="41"/>
  <c r="J24" i="41"/>
  <c r="I24" i="41"/>
  <c r="H24" i="41"/>
  <c r="G24" i="41"/>
  <c r="F24" i="41"/>
  <c r="E24" i="41"/>
  <c r="D24" i="41"/>
  <c r="O22" i="41"/>
  <c r="N22" i="41"/>
  <c r="M22" i="41"/>
  <c r="L22" i="41"/>
  <c r="K22" i="41"/>
  <c r="J22" i="41"/>
  <c r="I22" i="41"/>
  <c r="H22" i="41"/>
  <c r="G22" i="41"/>
  <c r="F22" i="41"/>
  <c r="E22" i="41"/>
  <c r="D22" i="41"/>
  <c r="D20" i="41"/>
  <c r="O18" i="41"/>
  <c r="N18" i="41"/>
  <c r="M18" i="41"/>
  <c r="L18" i="41"/>
  <c r="K18" i="41"/>
  <c r="J18" i="41"/>
  <c r="I18" i="41"/>
  <c r="H18" i="41"/>
  <c r="G18" i="41"/>
  <c r="F18" i="41"/>
  <c r="E18" i="41"/>
  <c r="D18" i="41"/>
  <c r="O17" i="41"/>
  <c r="N17" i="41"/>
  <c r="M17" i="41"/>
  <c r="L17" i="41"/>
  <c r="K17" i="41"/>
  <c r="J17" i="41"/>
  <c r="I17" i="41"/>
  <c r="H17" i="41"/>
  <c r="G17" i="41"/>
  <c r="F17" i="41"/>
  <c r="E17" i="41"/>
  <c r="D17" i="41"/>
  <c r="O16" i="41"/>
  <c r="N16" i="41"/>
  <c r="M16" i="41"/>
  <c r="L16" i="41"/>
  <c r="K16" i="41"/>
  <c r="J16" i="41"/>
  <c r="I16" i="41"/>
  <c r="H16" i="41"/>
  <c r="G16" i="41"/>
  <c r="F16" i="41"/>
  <c r="E16" i="41"/>
  <c r="D16" i="41"/>
  <c r="O14" i="41"/>
  <c r="N14" i="41"/>
  <c r="M14" i="41"/>
  <c r="L14" i="41"/>
  <c r="K14" i="41"/>
  <c r="J14" i="41"/>
  <c r="I14" i="41"/>
  <c r="H14" i="41"/>
  <c r="G14" i="41"/>
  <c r="F14" i="41"/>
  <c r="E14" i="41"/>
  <c r="D14" i="41"/>
  <c r="P13" i="41"/>
  <c r="P12" i="41"/>
  <c r="P11" i="41"/>
  <c r="P10" i="41"/>
  <c r="Q4" i="41"/>
  <c r="D3" i="41"/>
  <c r="D47" i="28"/>
  <c r="D58" i="28"/>
  <c r="M58" i="28"/>
  <c r="M47" i="28"/>
  <c r="D36" i="28"/>
  <c r="E17" i="28"/>
  <c r="E63" i="28" s="1"/>
  <c r="F17" i="28"/>
  <c r="F59" i="28" s="1"/>
  <c r="F64" i="28" s="1"/>
  <c r="G17" i="28"/>
  <c r="G59" i="28" s="1"/>
  <c r="G64" i="28" s="1"/>
  <c r="H17" i="28"/>
  <c r="H59" i="28" s="1"/>
  <c r="H64" i="28" s="1"/>
  <c r="I17" i="28"/>
  <c r="I59" i="28" s="1"/>
  <c r="I64" i="28" s="1"/>
  <c r="J17" i="28"/>
  <c r="J59" i="28" s="1"/>
  <c r="J64" i="28" s="1"/>
  <c r="K17" i="28"/>
  <c r="K59" i="28" s="1"/>
  <c r="K64" i="28" s="1"/>
  <c r="L17" i="28"/>
  <c r="L59" i="28" s="1"/>
  <c r="L64" i="28" s="1"/>
  <c r="M17" i="28"/>
  <c r="M59" i="28" s="1"/>
  <c r="M64" i="28" s="1"/>
  <c r="N17" i="28"/>
  <c r="N59" i="28" s="1"/>
  <c r="N64" i="28" s="1"/>
  <c r="O17" i="28"/>
  <c r="O59" i="28" s="1"/>
  <c r="O64" i="28" s="1"/>
  <c r="E16" i="28"/>
  <c r="E51" i="28" s="1"/>
  <c r="F16" i="28"/>
  <c r="F50" i="28" s="1"/>
  <c r="G16" i="28"/>
  <c r="G48" i="28" s="1"/>
  <c r="G53" i="28" s="1"/>
  <c r="H16" i="28"/>
  <c r="H49" i="28" s="1"/>
  <c r="H54" i="28" s="1"/>
  <c r="I16" i="28"/>
  <c r="I49" i="28" s="1"/>
  <c r="I54" i="28" s="1"/>
  <c r="J16" i="28"/>
  <c r="J50" i="28" s="1"/>
  <c r="K16" i="28"/>
  <c r="K48" i="28" s="1"/>
  <c r="K53" i="28" s="1"/>
  <c r="L16" i="28"/>
  <c r="L49" i="28" s="1"/>
  <c r="L54" i="28" s="1"/>
  <c r="M16" i="28"/>
  <c r="M49" i="28" s="1"/>
  <c r="M54" i="28" s="1"/>
  <c r="N16" i="28"/>
  <c r="N50" i="28" s="1"/>
  <c r="O16" i="28"/>
  <c r="O48" i="28" s="1"/>
  <c r="O53" i="28" s="1"/>
  <c r="D17" i="28"/>
  <c r="D63" i="28" s="1"/>
  <c r="D16" i="28"/>
  <c r="D51" i="28" s="1"/>
  <c r="B17" i="28"/>
  <c r="B16" i="28"/>
  <c r="C28" i="27"/>
  <c r="O22" i="27"/>
  <c r="S11" i="18" s="1"/>
  <c r="O24" i="27"/>
  <c r="O26" i="27"/>
  <c r="D31" i="27"/>
  <c r="D35" i="27" s="1"/>
  <c r="E31" i="27"/>
  <c r="E35" i="27" s="1"/>
  <c r="F31" i="27"/>
  <c r="F35" i="27" s="1"/>
  <c r="G31" i="27"/>
  <c r="G35" i="27" s="1"/>
  <c r="H31" i="27"/>
  <c r="H35" i="27" s="1"/>
  <c r="I31" i="27"/>
  <c r="I35" i="27" s="1"/>
  <c r="J31" i="27"/>
  <c r="J35" i="27" s="1"/>
  <c r="K31" i="27"/>
  <c r="K35" i="27" s="1"/>
  <c r="L31" i="27"/>
  <c r="L35" i="27" s="1"/>
  <c r="M31" i="27"/>
  <c r="M35" i="27" s="1"/>
  <c r="N31" i="27"/>
  <c r="N35" i="27" s="1"/>
  <c r="D30" i="27"/>
  <c r="D34" i="27" s="1"/>
  <c r="E30" i="27"/>
  <c r="E34" i="27" s="1"/>
  <c r="F30" i="27"/>
  <c r="F34" i="27" s="1"/>
  <c r="G30" i="27"/>
  <c r="G34" i="27" s="1"/>
  <c r="H30" i="27"/>
  <c r="H34" i="27" s="1"/>
  <c r="I30" i="27"/>
  <c r="I34" i="27" s="1"/>
  <c r="J30" i="27"/>
  <c r="J34" i="27" s="1"/>
  <c r="K30" i="27"/>
  <c r="K34" i="27" s="1"/>
  <c r="L30" i="27"/>
  <c r="L34" i="27" s="1"/>
  <c r="M30" i="27"/>
  <c r="M34" i="27" s="1"/>
  <c r="N30" i="27"/>
  <c r="N34" i="27" s="1"/>
  <c r="C31" i="27"/>
  <c r="C35" i="27" s="1"/>
  <c r="C30" i="27"/>
  <c r="C34" i="27" s="1"/>
  <c r="P22" i="41" l="1"/>
  <c r="P24" i="41"/>
  <c r="P26" i="41"/>
  <c r="P28" i="41"/>
  <c r="P36" i="41"/>
  <c r="P44" i="41"/>
  <c r="P30" i="42"/>
  <c r="P63" i="42"/>
  <c r="P63" i="43"/>
  <c r="P32" i="41"/>
  <c r="P14" i="42"/>
  <c r="M49" i="42"/>
  <c r="E72" i="42"/>
  <c r="I72" i="42"/>
  <c r="M72" i="42"/>
  <c r="P22" i="43"/>
  <c r="P24" i="43"/>
  <c r="P26" i="43"/>
  <c r="P28" i="43"/>
  <c r="G49" i="42"/>
  <c r="G52" i="42"/>
  <c r="K49" i="42"/>
  <c r="K52" i="42"/>
  <c r="O49" i="42"/>
  <c r="O52" i="42"/>
  <c r="P14" i="41"/>
  <c r="L40" i="33" s="1"/>
  <c r="P63" i="41"/>
  <c r="L42" i="33" s="1"/>
  <c r="P14" i="43"/>
  <c r="P36" i="42"/>
  <c r="P44" i="42"/>
  <c r="P32" i="43"/>
  <c r="P36" i="43"/>
  <c r="P44" i="43"/>
  <c r="D48" i="43"/>
  <c r="D72" i="43"/>
  <c r="H72" i="43"/>
  <c r="L72" i="43"/>
  <c r="G72" i="42"/>
  <c r="O72" i="42"/>
  <c r="H72" i="42"/>
  <c r="K72" i="43"/>
  <c r="P30" i="41"/>
  <c r="P42" i="41"/>
  <c r="P38" i="41"/>
  <c r="P46" i="41"/>
  <c r="D72" i="42"/>
  <c r="L72" i="42"/>
  <c r="E72" i="43"/>
  <c r="I72" i="43"/>
  <c r="M72" i="43"/>
  <c r="G72" i="41"/>
  <c r="K72" i="41"/>
  <c r="O72" i="41"/>
  <c r="K72" i="42"/>
  <c r="G72" i="43"/>
  <c r="O72" i="43"/>
  <c r="F72" i="42"/>
  <c r="N72" i="42"/>
  <c r="P70" i="42"/>
  <c r="F72" i="43"/>
  <c r="N72" i="43"/>
  <c r="P70" i="43"/>
  <c r="J72" i="41"/>
  <c r="N72" i="41"/>
  <c r="P68" i="42"/>
  <c r="P68" i="43"/>
  <c r="J72" i="42"/>
  <c r="J72" i="43"/>
  <c r="P68" i="41"/>
  <c r="P66" i="42"/>
  <c r="P66" i="43"/>
  <c r="P38" i="43"/>
  <c r="P46" i="43"/>
  <c r="P30" i="43"/>
  <c r="P42" i="43"/>
  <c r="P22" i="42"/>
  <c r="P24" i="42"/>
  <c r="P26" i="42"/>
  <c r="P28" i="42"/>
  <c r="P42" i="42"/>
  <c r="P32" i="42"/>
  <c r="P38" i="42"/>
  <c r="P46" i="42"/>
  <c r="O31" i="27"/>
  <c r="H52" i="43"/>
  <c r="H49" i="43"/>
  <c r="L52" i="43"/>
  <c r="L49" i="43"/>
  <c r="G49" i="43"/>
  <c r="G52" i="43"/>
  <c r="K49" i="43"/>
  <c r="K52" i="43"/>
  <c r="O49" i="43"/>
  <c r="O52" i="43"/>
  <c r="E49" i="43"/>
  <c r="I49" i="43"/>
  <c r="M49" i="43"/>
  <c r="D34" i="43"/>
  <c r="F49" i="43"/>
  <c r="J49" i="43"/>
  <c r="N49" i="43"/>
  <c r="E52" i="43"/>
  <c r="P40" i="43"/>
  <c r="P34" i="42"/>
  <c r="E51" i="42"/>
  <c r="E49" i="42"/>
  <c r="P48" i="42"/>
  <c r="D52" i="42"/>
  <c r="D49" i="42"/>
  <c r="H49" i="42"/>
  <c r="H52" i="42"/>
  <c r="L52" i="42"/>
  <c r="L49" i="42"/>
  <c r="P40" i="42"/>
  <c r="I49" i="42"/>
  <c r="F49" i="42"/>
  <c r="J49" i="42"/>
  <c r="N49" i="42"/>
  <c r="E52" i="42"/>
  <c r="M52" i="42"/>
  <c r="D72" i="41"/>
  <c r="H72" i="41"/>
  <c r="L72" i="41"/>
  <c r="P66" i="41"/>
  <c r="E72" i="41"/>
  <c r="I72" i="41"/>
  <c r="M72" i="41"/>
  <c r="F72" i="41"/>
  <c r="P70" i="41"/>
  <c r="P48" i="41"/>
  <c r="D52" i="41"/>
  <c r="H52" i="41"/>
  <c r="H49" i="41"/>
  <c r="L49" i="41"/>
  <c r="L52" i="41"/>
  <c r="G49" i="41"/>
  <c r="G52" i="41"/>
  <c r="K49" i="41"/>
  <c r="K52" i="41"/>
  <c r="O49" i="41"/>
  <c r="O52" i="41"/>
  <c r="E49" i="41"/>
  <c r="I49" i="41"/>
  <c r="M49" i="41"/>
  <c r="D34" i="41"/>
  <c r="D49" i="41" s="1"/>
  <c r="F49" i="41"/>
  <c r="J49" i="41"/>
  <c r="N49" i="41"/>
  <c r="E52" i="41"/>
  <c r="P40" i="41"/>
  <c r="N48" i="28"/>
  <c r="N53" i="28" s="1"/>
  <c r="E48" i="28"/>
  <c r="E53" i="28" s="1"/>
  <c r="I52" i="28"/>
  <c r="E59" i="28"/>
  <c r="E64" i="28" s="1"/>
  <c r="M48" i="28"/>
  <c r="M53" i="28" s="1"/>
  <c r="D49" i="28"/>
  <c r="D54" i="28" s="1"/>
  <c r="I50" i="28"/>
  <c r="I48" i="28"/>
  <c r="I53" i="28" s="1"/>
  <c r="E50" i="28"/>
  <c r="F48" i="28"/>
  <c r="F53" i="28" s="1"/>
  <c r="E49" i="28"/>
  <c r="E54" i="28" s="1"/>
  <c r="E62" i="28"/>
  <c r="H52" i="28"/>
  <c r="H50" i="28"/>
  <c r="D62" i="28"/>
  <c r="J48" i="28"/>
  <c r="J53" i="28" s="1"/>
  <c r="D50" i="28"/>
  <c r="M52" i="28"/>
  <c r="M50" i="28"/>
  <c r="D61" i="28"/>
  <c r="L52" i="28"/>
  <c r="L50" i="28"/>
  <c r="O51" i="28"/>
  <c r="K51" i="28"/>
  <c r="O49" i="28"/>
  <c r="O54" i="28" s="1"/>
  <c r="K49" i="28"/>
  <c r="K54" i="28" s="1"/>
  <c r="G49" i="28"/>
  <c r="G54" i="28" s="1"/>
  <c r="E61" i="28"/>
  <c r="E66" i="28" s="1"/>
  <c r="N51" i="28"/>
  <c r="J51" i="28"/>
  <c r="N49" i="28"/>
  <c r="N54" i="28" s="1"/>
  <c r="J49" i="28"/>
  <c r="J54" i="28" s="1"/>
  <c r="F49" i="28"/>
  <c r="F54" i="28" s="1"/>
  <c r="E60" i="28"/>
  <c r="E65" i="28" s="1"/>
  <c r="D60" i="28"/>
  <c r="D65" i="28" s="1"/>
  <c r="D48" i="28"/>
  <c r="D53" i="28" s="1"/>
  <c r="L48" i="28"/>
  <c r="L53" i="28" s="1"/>
  <c r="H48" i="28"/>
  <c r="H53" i="28" s="1"/>
  <c r="D52" i="28"/>
  <c r="E52" i="28"/>
  <c r="O52" i="28"/>
  <c r="K52" i="28"/>
  <c r="G52" i="28"/>
  <c r="M51" i="28"/>
  <c r="I51" i="28"/>
  <c r="O50" i="28"/>
  <c r="K50" i="28"/>
  <c r="G50" i="28"/>
  <c r="G51" i="28"/>
  <c r="F51" i="28"/>
  <c r="D59" i="28"/>
  <c r="D64" i="28" s="1"/>
  <c r="N52" i="28"/>
  <c r="J52" i="28"/>
  <c r="F52" i="28"/>
  <c r="L51" i="28"/>
  <c r="H51" i="28"/>
  <c r="O35" i="27"/>
  <c r="O17" i="33" s="1"/>
  <c r="O34" i="27"/>
  <c r="N17" i="33" s="1"/>
  <c r="O30" i="27"/>
  <c r="E36" i="33" l="1"/>
  <c r="E38" i="33"/>
  <c r="D49" i="43"/>
  <c r="P49" i="43" s="1"/>
  <c r="D52" i="43"/>
  <c r="P48" i="43"/>
  <c r="P72" i="42"/>
  <c r="P72" i="43"/>
  <c r="D51" i="43"/>
  <c r="P34" i="43"/>
  <c r="P49" i="42"/>
  <c r="P72" i="41"/>
  <c r="L43" i="33" s="1"/>
  <c r="P49" i="41"/>
  <c r="L41" i="33" s="1"/>
  <c r="L44" i="33" s="1"/>
  <c r="N27" i="33" s="1"/>
  <c r="D51" i="41"/>
  <c r="P34" i="41"/>
  <c r="I55" i="28"/>
  <c r="I56" i="28" s="1"/>
  <c r="M55" i="28"/>
  <c r="M56" i="28" s="1"/>
  <c r="E55" i="28"/>
  <c r="D66" i="28"/>
  <c r="L55" i="28"/>
  <c r="L56" i="28" s="1"/>
  <c r="O55" i="28"/>
  <c r="O56" i="28" s="1"/>
  <c r="J55" i="28"/>
  <c r="J56" i="28" s="1"/>
  <c r="H55" i="28"/>
  <c r="H56" i="28" s="1"/>
  <c r="N55" i="28"/>
  <c r="N56" i="28" s="1"/>
  <c r="F55" i="28"/>
  <c r="F56" i="28" s="1"/>
  <c r="K55" i="28"/>
  <c r="K56" i="28" s="1"/>
  <c r="D55" i="28"/>
  <c r="G55" i="28"/>
  <c r="G56" i="28" s="1"/>
  <c r="E37" i="33" l="1"/>
  <c r="E39" i="33"/>
  <c r="B146" i="28"/>
  <c r="B147" i="28"/>
  <c r="E40" i="33" l="1"/>
  <c r="O27" i="33" s="1"/>
  <c r="P249" i="28"/>
  <c r="P250" i="28"/>
  <c r="P251" i="28"/>
  <c r="P252" i="28"/>
  <c r="P253" i="28"/>
  <c r="P254" i="28"/>
  <c r="P255" i="28"/>
  <c r="P256" i="28"/>
  <c r="P257" i="28"/>
  <c r="P258" i="28"/>
  <c r="P259" i="28"/>
  <c r="P260" i="28"/>
  <c r="P262" i="28"/>
  <c r="P263" i="28"/>
  <c r="P264" i="28"/>
  <c r="B267" i="28"/>
  <c r="P228" i="28"/>
  <c r="P229" i="28"/>
  <c r="P231" i="28"/>
  <c r="P232" i="28"/>
  <c r="P233" i="28"/>
  <c r="P234" i="28"/>
  <c r="P235" i="28"/>
  <c r="P236" i="28"/>
  <c r="P237" i="28"/>
  <c r="P238" i="28"/>
  <c r="P239" i="28"/>
  <c r="B240" i="28"/>
  <c r="P240" i="28" s="1"/>
  <c r="B241" i="28"/>
  <c r="P241" i="28" s="1"/>
  <c r="B242" i="28"/>
  <c r="P242" i="28" s="1"/>
  <c r="B243" i="28"/>
  <c r="P243" i="28" s="1"/>
  <c r="P227" i="28"/>
  <c r="P197" i="28"/>
  <c r="P198" i="28"/>
  <c r="P199" i="28"/>
  <c r="P200" i="28"/>
  <c r="P201" i="28"/>
  <c r="P202" i="28"/>
  <c r="P203" i="28"/>
  <c r="P204" i="28"/>
  <c r="P205" i="28"/>
  <c r="P206" i="28"/>
  <c r="P207" i="28"/>
  <c r="P208" i="28"/>
  <c r="P209" i="28"/>
  <c r="P210" i="28"/>
  <c r="P211" i="28"/>
  <c r="P212" i="28"/>
  <c r="P213" i="28"/>
  <c r="P195" i="28"/>
  <c r="E349" i="28"/>
  <c r="E328" i="28"/>
  <c r="E338" i="28" s="1"/>
  <c r="F328" i="28"/>
  <c r="F338" i="28" s="1"/>
  <c r="G328" i="28"/>
  <c r="G338" i="28" s="1"/>
  <c r="H328" i="28"/>
  <c r="H338" i="28" s="1"/>
  <c r="I328" i="28"/>
  <c r="I338" i="28" s="1"/>
  <c r="J328" i="28"/>
  <c r="J338" i="28" s="1"/>
  <c r="K328" i="28"/>
  <c r="K338" i="28" s="1"/>
  <c r="L328" i="28"/>
  <c r="L338" i="28" s="1"/>
  <c r="M328" i="28"/>
  <c r="M338" i="28" s="1"/>
  <c r="N328" i="28"/>
  <c r="N338" i="28" s="1"/>
  <c r="O328" i="28"/>
  <c r="O338" i="28" s="1"/>
  <c r="P353" i="28"/>
  <c r="U366" i="28" s="1"/>
  <c r="F366" i="28" s="1"/>
  <c r="B172" i="28"/>
  <c r="E280" i="28"/>
  <c r="G366" i="28"/>
  <c r="G307" i="28"/>
  <c r="H366" i="28"/>
  <c r="H307" i="28"/>
  <c r="I366" i="28"/>
  <c r="I307" i="28"/>
  <c r="J366" i="28"/>
  <c r="J307" i="28"/>
  <c r="K366" i="28"/>
  <c r="K307" i="28"/>
  <c r="L366" i="28"/>
  <c r="L307" i="28"/>
  <c r="M366" i="28"/>
  <c r="M307" i="28"/>
  <c r="N366" i="28"/>
  <c r="N307" i="28"/>
  <c r="O366" i="28"/>
  <c r="O307" i="28"/>
  <c r="D307" i="28"/>
  <c r="D328" i="28"/>
  <c r="D338" i="28" s="1"/>
  <c r="P279" i="28"/>
  <c r="P278" i="28"/>
  <c r="O280" i="28"/>
  <c r="N280" i="28"/>
  <c r="M280" i="28"/>
  <c r="L280" i="28"/>
  <c r="K280" i="28"/>
  <c r="J280" i="28"/>
  <c r="I280" i="28"/>
  <c r="H280" i="28"/>
  <c r="G280" i="28"/>
  <c r="F280" i="28"/>
  <c r="D280" i="28"/>
  <c r="H277" i="28"/>
  <c r="I277" i="28"/>
  <c r="J277" i="28"/>
  <c r="K277" i="28"/>
  <c r="L277" i="28"/>
  <c r="M277" i="28"/>
  <c r="N277" i="28"/>
  <c r="O277" i="28"/>
  <c r="D4" i="28"/>
  <c r="E4" i="28"/>
  <c r="E6" i="33" s="1"/>
  <c r="F4" i="28"/>
  <c r="F6" i="33" s="1"/>
  <c r="G4" i="28"/>
  <c r="G6" i="33" s="1"/>
  <c r="H4" i="28"/>
  <c r="H6" i="33" s="1"/>
  <c r="I4" i="28"/>
  <c r="I6" i="33" s="1"/>
  <c r="J4" i="28"/>
  <c r="J6" i="33" s="1"/>
  <c r="K4" i="28"/>
  <c r="K6" i="33" s="1"/>
  <c r="L4" i="28"/>
  <c r="L6" i="33" s="1"/>
  <c r="M4" i="28"/>
  <c r="N4" i="28"/>
  <c r="O6" i="33" s="1"/>
  <c r="O4" i="28"/>
  <c r="P6" i="33" s="1"/>
  <c r="Q172" i="28"/>
  <c r="B177" i="28"/>
  <c r="B178" i="28"/>
  <c r="B179" i="28"/>
  <c r="B173" i="28"/>
  <c r="B174" i="28"/>
  <c r="B175" i="28"/>
  <c r="B176" i="28"/>
  <c r="E127" i="28"/>
  <c r="F127" i="28"/>
  <c r="G127" i="28"/>
  <c r="H127" i="28"/>
  <c r="I127" i="28"/>
  <c r="J127" i="28"/>
  <c r="K127" i="28"/>
  <c r="L127" i="28"/>
  <c r="M127" i="28"/>
  <c r="N127" i="28"/>
  <c r="O127" i="28"/>
  <c r="D127" i="28"/>
  <c r="D25" i="27"/>
  <c r="E25" i="27"/>
  <c r="F8" i="38" s="1"/>
  <c r="F9" i="38" s="1"/>
  <c r="F25" i="27"/>
  <c r="G25" i="27"/>
  <c r="H8" i="38" s="1"/>
  <c r="H9" i="38" s="1"/>
  <c r="H25" i="27"/>
  <c r="I8" i="38" s="1"/>
  <c r="I9" i="38" s="1"/>
  <c r="I25" i="27"/>
  <c r="J8" i="38" s="1"/>
  <c r="J9" i="38" s="1"/>
  <c r="J25" i="27"/>
  <c r="K25" i="27"/>
  <c r="L8" i="38" s="1"/>
  <c r="L9" i="38" s="1"/>
  <c r="L25" i="27"/>
  <c r="M8" i="38" s="1"/>
  <c r="M9" i="38" s="1"/>
  <c r="M25" i="27"/>
  <c r="N8" i="38" s="1"/>
  <c r="N9" i="38" s="1"/>
  <c r="N25" i="27"/>
  <c r="O8" i="38" s="1"/>
  <c r="O9" i="38" s="1"/>
  <c r="C25" i="27"/>
  <c r="E281" i="28"/>
  <c r="F281" i="28"/>
  <c r="G281" i="28"/>
  <c r="H281" i="28"/>
  <c r="I281" i="28"/>
  <c r="J281" i="28"/>
  <c r="K281" i="28"/>
  <c r="L281" i="28"/>
  <c r="M281" i="28"/>
  <c r="N281" i="28"/>
  <c r="P330" i="28"/>
  <c r="E36" i="40"/>
  <c r="G36" i="40"/>
  <c r="H36" i="40"/>
  <c r="I36" i="40"/>
  <c r="J36" i="40"/>
  <c r="K36" i="40"/>
  <c r="L36" i="40"/>
  <c r="M36" i="40"/>
  <c r="N36" i="40"/>
  <c r="O36" i="40"/>
  <c r="E38" i="40"/>
  <c r="F38" i="40"/>
  <c r="G38" i="40"/>
  <c r="H38" i="40"/>
  <c r="I38" i="40"/>
  <c r="J38" i="40"/>
  <c r="K38" i="40"/>
  <c r="L38" i="40"/>
  <c r="M38" i="40"/>
  <c r="N38" i="40"/>
  <c r="O38" i="40"/>
  <c r="F40" i="40"/>
  <c r="G40" i="40"/>
  <c r="G48" i="40" s="1"/>
  <c r="H40" i="40"/>
  <c r="H48" i="40" s="1"/>
  <c r="I40" i="40"/>
  <c r="J40" i="40"/>
  <c r="J48" i="40" s="1"/>
  <c r="J52" i="40" s="1"/>
  <c r="K40" i="40"/>
  <c r="K48" i="40" s="1"/>
  <c r="L40" i="40"/>
  <c r="L48" i="40" s="1"/>
  <c r="M40" i="40"/>
  <c r="M48" i="40" s="1"/>
  <c r="N40" i="40"/>
  <c r="N48" i="40" s="1"/>
  <c r="N52" i="40" s="1"/>
  <c r="O40" i="40"/>
  <c r="O48" i="40" s="1"/>
  <c r="F42" i="40"/>
  <c r="G42" i="40"/>
  <c r="H42" i="40"/>
  <c r="I42" i="40"/>
  <c r="J42" i="40"/>
  <c r="K42" i="40"/>
  <c r="L42" i="40"/>
  <c r="M42" i="40"/>
  <c r="N42" i="40"/>
  <c r="O42" i="40"/>
  <c r="G44" i="40"/>
  <c r="H44" i="40"/>
  <c r="I44" i="40"/>
  <c r="J44" i="40"/>
  <c r="K44" i="40"/>
  <c r="L44" i="40"/>
  <c r="M44" i="40"/>
  <c r="N44" i="40"/>
  <c r="O44" i="40"/>
  <c r="F46" i="40"/>
  <c r="G46" i="40"/>
  <c r="H46" i="40"/>
  <c r="I46" i="40"/>
  <c r="J46" i="40"/>
  <c r="K46" i="40"/>
  <c r="L46" i="40"/>
  <c r="M46" i="40"/>
  <c r="N46" i="40"/>
  <c r="O46" i="40"/>
  <c r="I48" i="40"/>
  <c r="I52" i="40" s="1"/>
  <c r="E22" i="40"/>
  <c r="G22" i="40"/>
  <c r="H22" i="40"/>
  <c r="I22" i="40"/>
  <c r="J22" i="40"/>
  <c r="K22" i="40"/>
  <c r="L22" i="40"/>
  <c r="M22" i="40"/>
  <c r="N22" i="40"/>
  <c r="O22" i="40"/>
  <c r="E24" i="40"/>
  <c r="F24" i="40"/>
  <c r="G24" i="40"/>
  <c r="H24" i="40"/>
  <c r="I24" i="40"/>
  <c r="J24" i="40"/>
  <c r="K24" i="40"/>
  <c r="L24" i="40"/>
  <c r="M24" i="40"/>
  <c r="N24" i="40"/>
  <c r="O24" i="40"/>
  <c r="G26" i="40"/>
  <c r="G34" i="40" s="1"/>
  <c r="G51" i="40" s="1"/>
  <c r="H26" i="40"/>
  <c r="H34" i="40" s="1"/>
  <c r="H51" i="40" s="1"/>
  <c r="I26" i="40"/>
  <c r="I34" i="40" s="1"/>
  <c r="I51" i="40" s="1"/>
  <c r="J26" i="40"/>
  <c r="J34" i="40" s="1"/>
  <c r="J51" i="40" s="1"/>
  <c r="K26" i="40"/>
  <c r="K34" i="40" s="1"/>
  <c r="K51" i="40" s="1"/>
  <c r="L26" i="40"/>
  <c r="L34" i="40" s="1"/>
  <c r="L51" i="40" s="1"/>
  <c r="M26" i="40"/>
  <c r="M34" i="40" s="1"/>
  <c r="M51" i="40" s="1"/>
  <c r="N26" i="40"/>
  <c r="N34" i="40" s="1"/>
  <c r="N51" i="40" s="1"/>
  <c r="O26" i="40"/>
  <c r="O34" i="40" s="1"/>
  <c r="O51" i="40" s="1"/>
  <c r="F28" i="40"/>
  <c r="G28" i="40"/>
  <c r="H28" i="40"/>
  <c r="I28" i="40"/>
  <c r="J28" i="40"/>
  <c r="K28" i="40"/>
  <c r="L28" i="40"/>
  <c r="M28" i="40"/>
  <c r="N28" i="40"/>
  <c r="O28" i="40"/>
  <c r="G30" i="40"/>
  <c r="H30" i="40"/>
  <c r="I30" i="40"/>
  <c r="J30" i="40"/>
  <c r="K30" i="40"/>
  <c r="L30" i="40"/>
  <c r="M30" i="40"/>
  <c r="N30" i="40"/>
  <c r="O30" i="40"/>
  <c r="F32" i="40"/>
  <c r="G32" i="40"/>
  <c r="H32" i="40"/>
  <c r="I32" i="40"/>
  <c r="J32" i="40"/>
  <c r="K32" i="40"/>
  <c r="L32" i="40"/>
  <c r="M32" i="40"/>
  <c r="N32" i="40"/>
  <c r="O32" i="40"/>
  <c r="D38" i="40"/>
  <c r="D36" i="40"/>
  <c r="D24" i="40"/>
  <c r="D22" i="40"/>
  <c r="Q4" i="40"/>
  <c r="P71" i="40"/>
  <c r="O70" i="40"/>
  <c r="N70" i="40"/>
  <c r="M70" i="40"/>
  <c r="L70" i="40"/>
  <c r="K70" i="40"/>
  <c r="J70" i="40"/>
  <c r="I70" i="40"/>
  <c r="H70" i="40"/>
  <c r="G70" i="40"/>
  <c r="F70" i="40"/>
  <c r="E70" i="40"/>
  <c r="D70" i="40"/>
  <c r="B70" i="40"/>
  <c r="P69" i="40"/>
  <c r="B69" i="40"/>
  <c r="O68" i="40"/>
  <c r="N68" i="40"/>
  <c r="M68" i="40"/>
  <c r="L68" i="40"/>
  <c r="K68" i="40"/>
  <c r="J68" i="40"/>
  <c r="I68" i="40"/>
  <c r="H68" i="40"/>
  <c r="G68" i="40"/>
  <c r="F68" i="40"/>
  <c r="E68" i="40"/>
  <c r="B68" i="40"/>
  <c r="P67" i="40"/>
  <c r="B67" i="40"/>
  <c r="O66" i="40"/>
  <c r="N66" i="40"/>
  <c r="M66" i="40"/>
  <c r="L66" i="40"/>
  <c r="K66" i="40"/>
  <c r="J66" i="40"/>
  <c r="I66" i="40"/>
  <c r="H66" i="40"/>
  <c r="G66" i="40"/>
  <c r="B66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P62" i="40"/>
  <c r="P61" i="40"/>
  <c r="P60" i="40"/>
  <c r="P59" i="40"/>
  <c r="P58" i="40"/>
  <c r="P57" i="40"/>
  <c r="P56" i="40"/>
  <c r="P55" i="40"/>
  <c r="P45" i="40"/>
  <c r="P43" i="40"/>
  <c r="P41" i="40"/>
  <c r="P39" i="40"/>
  <c r="P37" i="40"/>
  <c r="P35" i="40"/>
  <c r="P33" i="40"/>
  <c r="P31" i="40"/>
  <c r="P29" i="40"/>
  <c r="D20" i="40"/>
  <c r="O18" i="40"/>
  <c r="N18" i="40"/>
  <c r="M18" i="40"/>
  <c r="L18" i="40"/>
  <c r="K18" i="40"/>
  <c r="J18" i="40"/>
  <c r="I18" i="40"/>
  <c r="H18" i="40"/>
  <c r="G18" i="40"/>
  <c r="F18" i="40"/>
  <c r="E18" i="40"/>
  <c r="D18" i="40"/>
  <c r="O17" i="40"/>
  <c r="N17" i="40"/>
  <c r="M17" i="40"/>
  <c r="L17" i="40"/>
  <c r="K17" i="40"/>
  <c r="J17" i="40"/>
  <c r="I17" i="40"/>
  <c r="H17" i="40"/>
  <c r="G17" i="40"/>
  <c r="F17" i="40"/>
  <c r="E17" i="40"/>
  <c r="D17" i="40"/>
  <c r="O16" i="40"/>
  <c r="N16" i="40"/>
  <c r="M16" i="40"/>
  <c r="L16" i="40"/>
  <c r="K16" i="40"/>
  <c r="J16" i="40"/>
  <c r="I16" i="40"/>
  <c r="H16" i="40"/>
  <c r="G16" i="40"/>
  <c r="F16" i="40"/>
  <c r="E16" i="40"/>
  <c r="D16" i="40"/>
  <c r="O14" i="40"/>
  <c r="N14" i="40"/>
  <c r="M14" i="40"/>
  <c r="L14" i="40"/>
  <c r="K14" i="40"/>
  <c r="J14" i="40"/>
  <c r="I14" i="40"/>
  <c r="H14" i="40"/>
  <c r="G14" i="40"/>
  <c r="F14" i="40"/>
  <c r="E14" i="40"/>
  <c r="D14" i="40"/>
  <c r="P13" i="40"/>
  <c r="P12" i="40"/>
  <c r="P11" i="40"/>
  <c r="P10" i="40"/>
  <c r="D66" i="40"/>
  <c r="D68" i="40"/>
  <c r="Q324" i="28"/>
  <c r="Q325" i="28"/>
  <c r="Q326" i="28"/>
  <c r="Q327" i="28"/>
  <c r="Q323" i="28"/>
  <c r="M359" i="28"/>
  <c r="N359" i="28"/>
  <c r="O359" i="28"/>
  <c r="B20" i="35"/>
  <c r="B19" i="35"/>
  <c r="B18" i="35"/>
  <c r="B17" i="35"/>
  <c r="B16" i="35"/>
  <c r="B15" i="35"/>
  <c r="I369" i="28"/>
  <c r="J369" i="28"/>
  <c r="L369" i="28"/>
  <c r="M369" i="28"/>
  <c r="N369" i="28"/>
  <c r="O369" i="28"/>
  <c r="M362" i="28"/>
  <c r="N362" i="28"/>
  <c r="O362" i="28"/>
  <c r="M361" i="28"/>
  <c r="N361" i="28"/>
  <c r="O361" i="28"/>
  <c r="W358" i="28"/>
  <c r="U359" i="28"/>
  <c r="U360" i="28"/>
  <c r="G360" i="28" s="1"/>
  <c r="U361" i="28"/>
  <c r="U362" i="28"/>
  <c r="U363" i="28"/>
  <c r="E363" i="28" s="1"/>
  <c r="U365" i="28"/>
  <c r="G365" i="28" s="1"/>
  <c r="G388" i="28" s="1"/>
  <c r="U367" i="28"/>
  <c r="D367" i="28" s="1"/>
  <c r="U369" i="28"/>
  <c r="H367" i="28"/>
  <c r="I367" i="28"/>
  <c r="J367" i="28"/>
  <c r="L367" i="28"/>
  <c r="M367" i="28"/>
  <c r="N367" i="28"/>
  <c r="O367" i="28"/>
  <c r="G363" i="28"/>
  <c r="H363" i="28"/>
  <c r="I363" i="28"/>
  <c r="J363" i="28"/>
  <c r="L363" i="28"/>
  <c r="M363" i="28"/>
  <c r="N363" i="28"/>
  <c r="O363" i="28"/>
  <c r="H369" i="28"/>
  <c r="K363" i="28"/>
  <c r="K367" i="28"/>
  <c r="M368" i="28"/>
  <c r="N368" i="28"/>
  <c r="O368" i="28"/>
  <c r="M365" i="28"/>
  <c r="M388" i="28" s="1"/>
  <c r="N365" i="28"/>
  <c r="N388" i="28" s="1"/>
  <c r="O365" i="28"/>
  <c r="O388" i="28" s="1"/>
  <c r="M364" i="28"/>
  <c r="M371" i="28" s="1"/>
  <c r="N364" i="28"/>
  <c r="O364" i="28"/>
  <c r="M360" i="28"/>
  <c r="N360" i="28"/>
  <c r="O360" i="28"/>
  <c r="M36" i="28"/>
  <c r="K369" i="28"/>
  <c r="I359" i="28"/>
  <c r="J359" i="28"/>
  <c r="G359" i="28"/>
  <c r="K359" i="28"/>
  <c r="L359" i="28"/>
  <c r="H359" i="28"/>
  <c r="I365" i="28"/>
  <c r="I388" i="28" s="1"/>
  <c r="I360" i="28"/>
  <c r="L365" i="28"/>
  <c r="L388" i="28" s="1"/>
  <c r="H360" i="28"/>
  <c r="J365" i="28"/>
  <c r="J388" i="28" s="1"/>
  <c r="J360" i="28"/>
  <c r="H365" i="28"/>
  <c r="H388" i="28" s="1"/>
  <c r="K365" i="28"/>
  <c r="K388" i="28" s="1"/>
  <c r="K360" i="28"/>
  <c r="L368" i="28"/>
  <c r="L364" i="28"/>
  <c r="L371" i="28" s="1"/>
  <c r="L360" i="28"/>
  <c r="D27" i="27"/>
  <c r="E92" i="38" s="1"/>
  <c r="E103" i="38" s="1"/>
  <c r="E27" i="27"/>
  <c r="F92" i="38" s="1"/>
  <c r="F27" i="27"/>
  <c r="G92" i="38" s="1"/>
  <c r="G27" i="27"/>
  <c r="H92" i="38" s="1"/>
  <c r="H27" i="27"/>
  <c r="I92" i="38" s="1"/>
  <c r="I103" i="38" s="1"/>
  <c r="I27" i="27"/>
  <c r="J92" i="38" s="1"/>
  <c r="J103" i="38" s="1"/>
  <c r="J102" i="38" s="1"/>
  <c r="J27" i="27"/>
  <c r="K92" i="38" s="1"/>
  <c r="K27" i="27"/>
  <c r="L92" i="38" s="1"/>
  <c r="L103" i="38" s="1"/>
  <c r="L102" i="38" s="1"/>
  <c r="L27" i="27"/>
  <c r="M92" i="38" s="1"/>
  <c r="M103" i="38" s="1"/>
  <c r="M102" i="38" s="1"/>
  <c r="M27" i="27"/>
  <c r="N92" i="38" s="1"/>
  <c r="N103" i="38" s="1"/>
  <c r="N27" i="27"/>
  <c r="O92" i="38" s="1"/>
  <c r="C27" i="27"/>
  <c r="D93" i="38"/>
  <c r="L362" i="28"/>
  <c r="L361" i="28"/>
  <c r="K361" i="28"/>
  <c r="I361" i="28"/>
  <c r="J361" i="28"/>
  <c r="H361" i="28"/>
  <c r="I362" i="28"/>
  <c r="H362" i="28"/>
  <c r="J362" i="28"/>
  <c r="K362" i="28"/>
  <c r="I368" i="28"/>
  <c r="K368" i="28"/>
  <c r="G368" i="28"/>
  <c r="H368" i="28"/>
  <c r="J368" i="28"/>
  <c r="P296" i="28"/>
  <c r="P298" i="28"/>
  <c r="P300" i="28"/>
  <c r="P302" i="28"/>
  <c r="P304" i="28"/>
  <c r="P306" i="28"/>
  <c r="D313" i="28"/>
  <c r="H305" i="28"/>
  <c r="I305" i="28"/>
  <c r="J305" i="28"/>
  <c r="K305" i="28"/>
  <c r="L305" i="28"/>
  <c r="M305" i="28"/>
  <c r="N305" i="28"/>
  <c r="O305" i="28"/>
  <c r="F303" i="28"/>
  <c r="H303" i="28"/>
  <c r="I303" i="28"/>
  <c r="J303" i="28"/>
  <c r="K303" i="28"/>
  <c r="L303" i="28"/>
  <c r="M303" i="28"/>
  <c r="N303" i="28"/>
  <c r="O303" i="28"/>
  <c r="D299" i="28"/>
  <c r="D293" i="28"/>
  <c r="E96" i="38"/>
  <c r="F96" i="38"/>
  <c r="G96" i="38"/>
  <c r="H96" i="38"/>
  <c r="I96" i="38"/>
  <c r="J96" i="38"/>
  <c r="K96" i="38"/>
  <c r="L96" i="38"/>
  <c r="M96" i="38"/>
  <c r="N96" i="38"/>
  <c r="O96" i="38"/>
  <c r="D96" i="38"/>
  <c r="F95" i="38"/>
  <c r="G95" i="38"/>
  <c r="H95" i="38"/>
  <c r="I95" i="38"/>
  <c r="J95" i="38"/>
  <c r="K95" i="38"/>
  <c r="L95" i="38"/>
  <c r="M95" i="38"/>
  <c r="N95" i="38"/>
  <c r="O95" i="38"/>
  <c r="D94" i="38"/>
  <c r="P110" i="38"/>
  <c r="P109" i="38"/>
  <c r="D95" i="38"/>
  <c r="P276" i="28"/>
  <c r="P277" i="28" s="1"/>
  <c r="O137" i="28"/>
  <c r="O136" i="28"/>
  <c r="O135" i="28"/>
  <c r="N137" i="28"/>
  <c r="N136" i="28"/>
  <c r="N135" i="28"/>
  <c r="M137" i="28"/>
  <c r="M136" i="28"/>
  <c r="M135" i="28"/>
  <c r="L137" i="28"/>
  <c r="L136" i="28"/>
  <c r="L135" i="28"/>
  <c r="O134" i="28"/>
  <c r="N134" i="28"/>
  <c r="M134" i="28"/>
  <c r="L134" i="28"/>
  <c r="K134" i="28"/>
  <c r="J134" i="28"/>
  <c r="I134" i="28"/>
  <c r="H134" i="28"/>
  <c r="G134" i="28"/>
  <c r="F134" i="28"/>
  <c r="E136" i="28"/>
  <c r="B142" i="28"/>
  <c r="B134" i="28"/>
  <c r="Q134" i="28"/>
  <c r="Q133" i="28"/>
  <c r="O337" i="28"/>
  <c r="N337" i="28"/>
  <c r="M337" i="28"/>
  <c r="L337" i="28"/>
  <c r="K337" i="28"/>
  <c r="J337" i="28"/>
  <c r="I337" i="28"/>
  <c r="H337" i="28"/>
  <c r="G337" i="28"/>
  <c r="F337" i="28"/>
  <c r="E337" i="28"/>
  <c r="D337" i="28"/>
  <c r="P324" i="28"/>
  <c r="P325" i="28"/>
  <c r="P326" i="28"/>
  <c r="P327" i="28"/>
  <c r="P331" i="28"/>
  <c r="P332" i="28"/>
  <c r="P333" i="28"/>
  <c r="P334" i="28"/>
  <c r="P335" i="28"/>
  <c r="P336" i="28"/>
  <c r="P323" i="28"/>
  <c r="K136" i="28"/>
  <c r="K135" i="28"/>
  <c r="J135" i="28"/>
  <c r="J136" i="28"/>
  <c r="I135" i="28"/>
  <c r="I136" i="28"/>
  <c r="H135" i="28"/>
  <c r="H136" i="28"/>
  <c r="G136" i="28"/>
  <c r="G135" i="28"/>
  <c r="F136" i="28"/>
  <c r="F135" i="28"/>
  <c r="P76" i="38"/>
  <c r="P75" i="38"/>
  <c r="E95" i="38"/>
  <c r="E285" i="28"/>
  <c r="F285" i="28"/>
  <c r="G285" i="28"/>
  <c r="H285" i="28"/>
  <c r="I285" i="28"/>
  <c r="J285" i="28"/>
  <c r="K285" i="28"/>
  <c r="L285" i="28"/>
  <c r="M285" i="28"/>
  <c r="N285" i="28"/>
  <c r="O285" i="28"/>
  <c r="D285" i="28"/>
  <c r="D284" i="28"/>
  <c r="E284" i="28"/>
  <c r="F284" i="28"/>
  <c r="G284" i="28"/>
  <c r="H284" i="28"/>
  <c r="I284" i="28"/>
  <c r="J284" i="28"/>
  <c r="K284" i="28"/>
  <c r="L284" i="28"/>
  <c r="M284" i="28"/>
  <c r="N284" i="28"/>
  <c r="O284" i="28"/>
  <c r="E283" i="28"/>
  <c r="F283" i="28"/>
  <c r="G283" i="28"/>
  <c r="H283" i="28"/>
  <c r="I283" i="28"/>
  <c r="J283" i="28"/>
  <c r="K283" i="28"/>
  <c r="L283" i="28"/>
  <c r="M283" i="28"/>
  <c r="N283" i="28"/>
  <c r="O283" i="28"/>
  <c r="D283" i="28"/>
  <c r="O5" i="38"/>
  <c r="N5" i="38"/>
  <c r="M5" i="38"/>
  <c r="L5" i="38"/>
  <c r="K5" i="38"/>
  <c r="J5" i="38"/>
  <c r="I5" i="38"/>
  <c r="H5" i="38"/>
  <c r="G5" i="38"/>
  <c r="F5" i="38"/>
  <c r="E5" i="38"/>
  <c r="D5" i="38"/>
  <c r="O4" i="38"/>
  <c r="N4" i="38"/>
  <c r="M4" i="38"/>
  <c r="L4" i="38"/>
  <c r="K4" i="38"/>
  <c r="J4" i="38"/>
  <c r="I4" i="38"/>
  <c r="H4" i="38"/>
  <c r="G4" i="38"/>
  <c r="F4" i="38"/>
  <c r="E4" i="38"/>
  <c r="D4" i="38"/>
  <c r="D3" i="38"/>
  <c r="D287" i="28"/>
  <c r="Q16" i="27"/>
  <c r="P2" i="27"/>
  <c r="Q76" i="28"/>
  <c r="P76" i="28" s="1"/>
  <c r="Q77" i="28"/>
  <c r="P77" i="28" s="1"/>
  <c r="Q78" i="28"/>
  <c r="P78" i="28" s="1"/>
  <c r="Q79" i="28"/>
  <c r="P79" i="28" s="1"/>
  <c r="Q80" i="28"/>
  <c r="P80" i="28" s="1"/>
  <c r="Q81" i="28"/>
  <c r="P81" i="28" s="1"/>
  <c r="Q82" i="28"/>
  <c r="P82" i="28" s="1"/>
  <c r="Q83" i="28"/>
  <c r="P83" i="28" s="1"/>
  <c r="Q84" i="28"/>
  <c r="P84" i="28" s="1"/>
  <c r="Q85" i="28"/>
  <c r="P85" i="28" s="1"/>
  <c r="Q86" i="28"/>
  <c r="P86" i="28" s="1"/>
  <c r="Q87" i="28"/>
  <c r="P87" i="28" s="1"/>
  <c r="Q88" i="28"/>
  <c r="P88" i="28" s="1"/>
  <c r="Q89" i="28"/>
  <c r="P89" i="28" s="1"/>
  <c r="Q90" i="28"/>
  <c r="P90" i="28" s="1"/>
  <c r="Q91" i="28"/>
  <c r="P91" i="28" s="1"/>
  <c r="Q92" i="28"/>
  <c r="P92" i="28" s="1"/>
  <c r="Q93" i="28"/>
  <c r="P93" i="28" s="1"/>
  <c r="Q94" i="28"/>
  <c r="P94" i="28" s="1"/>
  <c r="Q95" i="28"/>
  <c r="P95" i="28" s="1"/>
  <c r="Q96" i="28"/>
  <c r="P96" i="28" s="1"/>
  <c r="Q97" i="28"/>
  <c r="P97" i="28" s="1"/>
  <c r="Q98" i="28"/>
  <c r="P98" i="28" s="1"/>
  <c r="Q99" i="28"/>
  <c r="P99" i="28" s="1"/>
  <c r="Q100" i="28"/>
  <c r="P100" i="28" s="1"/>
  <c r="Q101" i="28"/>
  <c r="P101" i="28" s="1"/>
  <c r="Q102" i="28"/>
  <c r="P102" i="28" s="1"/>
  <c r="Q103" i="28"/>
  <c r="P103" i="28" s="1"/>
  <c r="Q104" i="28"/>
  <c r="P104" i="28" s="1"/>
  <c r="Q105" i="28"/>
  <c r="P105" i="28" s="1"/>
  <c r="Q75" i="28"/>
  <c r="P75" i="28" s="1"/>
  <c r="P13" i="28"/>
  <c r="E132" i="28" s="1"/>
  <c r="P4" i="27"/>
  <c r="B180" i="28"/>
  <c r="B181" i="28"/>
  <c r="B182" i="28"/>
  <c r="B183" i="28"/>
  <c r="B184" i="28"/>
  <c r="B185" i="28"/>
  <c r="B186" i="28"/>
  <c r="B187" i="28"/>
  <c r="B160" i="28"/>
  <c r="B161" i="28"/>
  <c r="B162" i="28"/>
  <c r="B163" i="28"/>
  <c r="B164" i="28"/>
  <c r="B165" i="28"/>
  <c r="B166" i="28"/>
  <c r="B167" i="28"/>
  <c r="B168" i="28"/>
  <c r="B143" i="28"/>
  <c r="B144" i="28"/>
  <c r="B145" i="28"/>
  <c r="B148" i="28"/>
  <c r="B149" i="28"/>
  <c r="B150" i="28"/>
  <c r="B151" i="28"/>
  <c r="B152" i="28"/>
  <c r="B153" i="28"/>
  <c r="B154" i="28"/>
  <c r="B155" i="28"/>
  <c r="B156" i="28"/>
  <c r="Q143" i="28"/>
  <c r="Q144" i="28"/>
  <c r="Q145" i="28"/>
  <c r="Q146" i="28"/>
  <c r="Q147" i="28"/>
  <c r="Q148" i="28"/>
  <c r="Q149" i="28"/>
  <c r="Q150" i="28"/>
  <c r="Q151" i="28"/>
  <c r="Q152" i="28"/>
  <c r="Q153" i="28"/>
  <c r="Q154" i="28"/>
  <c r="Q155" i="28"/>
  <c r="Q156" i="28"/>
  <c r="Q157" i="28"/>
  <c r="Q158" i="28"/>
  <c r="Q159" i="28"/>
  <c r="Q160" i="28"/>
  <c r="Q161" i="28"/>
  <c r="Q162" i="28"/>
  <c r="Q163" i="28"/>
  <c r="Q164" i="28"/>
  <c r="Q165" i="28"/>
  <c r="Q166" i="28"/>
  <c r="Q167" i="28"/>
  <c r="Q168" i="28"/>
  <c r="Q169" i="28"/>
  <c r="Q170" i="28"/>
  <c r="Q171" i="28"/>
  <c r="Q173" i="28"/>
  <c r="Q174" i="28"/>
  <c r="Q175" i="28"/>
  <c r="Q176" i="28"/>
  <c r="Q177" i="28"/>
  <c r="Q178" i="28"/>
  <c r="Q179" i="28"/>
  <c r="Q180" i="28"/>
  <c r="Q181" i="28"/>
  <c r="Q182" i="28"/>
  <c r="Q183" i="28"/>
  <c r="Q184" i="28"/>
  <c r="Q185" i="28"/>
  <c r="Q186" i="28"/>
  <c r="Q187" i="28"/>
  <c r="Q142" i="28"/>
  <c r="AE3" i="16"/>
  <c r="AE2" i="16"/>
  <c r="R123" i="28"/>
  <c r="R124" i="28"/>
  <c r="R125" i="28"/>
  <c r="R126" i="28"/>
  <c r="S123" i="28"/>
  <c r="S124" i="28"/>
  <c r="S125" i="28"/>
  <c r="S126" i="28"/>
  <c r="E23" i="28"/>
  <c r="F23" i="28"/>
  <c r="F137" i="28"/>
  <c r="G23" i="28"/>
  <c r="G137" i="28"/>
  <c r="H23" i="28"/>
  <c r="H137" i="28"/>
  <c r="I23" i="28"/>
  <c r="I137" i="28"/>
  <c r="J23" i="28"/>
  <c r="J137" i="28"/>
  <c r="K23" i="28"/>
  <c r="K137" i="28"/>
  <c r="L23" i="28"/>
  <c r="M23" i="28"/>
  <c r="N23" i="28"/>
  <c r="O23" i="28"/>
  <c r="D23" i="28"/>
  <c r="B121" i="28"/>
  <c r="B122" i="28"/>
  <c r="B123" i="28"/>
  <c r="B124" i="28"/>
  <c r="B125" i="28"/>
  <c r="B126" i="28"/>
  <c r="R121" i="28"/>
  <c r="R122" i="28"/>
  <c r="Q5" i="28"/>
  <c r="S3" i="28"/>
  <c r="R3" i="28"/>
  <c r="Q3" i="28"/>
  <c r="B34" i="35"/>
  <c r="B33" i="35"/>
  <c r="B32" i="35"/>
  <c r="B31" i="35"/>
  <c r="B30" i="35"/>
  <c r="B29" i="35"/>
  <c r="B28" i="35"/>
  <c r="B27" i="35"/>
  <c r="B26" i="35"/>
  <c r="D104" i="29"/>
  <c r="D192" i="29"/>
  <c r="D188" i="29"/>
  <c r="D179" i="29"/>
  <c r="D173" i="29"/>
  <c r="D168" i="29"/>
  <c r="D161" i="29"/>
  <c r="D154" i="29"/>
  <c r="D149" i="29"/>
  <c r="D145" i="29"/>
  <c r="D137" i="29"/>
  <c r="D131" i="29"/>
  <c r="D127" i="29"/>
  <c r="D120" i="29"/>
  <c r="D109" i="29"/>
  <c r="D101" i="29"/>
  <c r="D97" i="29"/>
  <c r="D89" i="29"/>
  <c r="D84" i="29"/>
  <c r="D78" i="29"/>
  <c r="D70" i="29"/>
  <c r="D65" i="29"/>
  <c r="D58" i="29"/>
  <c r="D50" i="29"/>
  <c r="D44" i="29"/>
  <c r="D39" i="29"/>
  <c r="D25" i="29"/>
  <c r="D21" i="29"/>
  <c r="D15" i="29"/>
  <c r="D12" i="29"/>
  <c r="D6" i="29"/>
  <c r="D2" i="29"/>
  <c r="J24" i="18"/>
  <c r="B377" i="28"/>
  <c r="B379" i="28"/>
  <c r="B380" i="28"/>
  <c r="P381" i="28"/>
  <c r="K380" i="28"/>
  <c r="P379" i="28"/>
  <c r="D378" i="28" s="1"/>
  <c r="K378" i="28"/>
  <c r="M376" i="28"/>
  <c r="P216" i="28"/>
  <c r="P217" i="28"/>
  <c r="P218" i="28"/>
  <c r="P219" i="28"/>
  <c r="P220" i="28"/>
  <c r="P222" i="28"/>
  <c r="P223" i="28"/>
  <c r="P224" i="28"/>
  <c r="P225" i="28"/>
  <c r="P261" i="28"/>
  <c r="P214" i="28"/>
  <c r="P215" i="28"/>
  <c r="P221" i="28"/>
  <c r="O376" i="28"/>
  <c r="O378" i="28"/>
  <c r="O380" i="28"/>
  <c r="N380" i="28"/>
  <c r="N378" i="28"/>
  <c r="M378" i="28"/>
  <c r="L380" i="28"/>
  <c r="F380" i="28"/>
  <c r="M380" i="28"/>
  <c r="H378" i="28"/>
  <c r="I378" i="28"/>
  <c r="D380" i="28"/>
  <c r="G380" i="28"/>
  <c r="H380" i="28"/>
  <c r="E380" i="28"/>
  <c r="J380" i="28"/>
  <c r="F378" i="28"/>
  <c r="E378" i="28"/>
  <c r="J378" i="28"/>
  <c r="G378" i="28"/>
  <c r="I380" i="28"/>
  <c r="F376" i="28"/>
  <c r="N376" i="28"/>
  <c r="I376" i="28"/>
  <c r="J376" i="28"/>
  <c r="G376" i="28"/>
  <c r="K376" i="28"/>
  <c r="H376" i="28"/>
  <c r="L376" i="28"/>
  <c r="P8" i="28"/>
  <c r="F6" i="18"/>
  <c r="P352" i="28"/>
  <c r="H364" i="28"/>
  <c r="H371" i="28" s="1"/>
  <c r="I364" i="28"/>
  <c r="J364" i="28"/>
  <c r="K364" i="28"/>
  <c r="K371" i="28" s="1"/>
  <c r="P345" i="28"/>
  <c r="P346" i="28"/>
  <c r="P142" i="28"/>
  <c r="P159" i="28"/>
  <c r="P160" i="28"/>
  <c r="P161" i="28"/>
  <c r="P162" i="28"/>
  <c r="P163" i="28"/>
  <c r="P164" i="28"/>
  <c r="P165" i="28"/>
  <c r="P166" i="28"/>
  <c r="P167" i="28"/>
  <c r="P168" i="28"/>
  <c r="P170" i="28"/>
  <c r="P171" i="28"/>
  <c r="P172" i="28"/>
  <c r="P173" i="28"/>
  <c r="P174" i="28"/>
  <c r="P175" i="28"/>
  <c r="P176" i="28"/>
  <c r="P177" i="28"/>
  <c r="P178" i="28"/>
  <c r="P179" i="28"/>
  <c r="P180" i="28"/>
  <c r="P181" i="28"/>
  <c r="P182" i="28"/>
  <c r="P183" i="28"/>
  <c r="P184" i="28"/>
  <c r="P185" i="28"/>
  <c r="P186" i="28"/>
  <c r="P187" i="28"/>
  <c r="P158" i="28"/>
  <c r="P143" i="28"/>
  <c r="P144" i="28"/>
  <c r="P145" i="28"/>
  <c r="P146" i="28"/>
  <c r="P147" i="28"/>
  <c r="P148" i="28"/>
  <c r="P149" i="28"/>
  <c r="P150" i="28"/>
  <c r="P151" i="28"/>
  <c r="P152" i="28"/>
  <c r="P153" i="28"/>
  <c r="P154" i="28"/>
  <c r="P155" i="28"/>
  <c r="P156" i="28"/>
  <c r="F15" i="28"/>
  <c r="E15" i="28"/>
  <c r="D15" i="28"/>
  <c r="D3" i="28"/>
  <c r="F5" i="28"/>
  <c r="F7" i="33" s="1"/>
  <c r="G5" i="28"/>
  <c r="G7" i="33" s="1"/>
  <c r="H5" i="28"/>
  <c r="H7" i="33" s="1"/>
  <c r="I5" i="28"/>
  <c r="I7" i="33" s="1"/>
  <c r="J5" i="28"/>
  <c r="J7" i="33" s="1"/>
  <c r="K5" i="28"/>
  <c r="K7" i="33" s="1"/>
  <c r="L5" i="28"/>
  <c r="L7" i="33" s="1"/>
  <c r="M5" i="28"/>
  <c r="M7" i="33" s="1"/>
  <c r="N5" i="28"/>
  <c r="O7" i="33" s="1"/>
  <c r="O5" i="28"/>
  <c r="P7" i="33" s="1"/>
  <c r="E5" i="28"/>
  <c r="E7" i="33" s="1"/>
  <c r="D5" i="28"/>
  <c r="D7" i="33" s="1"/>
  <c r="O7" i="18"/>
  <c r="L7" i="18"/>
  <c r="K7" i="18"/>
  <c r="H7" i="18"/>
  <c r="G7" i="18"/>
  <c r="F7" i="18"/>
  <c r="O6" i="18"/>
  <c r="L6" i="18"/>
  <c r="K6" i="18"/>
  <c r="H6" i="18"/>
  <c r="G6" i="18"/>
  <c r="P342" i="28"/>
  <c r="P343" i="28"/>
  <c r="P344" i="28"/>
  <c r="P347" i="28"/>
  <c r="N14" i="28"/>
  <c r="P322" i="28"/>
  <c r="O349" i="28"/>
  <c r="N349" i="28"/>
  <c r="M349" i="28"/>
  <c r="L349" i="28"/>
  <c r="K349" i="28"/>
  <c r="J349" i="28"/>
  <c r="I349" i="28"/>
  <c r="H349" i="28"/>
  <c r="G349" i="28"/>
  <c r="F349" i="28"/>
  <c r="D349" i="28"/>
  <c r="P348" i="28"/>
  <c r="P341" i="28"/>
  <c r="G15" i="18"/>
  <c r="G13" i="18"/>
  <c r="G14" i="18"/>
  <c r="G12" i="18"/>
  <c r="G11" i="18"/>
  <c r="J12" i="18"/>
  <c r="J13" i="18"/>
  <c r="J14" i="18"/>
  <c r="J15" i="18"/>
  <c r="O14" i="28"/>
  <c r="O15" i="28"/>
  <c r="N28" i="27"/>
  <c r="N32" i="27" s="1"/>
  <c r="N29" i="27"/>
  <c r="N33" i="27" s="1"/>
  <c r="F5" i="18"/>
  <c r="G10" i="18"/>
  <c r="Q6" i="18"/>
  <c r="D25" i="28"/>
  <c r="G15" i="28"/>
  <c r="H15" i="28"/>
  <c r="I15" i="28"/>
  <c r="J15" i="28"/>
  <c r="K15" i="28"/>
  <c r="L15" i="28"/>
  <c r="M15" i="28"/>
  <c r="N15" i="28"/>
  <c r="F14" i="28"/>
  <c r="G14" i="28"/>
  <c r="H14" i="28"/>
  <c r="I14" i="28"/>
  <c r="J14" i="28"/>
  <c r="K14" i="28"/>
  <c r="L14" i="28"/>
  <c r="M14" i="28"/>
  <c r="B15" i="28"/>
  <c r="B14" i="28"/>
  <c r="M28" i="27"/>
  <c r="M32" i="27" s="1"/>
  <c r="M29" i="27"/>
  <c r="M33" i="27" s="1"/>
  <c r="K8" i="38"/>
  <c r="K9" i="38" s="1"/>
  <c r="H28" i="27"/>
  <c r="H32" i="27" s="1"/>
  <c r="I28" i="27"/>
  <c r="I32" i="27" s="1"/>
  <c r="J28" i="27"/>
  <c r="J32" i="27" s="1"/>
  <c r="K28" i="27"/>
  <c r="K32" i="27" s="1"/>
  <c r="L28" i="27"/>
  <c r="L32" i="27" s="1"/>
  <c r="H29" i="27"/>
  <c r="H33" i="27" s="1"/>
  <c r="I29" i="27"/>
  <c r="I33" i="27" s="1"/>
  <c r="J29" i="27"/>
  <c r="J33" i="27" s="1"/>
  <c r="K29" i="27"/>
  <c r="K33" i="27" s="1"/>
  <c r="L29" i="27"/>
  <c r="L33" i="27" s="1"/>
  <c r="G29" i="27"/>
  <c r="G33" i="27" s="1"/>
  <c r="F29" i="27"/>
  <c r="F33" i="27" s="1"/>
  <c r="E29" i="27"/>
  <c r="E33" i="27" s="1"/>
  <c r="D29" i="27"/>
  <c r="D33" i="27" s="1"/>
  <c r="C29" i="27"/>
  <c r="G28" i="27"/>
  <c r="G32" i="27" s="1"/>
  <c r="F28" i="27"/>
  <c r="F32" i="27" s="1"/>
  <c r="E28" i="27"/>
  <c r="E32" i="27" s="1"/>
  <c r="D28" i="27"/>
  <c r="C32" i="27"/>
  <c r="G8" i="38"/>
  <c r="G9" i="38" s="1"/>
  <c r="E9" i="38"/>
  <c r="S121" i="28"/>
  <c r="S122" i="28"/>
  <c r="J11" i="18"/>
  <c r="G367" i="28" l="1"/>
  <c r="F367" i="28"/>
  <c r="D49" i="29"/>
  <c r="D108" i="29"/>
  <c r="D363" i="28"/>
  <c r="Q109" i="38"/>
  <c r="F66" i="40"/>
  <c r="F72" i="40" s="1"/>
  <c r="E66" i="40"/>
  <c r="F48" i="40"/>
  <c r="F52" i="40" s="1"/>
  <c r="F34" i="40"/>
  <c r="F51" i="40" s="1"/>
  <c r="P24" i="40"/>
  <c r="P42" i="40"/>
  <c r="F363" i="28"/>
  <c r="P363" i="28" s="1"/>
  <c r="P125" i="28"/>
  <c r="D144" i="29"/>
  <c r="D64" i="29"/>
  <c r="D130" i="29"/>
  <c r="D160" i="29"/>
  <c r="D178" i="29"/>
  <c r="D6" i="33"/>
  <c r="M6" i="33"/>
  <c r="Q75" i="38"/>
  <c r="P28" i="40"/>
  <c r="D20" i="29"/>
  <c r="D88" i="29"/>
  <c r="M27" i="28"/>
  <c r="M32" i="28" s="1"/>
  <c r="M29" i="28"/>
  <c r="M28" i="28"/>
  <c r="M30" i="28"/>
  <c r="M26" i="28"/>
  <c r="E27" i="28"/>
  <c r="E32" i="28" s="1"/>
  <c r="E29" i="28"/>
  <c r="U121" i="28" s="1"/>
  <c r="E28" i="28"/>
  <c r="U120" i="28" s="1"/>
  <c r="S120" i="28" s="1"/>
  <c r="E30" i="28"/>
  <c r="E26" i="28"/>
  <c r="O27" i="28"/>
  <c r="O32" i="28" s="1"/>
  <c r="O28" i="28"/>
  <c r="O26" i="28"/>
  <c r="O29" i="28"/>
  <c r="O30" i="28"/>
  <c r="K28" i="28"/>
  <c r="K30" i="28"/>
  <c r="K26" i="28"/>
  <c r="K27" i="28"/>
  <c r="K32" i="28" s="1"/>
  <c r="K29" i="28"/>
  <c r="G28" i="28"/>
  <c r="G30" i="28"/>
  <c r="G26" i="28"/>
  <c r="G27" i="28"/>
  <c r="G32" i="28" s="1"/>
  <c r="G29" i="28"/>
  <c r="N26" i="28"/>
  <c r="N27" i="28"/>
  <c r="N32" i="28" s="1"/>
  <c r="N29" i="28"/>
  <c r="N28" i="28"/>
  <c r="N30" i="28"/>
  <c r="P46" i="40"/>
  <c r="J26" i="28"/>
  <c r="J27" i="28"/>
  <c r="J32" i="28" s="1"/>
  <c r="J29" i="28"/>
  <c r="J28" i="28"/>
  <c r="J30" i="28"/>
  <c r="F26" i="28"/>
  <c r="F27" i="28"/>
  <c r="F32" i="28" s="1"/>
  <c r="F29" i="28"/>
  <c r="F28" i="28"/>
  <c r="F30" i="28"/>
  <c r="P30" i="40"/>
  <c r="L49" i="40"/>
  <c r="H49" i="40"/>
  <c r="I27" i="28"/>
  <c r="I32" i="28" s="1"/>
  <c r="I29" i="28"/>
  <c r="I28" i="28"/>
  <c r="I30" i="28"/>
  <c r="I26" i="28"/>
  <c r="L28" i="28"/>
  <c r="L30" i="28"/>
  <c r="L26" i="28"/>
  <c r="L27" i="28"/>
  <c r="L32" i="28" s="1"/>
  <c r="L29" i="28"/>
  <c r="H28" i="28"/>
  <c r="H30" i="28"/>
  <c r="H26" i="28"/>
  <c r="H27" i="28"/>
  <c r="H29" i="28"/>
  <c r="P26" i="40"/>
  <c r="P32" i="40"/>
  <c r="O49" i="40"/>
  <c r="G49" i="40"/>
  <c r="J72" i="40"/>
  <c r="N72" i="40"/>
  <c r="L378" i="28"/>
  <c r="L382" i="28" s="1"/>
  <c r="L390" i="28" s="1"/>
  <c r="P70" i="40"/>
  <c r="G72" i="40"/>
  <c r="K72" i="40"/>
  <c r="O72" i="40"/>
  <c r="D376" i="28"/>
  <c r="D382" i="28" s="1"/>
  <c r="P123" i="28"/>
  <c r="F270" i="28"/>
  <c r="J270" i="28"/>
  <c r="N270" i="28"/>
  <c r="G270" i="28"/>
  <c r="K270" i="28"/>
  <c r="O270" i="28"/>
  <c r="D270" i="28"/>
  <c r="H270" i="28"/>
  <c r="L270" i="28"/>
  <c r="E270" i="28"/>
  <c r="I270" i="28"/>
  <c r="M270" i="28"/>
  <c r="O301" i="28"/>
  <c r="O318" i="28" s="1"/>
  <c r="O315" i="28"/>
  <c r="O319" i="28" s="1"/>
  <c r="N301" i="28"/>
  <c r="N318" i="28" s="1"/>
  <c r="N315" i="28"/>
  <c r="N319" i="28" s="1"/>
  <c r="M301" i="28"/>
  <c r="M318" i="28" s="1"/>
  <c r="M315" i="28"/>
  <c r="L301" i="28"/>
  <c r="L318" i="28" s="1"/>
  <c r="L315" i="28"/>
  <c r="L319" i="28" s="1"/>
  <c r="K301" i="28"/>
  <c r="K318" i="28" s="1"/>
  <c r="K315" i="28"/>
  <c r="K319" i="28" s="1"/>
  <c r="J315" i="28"/>
  <c r="J319" i="28" s="1"/>
  <c r="J301" i="28"/>
  <c r="J318" i="28" s="1"/>
  <c r="I301" i="28"/>
  <c r="I318" i="28" s="1"/>
  <c r="I315" i="28"/>
  <c r="I319" i="28" s="1"/>
  <c r="H301" i="28"/>
  <c r="H315" i="28"/>
  <c r="H319" i="28" s="1"/>
  <c r="G318" i="28"/>
  <c r="G315" i="28"/>
  <c r="G319" i="28" s="1"/>
  <c r="F301" i="28"/>
  <c r="F318" i="28" s="1"/>
  <c r="P281" i="28"/>
  <c r="G14" i="33" s="1"/>
  <c r="D92" i="38"/>
  <c r="D98" i="38" s="1"/>
  <c r="O27" i="27"/>
  <c r="P58" i="38"/>
  <c r="B59" i="38" s="1"/>
  <c r="O25" i="27"/>
  <c r="D31" i="28"/>
  <c r="K37" i="28"/>
  <c r="K42" i="28" s="1"/>
  <c r="K61" i="28" s="1"/>
  <c r="N39" i="28"/>
  <c r="J37" i="28"/>
  <c r="J42" i="28" s="1"/>
  <c r="J61" i="28" s="1"/>
  <c r="M40" i="28"/>
  <c r="I38" i="28"/>
  <c r="I43" i="28" s="1"/>
  <c r="I62" i="28" s="1"/>
  <c r="D39" i="28"/>
  <c r="G37" i="28"/>
  <c r="G42" i="28" s="1"/>
  <c r="G61" i="28" s="1"/>
  <c r="F37" i="28"/>
  <c r="F42" i="28" s="1"/>
  <c r="F61" i="28" s="1"/>
  <c r="L38" i="28"/>
  <c r="L43" i="28" s="1"/>
  <c r="L62" i="28" s="1"/>
  <c r="H41" i="28"/>
  <c r="H60" i="28" s="1"/>
  <c r="H65" i="28" s="1"/>
  <c r="O41" i="28"/>
  <c r="O60" i="28" s="1"/>
  <c r="O65" i="28" s="1"/>
  <c r="E37" i="28"/>
  <c r="E42" i="28" s="1"/>
  <c r="O29" i="27"/>
  <c r="C33" i="27"/>
  <c r="O33" i="27" s="1"/>
  <c r="M17" i="33" s="1"/>
  <c r="D32" i="27"/>
  <c r="O32" i="27" s="1"/>
  <c r="L17" i="33" s="1"/>
  <c r="O28" i="27"/>
  <c r="I97" i="38"/>
  <c r="L98" i="38"/>
  <c r="P68" i="40"/>
  <c r="H72" i="40"/>
  <c r="L72" i="40"/>
  <c r="I72" i="40"/>
  <c r="M72" i="40"/>
  <c r="M97" i="38"/>
  <c r="I98" i="38"/>
  <c r="L97" i="38"/>
  <c r="M98" i="38"/>
  <c r="O97" i="38"/>
  <c r="O103" i="38"/>
  <c r="K103" i="38"/>
  <c r="K104" i="38" s="1"/>
  <c r="K105" i="38" s="1"/>
  <c r="K97" i="38"/>
  <c r="G103" i="38"/>
  <c r="G104" i="38" s="1"/>
  <c r="G105" i="38" s="1"/>
  <c r="G97" i="38"/>
  <c r="G98" i="38"/>
  <c r="H103" i="38"/>
  <c r="H104" i="38" s="1"/>
  <c r="H105" i="38" s="1"/>
  <c r="H97" i="38"/>
  <c r="M104" i="38"/>
  <c r="M105" i="38" s="1"/>
  <c r="H98" i="38"/>
  <c r="O98" i="38"/>
  <c r="J98" i="38"/>
  <c r="L104" i="38"/>
  <c r="L105" i="38" s="1"/>
  <c r="J97" i="38"/>
  <c r="N104" i="38"/>
  <c r="N105" i="38" s="1"/>
  <c r="N102" i="38"/>
  <c r="I102" i="38"/>
  <c r="I104" i="38"/>
  <c r="I105" i="38" s="1"/>
  <c r="H102" i="38"/>
  <c r="E97" i="38"/>
  <c r="K98" i="38"/>
  <c r="J104" i="38"/>
  <c r="J105" i="38" s="1"/>
  <c r="N98" i="38"/>
  <c r="E98" i="38"/>
  <c r="N97" i="38"/>
  <c r="E367" i="28"/>
  <c r="P367" i="28" s="1"/>
  <c r="E137" i="28"/>
  <c r="E138" i="28" s="1"/>
  <c r="D136" i="28"/>
  <c r="D137" i="28"/>
  <c r="P44" i="40"/>
  <c r="D34" i="40"/>
  <c r="D51" i="40" s="1"/>
  <c r="E34" i="40"/>
  <c r="E51" i="40" s="1"/>
  <c r="P63" i="40"/>
  <c r="L35" i="33" s="1"/>
  <c r="D72" i="40"/>
  <c r="I40" i="28"/>
  <c r="F365" i="28"/>
  <c r="F359" i="28"/>
  <c r="O37" i="28"/>
  <c r="O42" i="28" s="1"/>
  <c r="O61" i="28" s="1"/>
  <c r="F360" i="28"/>
  <c r="N41" i="28"/>
  <c r="N60" i="28" s="1"/>
  <c r="N65" i="28" s="1"/>
  <c r="M39" i="28"/>
  <c r="F98" i="38"/>
  <c r="F103" i="38"/>
  <c r="F97" i="38"/>
  <c r="D301" i="28"/>
  <c r="D318" i="28" s="1"/>
  <c r="D315" i="28"/>
  <c r="D319" i="28" s="1"/>
  <c r="E48" i="40"/>
  <c r="D48" i="40"/>
  <c r="D52" i="40" s="1"/>
  <c r="P38" i="40"/>
  <c r="P22" i="40"/>
  <c r="P36" i="40"/>
  <c r="I49" i="40"/>
  <c r="K49" i="40"/>
  <c r="K52" i="40"/>
  <c r="M52" i="40"/>
  <c r="M49" i="40"/>
  <c r="P40" i="40"/>
  <c r="J49" i="40"/>
  <c r="L52" i="40"/>
  <c r="P14" i="40"/>
  <c r="L33" i="33" s="1"/>
  <c r="P126" i="28"/>
  <c r="H52" i="40"/>
  <c r="N49" i="40"/>
  <c r="O52" i="40"/>
  <c r="G52" i="40"/>
  <c r="H382" i="28"/>
  <c r="H390" i="28" s="1"/>
  <c r="O38" i="28"/>
  <c r="O43" i="28" s="1"/>
  <c r="O62" i="28" s="1"/>
  <c r="N37" i="28"/>
  <c r="N42" i="28" s="1"/>
  <c r="N61" i="28" s="1"/>
  <c r="V361" i="28"/>
  <c r="P289" i="28"/>
  <c r="P303" i="28"/>
  <c r="P305" i="28"/>
  <c r="L39" i="28"/>
  <c r="F138" i="28"/>
  <c r="O138" i="28"/>
  <c r="L37" i="28"/>
  <c r="L42" i="28" s="1"/>
  <c r="L61" i="28" s="1"/>
  <c r="F41" i="28"/>
  <c r="F60" i="28" s="1"/>
  <c r="F65" i="28" s="1"/>
  <c r="L40" i="28"/>
  <c r="K39" i="28"/>
  <c r="D32" i="28"/>
  <c r="F39" i="28"/>
  <c r="K382" i="28"/>
  <c r="K390" i="28" s="1"/>
  <c r="P380" i="28"/>
  <c r="E14" i="33"/>
  <c r="M41" i="28"/>
  <c r="M60" i="28" s="1"/>
  <c r="M65" i="28" s="1"/>
  <c r="F38" i="28"/>
  <c r="F43" i="28" s="1"/>
  <c r="F62" i="28" s="1"/>
  <c r="P293" i="28"/>
  <c r="I382" i="28"/>
  <c r="I390" i="28" s="1"/>
  <c r="G382" i="28"/>
  <c r="O382" i="28"/>
  <c r="O390" i="28" s="1"/>
  <c r="L41" i="28"/>
  <c r="L60" i="28" s="1"/>
  <c r="L65" i="28" s="1"/>
  <c r="I37" i="28"/>
  <c r="I42" i="28" s="1"/>
  <c r="I61" i="28" s="1"/>
  <c r="F40" i="28"/>
  <c r="L138" i="28"/>
  <c r="M138" i="28"/>
  <c r="N138" i="28"/>
  <c r="J38" i="28"/>
  <c r="J43" i="28" s="1"/>
  <c r="J62" i="28" s="1"/>
  <c r="N38" i="28"/>
  <c r="N43" i="28" s="1"/>
  <c r="N62" i="28" s="1"/>
  <c r="O40" i="28"/>
  <c r="E41" i="28"/>
  <c r="E39" i="28"/>
  <c r="G13" i="33"/>
  <c r="J382" i="28"/>
  <c r="J390" i="28" s="1"/>
  <c r="D360" i="28"/>
  <c r="J41" i="28"/>
  <c r="J60" i="28" s="1"/>
  <c r="J65" i="28" s="1"/>
  <c r="N40" i="28"/>
  <c r="O39" i="28"/>
  <c r="G41" i="28"/>
  <c r="G60" i="28" s="1"/>
  <c r="G65" i="28" s="1"/>
  <c r="E40" i="28"/>
  <c r="E38" i="28"/>
  <c r="E43" i="28" s="1"/>
  <c r="P280" i="28"/>
  <c r="E315" i="28"/>
  <c r="J40" i="28"/>
  <c r="G39" i="28"/>
  <c r="Q370" i="28"/>
  <c r="L14" i="33" s="1"/>
  <c r="L28" i="33" s="1"/>
  <c r="P248" i="28"/>
  <c r="K41" i="28"/>
  <c r="K60" i="28" s="1"/>
  <c r="K65" i="28" s="1"/>
  <c r="K38" i="28"/>
  <c r="K43" i="28" s="1"/>
  <c r="K62" i="28" s="1"/>
  <c r="H40" i="28"/>
  <c r="G40" i="28"/>
  <c r="K40" i="28"/>
  <c r="H39" i="28"/>
  <c r="I39" i="28"/>
  <c r="M37" i="28"/>
  <c r="M42" i="28" s="1"/>
  <c r="M61" i="28" s="1"/>
  <c r="M38" i="28"/>
  <c r="M43" i="28" s="1"/>
  <c r="M62" i="28" s="1"/>
  <c r="H38" i="28"/>
  <c r="H43" i="28" s="1"/>
  <c r="H62" i="28" s="1"/>
  <c r="H37" i="28"/>
  <c r="H42" i="28" s="1"/>
  <c r="H61" i="28" s="1"/>
  <c r="M382" i="28"/>
  <c r="M390" i="28" s="1"/>
  <c r="P299" i="28"/>
  <c r="P297" i="28"/>
  <c r="I370" i="28"/>
  <c r="G38" i="28"/>
  <c r="G43" i="28" s="1"/>
  <c r="G62" i="28" s="1"/>
  <c r="I41" i="28"/>
  <c r="I60" i="28" s="1"/>
  <c r="I65" i="28" s="1"/>
  <c r="N382" i="28"/>
  <c r="N390" i="28" s="1"/>
  <c r="E376" i="28"/>
  <c r="L385" i="28"/>
  <c r="D269" i="28"/>
  <c r="P230" i="28"/>
  <c r="H269" i="28"/>
  <c r="L269" i="28"/>
  <c r="F268" i="28"/>
  <c r="G268" i="28"/>
  <c r="N268" i="28"/>
  <c r="H268" i="28"/>
  <c r="O268" i="28"/>
  <c r="J268" i="28"/>
  <c r="L268" i="28"/>
  <c r="M268" i="28"/>
  <c r="K268" i="28"/>
  <c r="I268" i="28"/>
  <c r="L190" i="28"/>
  <c r="D189" i="28"/>
  <c r="I189" i="28"/>
  <c r="H189" i="28"/>
  <c r="N189" i="28"/>
  <c r="K189" i="28"/>
  <c r="P349" i="28"/>
  <c r="E18" i="33" s="1"/>
  <c r="H18" i="33" s="1"/>
  <c r="D40" i="28"/>
  <c r="D37" i="28"/>
  <c r="D42" i="28" s="1"/>
  <c r="D38" i="28"/>
  <c r="D41" i="28"/>
  <c r="J188" i="28"/>
  <c r="J143" i="38" s="1"/>
  <c r="N190" i="28"/>
  <c r="F190" i="28"/>
  <c r="E268" i="28"/>
  <c r="D268" i="28"/>
  <c r="P196" i="28"/>
  <c r="G269" i="28"/>
  <c r="K269" i="28"/>
  <c r="O269" i="28"/>
  <c r="E269" i="28"/>
  <c r="I269" i="28"/>
  <c r="M269" i="28"/>
  <c r="J39" i="28"/>
  <c r="H32" i="28"/>
  <c r="F13" i="33"/>
  <c r="F382" i="28"/>
  <c r="G190" i="28"/>
  <c r="G138" i="28"/>
  <c r="I138" i="28"/>
  <c r="K138" i="28"/>
  <c r="P337" i="28"/>
  <c r="F17" i="33" s="1"/>
  <c r="F188" i="28"/>
  <c r="P295" i="28"/>
  <c r="H190" i="28"/>
  <c r="E190" i="28"/>
  <c r="N269" i="28"/>
  <c r="F269" i="28"/>
  <c r="L189" i="28"/>
  <c r="M189" i="28"/>
  <c r="G189" i="28"/>
  <c r="E189" i="28"/>
  <c r="J189" i="28"/>
  <c r="O189" i="28"/>
  <c r="J190" i="28"/>
  <c r="F189" i="28"/>
  <c r="U364" i="28"/>
  <c r="G364" i="28" s="1"/>
  <c r="G371" i="28" s="1"/>
  <c r="H138" i="28"/>
  <c r="J138" i="28"/>
  <c r="P135" i="28"/>
  <c r="P291" i="28"/>
  <c r="E301" i="28"/>
  <c r="E318" i="28" s="1"/>
  <c r="V369" i="28"/>
  <c r="X369" i="28" s="1"/>
  <c r="V362" i="28"/>
  <c r="P328" i="28"/>
  <c r="E17" i="33" s="1"/>
  <c r="F315" i="28"/>
  <c r="J269" i="28"/>
  <c r="N370" i="28"/>
  <c r="M190" i="28"/>
  <c r="I190" i="28"/>
  <c r="O372" i="28"/>
  <c r="D190" i="28"/>
  <c r="O190" i="28"/>
  <c r="K190" i="28"/>
  <c r="M188" i="28"/>
  <c r="M143" i="38" s="1"/>
  <c r="G188" i="28"/>
  <c r="E188" i="28"/>
  <c r="L188" i="28"/>
  <c r="I188" i="28"/>
  <c r="D188" i="28"/>
  <c r="K188" i="28"/>
  <c r="N188" i="28"/>
  <c r="H188" i="28"/>
  <c r="O188" i="28"/>
  <c r="I129" i="28"/>
  <c r="M128" i="28"/>
  <c r="F129" i="28"/>
  <c r="J128" i="28"/>
  <c r="N128" i="28"/>
  <c r="K129" i="28"/>
  <c r="P127" i="28"/>
  <c r="D128" i="28"/>
  <c r="L128" i="28"/>
  <c r="P124" i="28"/>
  <c r="U107" i="28"/>
  <c r="S107" i="28" s="1"/>
  <c r="T123" i="28"/>
  <c r="T117" i="28"/>
  <c r="R117" i="28" s="1"/>
  <c r="U116" i="28"/>
  <c r="S116" i="28" s="1"/>
  <c r="U112" i="28"/>
  <c r="S112" i="28" s="1"/>
  <c r="J129" i="28"/>
  <c r="T109" i="28"/>
  <c r="R109" i="28" s="1"/>
  <c r="U108" i="28"/>
  <c r="S108" i="28" s="1"/>
  <c r="G128" i="28"/>
  <c r="T122" i="28"/>
  <c r="T120" i="28"/>
  <c r="R120" i="28" s="1"/>
  <c r="T118" i="28"/>
  <c r="R118" i="28" s="1"/>
  <c r="T114" i="28"/>
  <c r="R114" i="28" s="1"/>
  <c r="T111" i="28"/>
  <c r="R111" i="28" s="1"/>
  <c r="E129" i="28"/>
  <c r="T125" i="28"/>
  <c r="T124" i="28"/>
  <c r="T121" i="28"/>
  <c r="T115" i="28"/>
  <c r="R115" i="28" s="1"/>
  <c r="T113" i="28"/>
  <c r="T110" i="28"/>
  <c r="R110" i="28" s="1"/>
  <c r="U117" i="28"/>
  <c r="S117" i="28" s="1"/>
  <c r="T126" i="28"/>
  <c r="T119" i="28"/>
  <c r="R119" i="28" s="1"/>
  <c r="T112" i="28"/>
  <c r="R112" i="28" s="1"/>
  <c r="U113" i="28"/>
  <c r="S113" i="28" s="1"/>
  <c r="E128" i="28"/>
  <c r="K128" i="28"/>
  <c r="U111" i="28"/>
  <c r="S111" i="28" s="1"/>
  <c r="T116" i="28"/>
  <c r="R116" i="28" s="1"/>
  <c r="T108" i="28"/>
  <c r="R108" i="28" s="1"/>
  <c r="F128" i="28"/>
  <c r="U109" i="28"/>
  <c r="S109" i="28" s="1"/>
  <c r="U114" i="28"/>
  <c r="S114" i="28" s="1"/>
  <c r="U115" i="28"/>
  <c r="S115" i="28" s="1"/>
  <c r="H128" i="28"/>
  <c r="N129" i="28"/>
  <c r="M129" i="28"/>
  <c r="O129" i="28"/>
  <c r="G129" i="28"/>
  <c r="I128" i="28"/>
  <c r="P121" i="28"/>
  <c r="U110" i="28"/>
  <c r="S110" i="28" s="1"/>
  <c r="T107" i="28"/>
  <c r="L129" i="28"/>
  <c r="D129" i="28"/>
  <c r="P122" i="28"/>
  <c r="H129" i="28"/>
  <c r="O128" i="28"/>
  <c r="M370" i="28"/>
  <c r="E104" i="38"/>
  <c r="E105" i="38" s="1"/>
  <c r="E102" i="38"/>
  <c r="S13" i="18"/>
  <c r="V358" i="28"/>
  <c r="I385" i="28"/>
  <c r="D365" i="28"/>
  <c r="D388" i="28" s="1"/>
  <c r="E365" i="28"/>
  <c r="E388" i="28" s="1"/>
  <c r="M385" i="28"/>
  <c r="I371" i="28"/>
  <c r="D359" i="28"/>
  <c r="J385" i="28"/>
  <c r="O371" i="28"/>
  <c r="N385" i="28"/>
  <c r="E366" i="28"/>
  <c r="D366" i="28"/>
  <c r="J371" i="28"/>
  <c r="L372" i="28"/>
  <c r="L370" i="28"/>
  <c r="H372" i="28"/>
  <c r="E359" i="28"/>
  <c r="H385" i="28"/>
  <c r="H370" i="28"/>
  <c r="G385" i="28"/>
  <c r="M372" i="28"/>
  <c r="J370" i="28"/>
  <c r="N372" i="28"/>
  <c r="N371" i="28"/>
  <c r="O370" i="28"/>
  <c r="O385" i="28"/>
  <c r="I372" i="28"/>
  <c r="K385" i="28"/>
  <c r="K370" i="28"/>
  <c r="J372" i="28"/>
  <c r="K372" i="28"/>
  <c r="E360" i="28"/>
  <c r="H14" i="33" l="1"/>
  <c r="P120" i="28"/>
  <c r="F49" i="40"/>
  <c r="E49" i="40"/>
  <c r="P116" i="28"/>
  <c r="P66" i="40"/>
  <c r="E72" i="40"/>
  <c r="P72" i="40" s="1"/>
  <c r="L36" i="33" s="1"/>
  <c r="P34" i="40"/>
  <c r="E52" i="40"/>
  <c r="P378" i="28"/>
  <c r="D97" i="38"/>
  <c r="D99" i="38" s="1"/>
  <c r="D100" i="38" s="1"/>
  <c r="P376" i="28"/>
  <c r="D103" i="38"/>
  <c r="D102" i="38" s="1"/>
  <c r="H387" i="28"/>
  <c r="I387" i="28"/>
  <c r="J387" i="28"/>
  <c r="L387" i="28"/>
  <c r="G387" i="28"/>
  <c r="N387" i="28"/>
  <c r="K387" i="28"/>
  <c r="L33" i="28"/>
  <c r="G33" i="28"/>
  <c r="O387" i="28"/>
  <c r="M387" i="28"/>
  <c r="X361" i="28"/>
  <c r="W361" i="28"/>
  <c r="Y361" i="28" s="1"/>
  <c r="F361" i="28" s="1"/>
  <c r="L316" i="28"/>
  <c r="H318" i="28"/>
  <c r="O316" i="28"/>
  <c r="N316" i="28"/>
  <c r="M319" i="28"/>
  <c r="K316" i="28"/>
  <c r="J316" i="28"/>
  <c r="I316" i="28"/>
  <c r="H316" i="28"/>
  <c r="G316" i="28"/>
  <c r="M316" i="28"/>
  <c r="E319" i="28"/>
  <c r="F33" i="28"/>
  <c r="I33" i="28"/>
  <c r="M99" i="38"/>
  <c r="M101" i="38" s="1"/>
  <c r="M106" i="38" s="1"/>
  <c r="M107" i="38" s="1"/>
  <c r="N70" i="28"/>
  <c r="D33" i="28"/>
  <c r="O33" i="28"/>
  <c r="N33" i="28"/>
  <c r="K33" i="28"/>
  <c r="M33" i="28"/>
  <c r="J33" i="28"/>
  <c r="H33" i="28"/>
  <c r="U122" i="28"/>
  <c r="Q122" i="28" s="1"/>
  <c r="E33" i="28"/>
  <c r="E70" i="28"/>
  <c r="H70" i="28"/>
  <c r="M31" i="28"/>
  <c r="M386" i="28" s="1"/>
  <c r="G31" i="28"/>
  <c r="G69" i="28" s="1"/>
  <c r="K70" i="28"/>
  <c r="F70" i="28"/>
  <c r="O70" i="28"/>
  <c r="H31" i="28"/>
  <c r="H69" i="28" s="1"/>
  <c r="I31" i="28"/>
  <c r="I69" i="28" s="1"/>
  <c r="O31" i="28"/>
  <c r="O69" i="28" s="1"/>
  <c r="U124" i="28"/>
  <c r="Q124" i="28" s="1"/>
  <c r="J70" i="28"/>
  <c r="L70" i="28"/>
  <c r="M70" i="28"/>
  <c r="N31" i="28"/>
  <c r="N386" i="28" s="1"/>
  <c r="I70" i="28"/>
  <c r="G70" i="28"/>
  <c r="P60" i="28"/>
  <c r="O21" i="33" s="1"/>
  <c r="D69" i="28"/>
  <c r="P59" i="28"/>
  <c r="O20" i="33" s="1"/>
  <c r="P51" i="28"/>
  <c r="I99" i="38"/>
  <c r="I100" i="38" s="1"/>
  <c r="L99" i="38"/>
  <c r="L101" i="38" s="1"/>
  <c r="L106" i="38" s="1"/>
  <c r="L107" i="38" s="1"/>
  <c r="G99" i="38"/>
  <c r="G100" i="38" s="1"/>
  <c r="K99" i="38"/>
  <c r="K100" i="38" s="1"/>
  <c r="H99" i="38"/>
  <c r="H101" i="38" s="1"/>
  <c r="H106" i="38" s="1"/>
  <c r="H107" i="38" s="1"/>
  <c r="O99" i="38"/>
  <c r="O100" i="38" s="1"/>
  <c r="F385" i="28"/>
  <c r="N99" i="38"/>
  <c r="N101" i="38" s="1"/>
  <c r="N106" i="38" s="1"/>
  <c r="N107" i="38" s="1"/>
  <c r="G102" i="38"/>
  <c r="J99" i="38"/>
  <c r="J101" i="38" s="1"/>
  <c r="J106" i="38" s="1"/>
  <c r="J107" i="38" s="1"/>
  <c r="E99" i="38"/>
  <c r="E101" i="38" s="1"/>
  <c r="E106" i="38" s="1"/>
  <c r="E107" i="38" s="1"/>
  <c r="K102" i="38"/>
  <c r="N44" i="28"/>
  <c r="O104" i="38"/>
  <c r="O105" i="38" s="1"/>
  <c r="O102" i="38"/>
  <c r="F31" i="28"/>
  <c r="F69" i="28" s="1"/>
  <c r="J31" i="28"/>
  <c r="J69" i="28" s="1"/>
  <c r="K31" i="28"/>
  <c r="K69" i="28" s="1"/>
  <c r="L31" i="28"/>
  <c r="L69" i="28" s="1"/>
  <c r="U118" i="28"/>
  <c r="E31" i="28"/>
  <c r="E69" i="28" s="1"/>
  <c r="D138" i="28"/>
  <c r="P138" i="28" s="1"/>
  <c r="P117" i="28"/>
  <c r="P137" i="28"/>
  <c r="P136" i="28"/>
  <c r="E44" i="28"/>
  <c r="F99" i="38"/>
  <c r="F100" i="38" s="1"/>
  <c r="E382" i="28"/>
  <c r="P382" i="28" s="1"/>
  <c r="G19" i="33" s="1"/>
  <c r="G271" i="28"/>
  <c r="W369" i="28"/>
  <c r="Y369" i="28" s="1"/>
  <c r="G369" i="28" s="1"/>
  <c r="G372" i="28" s="1"/>
  <c r="M44" i="28"/>
  <c r="E364" i="28"/>
  <c r="F364" i="28"/>
  <c r="F371" i="28" s="1"/>
  <c r="D316" i="28"/>
  <c r="N144" i="38"/>
  <c r="P115" i="28"/>
  <c r="P114" i="28"/>
  <c r="F102" i="38"/>
  <c r="F104" i="38"/>
  <c r="F105" i="38" s="1"/>
  <c r="E368" i="28"/>
  <c r="F368" i="28"/>
  <c r="D49" i="40"/>
  <c r="P48" i="40"/>
  <c r="L145" i="38"/>
  <c r="Q117" i="28"/>
  <c r="U119" i="28"/>
  <c r="L44" i="28"/>
  <c r="P41" i="28"/>
  <c r="H145" i="38"/>
  <c r="O44" i="28"/>
  <c r="M144" i="38"/>
  <c r="I44" i="28"/>
  <c r="P40" i="28"/>
  <c r="F44" i="28"/>
  <c r="J44" i="28"/>
  <c r="J63" i="28" s="1"/>
  <c r="P338" i="28"/>
  <c r="K44" i="28"/>
  <c r="K63" i="28" s="1"/>
  <c r="H13" i="33"/>
  <c r="P365" i="28"/>
  <c r="G44" i="28"/>
  <c r="I271" i="28"/>
  <c r="P388" i="28"/>
  <c r="H17" i="33"/>
  <c r="R370" i="28"/>
  <c r="P28" i="28"/>
  <c r="L373" i="28"/>
  <c r="G145" i="38"/>
  <c r="M373" i="28"/>
  <c r="D364" i="28"/>
  <c r="P26" i="28"/>
  <c r="F271" i="28"/>
  <c r="O271" i="28"/>
  <c r="O373" i="28"/>
  <c r="H44" i="28"/>
  <c r="E316" i="28"/>
  <c r="P29" i="28"/>
  <c r="P301" i="28"/>
  <c r="E16" i="33" s="1"/>
  <c r="P30" i="28"/>
  <c r="L271" i="28"/>
  <c r="N271" i="28"/>
  <c r="P269" i="28"/>
  <c r="F15" i="33" s="1"/>
  <c r="M271" i="28"/>
  <c r="H271" i="28"/>
  <c r="J271" i="28"/>
  <c r="M145" i="38"/>
  <c r="E145" i="38"/>
  <c r="J145" i="38"/>
  <c r="I145" i="38"/>
  <c r="N145" i="38"/>
  <c r="K145" i="38"/>
  <c r="E191" i="28"/>
  <c r="N191" i="28"/>
  <c r="D144" i="38"/>
  <c r="K191" i="28"/>
  <c r="J144" i="38"/>
  <c r="O191" i="28"/>
  <c r="P189" i="28"/>
  <c r="L144" i="38"/>
  <c r="F191" i="28"/>
  <c r="E143" i="38"/>
  <c r="F143" i="38"/>
  <c r="F319" i="28"/>
  <c r="F316" i="28"/>
  <c r="P315" i="28"/>
  <c r="G16" i="33" s="1"/>
  <c r="D271" i="28"/>
  <c r="P268" i="28"/>
  <c r="E15" i="33" s="1"/>
  <c r="P39" i="28"/>
  <c r="P359" i="28"/>
  <c r="G144" i="38"/>
  <c r="F145" i="38"/>
  <c r="G191" i="28"/>
  <c r="P190" i="28"/>
  <c r="K271" i="28"/>
  <c r="E271" i="28"/>
  <c r="D44" i="28"/>
  <c r="M191" i="28"/>
  <c r="P270" i="28"/>
  <c r="G15" i="33" s="1"/>
  <c r="D43" i="28"/>
  <c r="P38" i="28"/>
  <c r="M21" i="33" s="1"/>
  <c r="O145" i="38"/>
  <c r="Q115" i="28"/>
  <c r="G143" i="38"/>
  <c r="X362" i="28"/>
  <c r="W362" i="28"/>
  <c r="Y362" i="28" s="1"/>
  <c r="G362" i="28" s="1"/>
  <c r="J191" i="28"/>
  <c r="P37" i="28"/>
  <c r="M20" i="33" s="1"/>
  <c r="P27" i="28"/>
  <c r="D143" i="38"/>
  <c r="P188" i="28"/>
  <c r="D191" i="28"/>
  <c r="H143" i="38"/>
  <c r="H191" i="28"/>
  <c r="L143" i="38"/>
  <c r="L191" i="28"/>
  <c r="N143" i="38"/>
  <c r="K143" i="38"/>
  <c r="I143" i="38"/>
  <c r="I191" i="28"/>
  <c r="O143" i="38"/>
  <c r="J130" i="28"/>
  <c r="P112" i="28"/>
  <c r="D130" i="28"/>
  <c r="P108" i="28"/>
  <c r="Q114" i="28"/>
  <c r="Q116" i="28"/>
  <c r="Q113" i="28"/>
  <c r="R113" i="28"/>
  <c r="P113" i="28" s="1"/>
  <c r="Q120" i="28"/>
  <c r="P110" i="28"/>
  <c r="Q112" i="28"/>
  <c r="Q110" i="28"/>
  <c r="Q121" i="28"/>
  <c r="Q108" i="28"/>
  <c r="H130" i="28"/>
  <c r="H144" i="38"/>
  <c r="K144" i="38"/>
  <c r="K130" i="28"/>
  <c r="P111" i="28"/>
  <c r="F144" i="38"/>
  <c r="F130" i="28"/>
  <c r="E130" i="28"/>
  <c r="E144" i="38"/>
  <c r="P128" i="28"/>
  <c r="L130" i="28"/>
  <c r="P109" i="28"/>
  <c r="R107" i="28"/>
  <c r="P107" i="28" s="1"/>
  <c r="Q107" i="28"/>
  <c r="G130" i="28"/>
  <c r="Q109" i="28"/>
  <c r="D145" i="38"/>
  <c r="P129" i="28"/>
  <c r="O130" i="28"/>
  <c r="O144" i="38"/>
  <c r="I144" i="38"/>
  <c r="I130" i="28"/>
  <c r="M130" i="28"/>
  <c r="N130" i="28"/>
  <c r="Q111" i="28"/>
  <c r="H373" i="28"/>
  <c r="K373" i="28"/>
  <c r="D385" i="28"/>
  <c r="P366" i="28"/>
  <c r="I373" i="28"/>
  <c r="N373" i="28"/>
  <c r="P360" i="28"/>
  <c r="E385" i="28"/>
  <c r="J373" i="28"/>
  <c r="G390" i="28" l="1"/>
  <c r="G361" i="28"/>
  <c r="G370" i="28" s="1"/>
  <c r="G373" i="28" s="1"/>
  <c r="Q119" i="28"/>
  <c r="S119" i="28"/>
  <c r="P119" i="28" s="1"/>
  <c r="Q118" i="28"/>
  <c r="S118" i="28"/>
  <c r="P118" i="28" s="1"/>
  <c r="P49" i="40"/>
  <c r="L34" i="33" s="1"/>
  <c r="L37" i="33" s="1"/>
  <c r="M27" i="33" s="1"/>
  <c r="M69" i="28"/>
  <c r="E369" i="28"/>
  <c r="E390" i="28" s="1"/>
  <c r="F369" i="28"/>
  <c r="F390" i="28" s="1"/>
  <c r="D104" i="38"/>
  <c r="D105" i="38" s="1"/>
  <c r="L22" i="33"/>
  <c r="H19" i="33"/>
  <c r="L21" i="33"/>
  <c r="M22" i="33"/>
  <c r="L20" i="33"/>
  <c r="D389" i="28"/>
  <c r="E361" i="28"/>
  <c r="J386" i="28"/>
  <c r="H386" i="28"/>
  <c r="M100" i="38"/>
  <c r="D387" i="28"/>
  <c r="O386" i="28"/>
  <c r="I386" i="28"/>
  <c r="L386" i="28"/>
  <c r="G386" i="28"/>
  <c r="K386" i="28"/>
  <c r="E389" i="28"/>
  <c r="P368" i="28"/>
  <c r="E371" i="28"/>
  <c r="E387" i="28"/>
  <c r="F387" i="28"/>
  <c r="D361" i="28"/>
  <c r="D369" i="28"/>
  <c r="D390" i="28" s="1"/>
  <c r="N69" i="28"/>
  <c r="J66" i="28"/>
  <c r="K66" i="28"/>
  <c r="K67" i="28" s="1"/>
  <c r="P65" i="28"/>
  <c r="D70" i="28"/>
  <c r="P32" i="28"/>
  <c r="K101" i="38"/>
  <c r="K106" i="38" s="1"/>
  <c r="K107" i="38" s="1"/>
  <c r="P54" i="28"/>
  <c r="P49" i="28"/>
  <c r="N21" i="33" s="1"/>
  <c r="I45" i="28"/>
  <c r="I63" i="28"/>
  <c r="H34" i="28"/>
  <c r="M34" i="28"/>
  <c r="G34" i="28"/>
  <c r="N45" i="28"/>
  <c r="N63" i="28"/>
  <c r="P53" i="28"/>
  <c r="P61" i="28"/>
  <c r="I34" i="28"/>
  <c r="M45" i="28"/>
  <c r="M63" i="28"/>
  <c r="P64" i="28"/>
  <c r="D34" i="28"/>
  <c r="E45" i="28"/>
  <c r="H45" i="28"/>
  <c r="H63" i="28"/>
  <c r="F45" i="28"/>
  <c r="F63" i="28"/>
  <c r="U123" i="28"/>
  <c r="Q123" i="28" s="1"/>
  <c r="P43" i="28"/>
  <c r="P62" i="28"/>
  <c r="G63" i="28"/>
  <c r="O45" i="28"/>
  <c r="O63" i="28"/>
  <c r="L45" i="28"/>
  <c r="L63" i="28"/>
  <c r="O101" i="38"/>
  <c r="O106" i="38" s="1"/>
  <c r="O107" i="38" s="1"/>
  <c r="J100" i="38"/>
  <c r="N34" i="28"/>
  <c r="O34" i="28"/>
  <c r="P48" i="28"/>
  <c r="N20" i="33" s="1"/>
  <c r="D101" i="38"/>
  <c r="G101" i="38"/>
  <c r="G106" i="38" s="1"/>
  <c r="G107" i="38" s="1"/>
  <c r="L100" i="38"/>
  <c r="I101" i="38"/>
  <c r="I106" i="38" s="1"/>
  <c r="I107" i="38" s="1"/>
  <c r="H100" i="38"/>
  <c r="J34" i="28"/>
  <c r="N100" i="38"/>
  <c r="E100" i="38"/>
  <c r="L34" i="28"/>
  <c r="K34" i="28"/>
  <c r="F34" i="28"/>
  <c r="F101" i="38"/>
  <c r="F106" i="38" s="1"/>
  <c r="F107" i="38" s="1"/>
  <c r="D362" i="28"/>
  <c r="E362" i="28"/>
  <c r="F362" i="28"/>
  <c r="F370" i="28" s="1"/>
  <c r="P31" i="28"/>
  <c r="J45" i="28"/>
  <c r="K45" i="28"/>
  <c r="G45" i="28"/>
  <c r="P316" i="28"/>
  <c r="H16" i="33"/>
  <c r="D371" i="28"/>
  <c r="P364" i="28"/>
  <c r="U125" i="28"/>
  <c r="Q125" i="28" s="1"/>
  <c r="E34" i="28"/>
  <c r="U126" i="28" s="1"/>
  <c r="Q126" i="28" s="1"/>
  <c r="P44" i="28"/>
  <c r="P42" i="28"/>
  <c r="D45" i="28"/>
  <c r="H15" i="33"/>
  <c r="P271" i="28"/>
  <c r="P33" i="28"/>
  <c r="P191" i="28"/>
  <c r="P130" i="28"/>
  <c r="B148" i="38" s="1"/>
  <c r="P385" i="28"/>
  <c r="Q385" i="28" s="1"/>
  <c r="G26" i="33" s="1"/>
  <c r="E372" i="28" l="1"/>
  <c r="D106" i="38"/>
  <c r="D107" i="38" s="1"/>
  <c r="F372" i="28"/>
  <c r="F373" i="28" s="1"/>
  <c r="P369" i="28"/>
  <c r="K389" i="28"/>
  <c r="K391" i="28" s="1"/>
  <c r="K7" i="28" s="1"/>
  <c r="K10" i="38" s="1"/>
  <c r="E12" i="33"/>
  <c r="D370" i="28"/>
  <c r="E370" i="28"/>
  <c r="J67" i="28"/>
  <c r="J389" i="28"/>
  <c r="J391" i="28" s="1"/>
  <c r="J7" i="28" s="1"/>
  <c r="J10" i="38" s="1"/>
  <c r="P390" i="28"/>
  <c r="D372" i="28"/>
  <c r="D386" i="28"/>
  <c r="D391" i="28" s="1"/>
  <c r="D7" i="28" s="1"/>
  <c r="P371" i="28"/>
  <c r="F11" i="33" s="1"/>
  <c r="P361" i="28"/>
  <c r="E386" i="28"/>
  <c r="E391" i="28" s="1"/>
  <c r="E7" i="28" s="1"/>
  <c r="E10" i="38" s="1"/>
  <c r="F386" i="28"/>
  <c r="F12" i="33"/>
  <c r="O66" i="28"/>
  <c r="N66" i="28"/>
  <c r="L66" i="28"/>
  <c r="L71" i="28" s="1"/>
  <c r="M66" i="28"/>
  <c r="F66" i="28"/>
  <c r="H66" i="28"/>
  <c r="I66" i="28"/>
  <c r="G66" i="28"/>
  <c r="K71" i="28"/>
  <c r="J71" i="28"/>
  <c r="E67" i="28"/>
  <c r="E71" i="28"/>
  <c r="E56" i="28"/>
  <c r="P50" i="28"/>
  <c r="D71" i="28"/>
  <c r="P52" i="28"/>
  <c r="P63" i="28"/>
  <c r="O22" i="33" s="1"/>
  <c r="P387" i="28"/>
  <c r="P362" i="28"/>
  <c r="P34" i="28"/>
  <c r="P45" i="28"/>
  <c r="E373" i="28" l="1"/>
  <c r="P372" i="28"/>
  <c r="G11" i="33" s="1"/>
  <c r="N22" i="33"/>
  <c r="P370" i="28"/>
  <c r="D373" i="28"/>
  <c r="H67" i="28"/>
  <c r="H389" i="28"/>
  <c r="H391" i="28" s="1"/>
  <c r="H7" i="28" s="1"/>
  <c r="H10" i="38" s="1"/>
  <c r="F71" i="28"/>
  <c r="F389" i="28"/>
  <c r="N67" i="28"/>
  <c r="N389" i="28"/>
  <c r="N391" i="28" s="1"/>
  <c r="N7" i="28" s="1"/>
  <c r="N10" i="38" s="1"/>
  <c r="F20" i="33"/>
  <c r="G67" i="28"/>
  <c r="G389" i="28"/>
  <c r="G391" i="28" s="1"/>
  <c r="G7" i="28" s="1"/>
  <c r="G10" i="38" s="1"/>
  <c r="M67" i="28"/>
  <c r="M389" i="28"/>
  <c r="M391" i="28" s="1"/>
  <c r="M7" i="28" s="1"/>
  <c r="M10" i="38" s="1"/>
  <c r="O71" i="28"/>
  <c r="O389" i="28"/>
  <c r="O391" i="28" s="1"/>
  <c r="O7" i="28" s="1"/>
  <c r="O10" i="38" s="1"/>
  <c r="I67" i="28"/>
  <c r="I389" i="28"/>
  <c r="I391" i="28" s="1"/>
  <c r="I7" i="28" s="1"/>
  <c r="I10" i="38" s="1"/>
  <c r="L67" i="28"/>
  <c r="L389" i="28"/>
  <c r="L391" i="28" s="1"/>
  <c r="L7" i="28" s="1"/>
  <c r="L10" i="38" s="1"/>
  <c r="S371" i="28"/>
  <c r="M71" i="28"/>
  <c r="H71" i="28"/>
  <c r="O67" i="28"/>
  <c r="G71" i="28"/>
  <c r="N71" i="28"/>
  <c r="I71" i="28"/>
  <c r="F67" i="28"/>
  <c r="P55" i="28"/>
  <c r="D56" i="28"/>
  <c r="P56" i="28" s="1"/>
  <c r="P66" i="28"/>
  <c r="D67" i="28"/>
  <c r="P386" i="28"/>
  <c r="Q386" i="28" s="1"/>
  <c r="G27" i="33" s="1"/>
  <c r="B127" i="38"/>
  <c r="D10" i="38"/>
  <c r="P373" i="28" l="1"/>
  <c r="E11" i="33"/>
  <c r="H11" i="33" s="1"/>
  <c r="G12" i="33"/>
  <c r="G20" i="33" s="1"/>
  <c r="P389" i="28"/>
  <c r="P67" i="28"/>
  <c r="F391" i="28"/>
  <c r="Q387" i="28"/>
  <c r="G28" i="33" s="1"/>
  <c r="E20" i="33" l="1"/>
  <c r="H20" i="33" s="1"/>
  <c r="H12" i="33"/>
  <c r="F7" i="28"/>
  <c r="P391" i="28"/>
  <c r="Q388" i="28"/>
  <c r="Q389" i="28" l="1"/>
  <c r="G30" i="33" s="1"/>
  <c r="G29" i="33"/>
  <c r="F10" i="38"/>
  <c r="P59" i="38" s="1"/>
  <c r="P6" i="28"/>
  <c r="L27" i="33" s="1"/>
  <c r="F44" i="33" s="1"/>
  <c r="Q390" i="28" l="1"/>
  <c r="G31" i="33" s="1"/>
  <c r="R6" i="28"/>
  <c r="B65" i="38"/>
  <c r="Q58" i="38"/>
  <c r="R390" i="28" l="1"/>
  <c r="E31" i="33" s="1"/>
  <c r="R386" i="28"/>
  <c r="E27" i="33" s="1"/>
  <c r="R389" i="28"/>
  <c r="E30" i="33" s="1"/>
  <c r="R388" i="28"/>
  <c r="E29" i="33" s="1"/>
  <c r="R387" i="28"/>
  <c r="E28" i="33" s="1"/>
  <c r="R385" i="28"/>
  <c r="E26" i="33" s="1"/>
  <c r="S14" i="18"/>
  <c r="S15" i="18"/>
</calcChain>
</file>

<file path=xl/sharedStrings.xml><?xml version="1.0" encoding="utf-8"?>
<sst xmlns="http://schemas.openxmlformats.org/spreadsheetml/2006/main" count="2160" uniqueCount="1095">
  <si>
    <t xml:space="preserve">Project initiation </t>
  </si>
  <si>
    <t xml:space="preserve">Project planning </t>
  </si>
  <si>
    <t>Sourcing/ Purchase</t>
  </si>
  <si>
    <t>Formulation development</t>
  </si>
  <si>
    <t>Analytical development</t>
  </si>
  <si>
    <t xml:space="preserve">R&amp;D stability </t>
  </si>
  <si>
    <t xml:space="preserve">Pilot bio studies </t>
  </si>
  <si>
    <t xml:space="preserve">Post pilot bio reformulation </t>
  </si>
  <si>
    <t xml:space="preserve">Scaleup </t>
  </si>
  <si>
    <t xml:space="preserve">Analytical method validation </t>
  </si>
  <si>
    <t>Exhibit batch</t>
  </si>
  <si>
    <t>FD</t>
  </si>
  <si>
    <t>BE</t>
  </si>
  <si>
    <t>AMV</t>
  </si>
  <si>
    <t xml:space="preserve">Pivotal bio </t>
  </si>
  <si>
    <t>Stability</t>
  </si>
  <si>
    <t xml:space="preserve">Filing </t>
  </si>
  <si>
    <t>Responsibility</t>
  </si>
  <si>
    <t xml:space="preserve">             Process-&gt;</t>
  </si>
  <si>
    <t>Person nominated for CFT</t>
  </si>
  <si>
    <t xml:space="preserve">Literature review </t>
  </si>
  <si>
    <t>Planning</t>
  </si>
  <si>
    <t xml:space="preserve">Purchase/ Sourcing </t>
  </si>
  <si>
    <t xml:space="preserve">Formulation development </t>
  </si>
  <si>
    <t xml:space="preserve">Impurity isolation/ sourcing </t>
  </si>
  <si>
    <t xml:space="preserve">Analytical development </t>
  </si>
  <si>
    <t>WRS</t>
  </si>
  <si>
    <t>CMV/CMD</t>
  </si>
  <si>
    <t xml:space="preserve">Scale-up  </t>
  </si>
  <si>
    <t>Pilot BE</t>
  </si>
  <si>
    <t xml:space="preserve">Specs </t>
  </si>
  <si>
    <t>AMV and AMT</t>
  </si>
  <si>
    <t>Exhibit</t>
  </si>
  <si>
    <t xml:space="preserve">Stability  </t>
  </si>
  <si>
    <t>Pivotal BE</t>
  </si>
  <si>
    <t>Closure</t>
  </si>
  <si>
    <t xml:space="preserve">Department  </t>
  </si>
  <si>
    <t>R</t>
  </si>
  <si>
    <t>A</t>
  </si>
  <si>
    <t>R&amp;A</t>
  </si>
  <si>
    <t>I</t>
  </si>
  <si>
    <t>C</t>
  </si>
  <si>
    <t>ADL</t>
  </si>
  <si>
    <t>A*</t>
  </si>
  <si>
    <t xml:space="preserve">Purchase  </t>
  </si>
  <si>
    <t>R*</t>
  </si>
  <si>
    <t xml:space="preserve">R&amp;D QA </t>
  </si>
  <si>
    <t xml:space="preserve">IP team </t>
  </si>
  <si>
    <t>R (API)</t>
  </si>
  <si>
    <t>C*</t>
  </si>
  <si>
    <t xml:space="preserve">RA </t>
  </si>
  <si>
    <t>TBD</t>
  </si>
  <si>
    <t>PDC</t>
  </si>
  <si>
    <t>Plant TT</t>
  </si>
  <si>
    <t xml:space="preserve">Plant QA </t>
  </si>
  <si>
    <t xml:space="preserve">Plant QC </t>
  </si>
  <si>
    <t xml:space="preserve">Production </t>
  </si>
  <si>
    <t>Plant purchase</t>
  </si>
  <si>
    <t>Project management</t>
  </si>
  <si>
    <t>Legend</t>
  </si>
  <si>
    <t>Accountability</t>
  </si>
  <si>
    <t>Consult</t>
  </si>
  <si>
    <t xml:space="preserve">Inform </t>
  </si>
  <si>
    <t>To be determined</t>
  </si>
  <si>
    <t>NOTE</t>
  </si>
  <si>
    <r>
      <rPr>
        <b/>
        <sz val="10"/>
        <color theme="1"/>
        <rFont val="Arial"/>
        <family val="2"/>
      </rPr>
      <t xml:space="preserve">Responsibilty: </t>
    </r>
    <r>
      <rPr>
        <sz val="10"/>
        <color theme="1"/>
        <rFont val="Arial"/>
        <family val="2"/>
      </rPr>
      <t>It is indicated against a department which actually carries out that process</t>
    </r>
  </si>
  <si>
    <r>
      <rPr>
        <b/>
        <sz val="10"/>
        <color theme="1"/>
        <rFont val="Arial"/>
        <family val="2"/>
      </rPr>
      <t>Accounatability:</t>
    </r>
    <r>
      <rPr>
        <sz val="10"/>
        <color theme="1"/>
        <rFont val="Arial"/>
        <family val="2"/>
      </rPr>
      <t xml:space="preserve"> It is indicated against a department which is answerable for the correct and thorough completion of the process</t>
    </r>
  </si>
  <si>
    <r>
      <rPr>
        <b/>
        <sz val="10"/>
        <color theme="1"/>
        <rFont val="Arial"/>
        <family val="2"/>
      </rPr>
      <t xml:space="preserve">Consulted: </t>
    </r>
    <r>
      <rPr>
        <sz val="10"/>
        <color theme="1"/>
        <rFont val="Arial"/>
        <family val="2"/>
      </rPr>
      <t>It is indicated against a department whose advise is critical for ensuring successful outcome of the process</t>
    </r>
  </si>
  <si>
    <r>
      <rPr>
        <b/>
        <sz val="10"/>
        <color theme="1"/>
        <rFont val="Arial"/>
        <family val="2"/>
      </rPr>
      <t>Informed:</t>
    </r>
    <r>
      <rPr>
        <sz val="10"/>
        <color theme="1"/>
        <rFont val="Arial"/>
        <family val="2"/>
      </rPr>
      <t xml:space="preserve"> It is indicated against a department which should be infomed that a particular process is under execution</t>
    </r>
  </si>
  <si>
    <t xml:space="preserve">* Marked Cells </t>
  </si>
  <si>
    <t>F8</t>
  </si>
  <si>
    <t>Outsourcing API</t>
  </si>
  <si>
    <t>F7</t>
  </si>
  <si>
    <t>In case of Audit needed</t>
  </si>
  <si>
    <t>F9</t>
  </si>
  <si>
    <t>RA/QA decide on vendors</t>
  </si>
  <si>
    <t>N6</t>
  </si>
  <si>
    <t>Excipients/ Limits/Outsourced API etc</t>
  </si>
  <si>
    <t>J6</t>
  </si>
  <si>
    <t xml:space="preserve">Applicable if WRS sourced from outside </t>
  </si>
  <si>
    <t>O6</t>
  </si>
  <si>
    <t xml:space="preserve">Applicable in case of additional puchase requirement </t>
  </si>
  <si>
    <t>F4</t>
  </si>
  <si>
    <t xml:space="preserve">Accountability for analytical related sourcing </t>
  </si>
  <si>
    <t>Group Leader</t>
  </si>
  <si>
    <t>Group leader</t>
  </si>
  <si>
    <t>Kumat</t>
  </si>
  <si>
    <t>Nishid/ GL</t>
  </si>
  <si>
    <t>Ajay Bapat</t>
  </si>
  <si>
    <t>TT Incharge</t>
  </si>
  <si>
    <t>TBD (Jayant/Mahesh)</t>
  </si>
  <si>
    <t xml:space="preserve">Rosi Reddy </t>
  </si>
  <si>
    <t>(TBN)Jayashree Nair</t>
  </si>
  <si>
    <t>(TBN)Milind Lad</t>
  </si>
  <si>
    <t>(TBD) Mani/Malwadkar</t>
  </si>
  <si>
    <t>General</t>
  </si>
  <si>
    <t>Project Name</t>
  </si>
  <si>
    <t>Molecule</t>
  </si>
  <si>
    <t>Market</t>
  </si>
  <si>
    <t>Business rationale</t>
  </si>
  <si>
    <t>Project Initiation Date</t>
  </si>
  <si>
    <t>Sponsor/Business Partner</t>
  </si>
  <si>
    <t>Patent Status</t>
  </si>
  <si>
    <t xml:space="preserve">Patented </t>
  </si>
  <si>
    <t>API Details</t>
  </si>
  <si>
    <t>API Sourcing</t>
  </si>
  <si>
    <t>In-house</t>
  </si>
  <si>
    <t>Formulation Details</t>
  </si>
  <si>
    <t>Product Type</t>
  </si>
  <si>
    <t>Form R&amp;D Division</t>
  </si>
  <si>
    <t>EP11-INJ(H)</t>
  </si>
  <si>
    <t>Manufacturing Plant</t>
  </si>
  <si>
    <t>EP10-SPD(H)</t>
  </si>
  <si>
    <t>Filing Type</t>
  </si>
  <si>
    <t>PI</t>
  </si>
  <si>
    <t>EP18-ONCO(H)</t>
  </si>
  <si>
    <t>PII</t>
  </si>
  <si>
    <t>Outsourced</t>
  </si>
  <si>
    <t>EP04-EOU(H)</t>
  </si>
  <si>
    <t>Generic</t>
  </si>
  <si>
    <t>PIII</t>
  </si>
  <si>
    <t>PIV</t>
  </si>
  <si>
    <t>EP12-API(H)</t>
  </si>
  <si>
    <t>EP05-F2(P)</t>
  </si>
  <si>
    <t>PIV(NI)</t>
  </si>
  <si>
    <t>EP07-DOM(B)</t>
  </si>
  <si>
    <t>EP09-API(KK)</t>
  </si>
  <si>
    <t>EP16-DOM(J)</t>
  </si>
  <si>
    <t>Amod Dhabu</t>
  </si>
  <si>
    <t>Strength</t>
  </si>
  <si>
    <t>Project Complexity</t>
  </si>
  <si>
    <t>Total</t>
  </si>
  <si>
    <t>Project name</t>
  </si>
  <si>
    <t xml:space="preserve">Project start date </t>
  </si>
  <si>
    <t>Administrative section</t>
  </si>
  <si>
    <t>Commercial section</t>
  </si>
  <si>
    <t>R&amp;D Division</t>
  </si>
  <si>
    <t xml:space="preserve">Group Leader </t>
  </si>
  <si>
    <t>Complexity</t>
  </si>
  <si>
    <t>Supporting Plant</t>
  </si>
  <si>
    <t>Project Section</t>
  </si>
  <si>
    <t>Business Rationale</t>
  </si>
  <si>
    <t>Scope and Objectives</t>
  </si>
  <si>
    <t>Target date for completing milestone planning and filling up project summary template*</t>
  </si>
  <si>
    <t>Exploratory Budget</t>
  </si>
  <si>
    <t xml:space="preserve">This form needs to be filled within two days of project allocation to R&amp;D </t>
  </si>
  <si>
    <t>Note</t>
  </si>
  <si>
    <t>[*]- Final allocation of budget will be made on approval of Project Charter Summary</t>
  </si>
  <si>
    <t>Project Management</t>
  </si>
  <si>
    <t>Yes</t>
  </si>
  <si>
    <t>No</t>
  </si>
  <si>
    <t>No of Approved ANDAs</t>
  </si>
  <si>
    <t>Commercial Batch Size (Qtr)</t>
  </si>
  <si>
    <t>Packaging Type</t>
  </si>
  <si>
    <t>Prototype</t>
  </si>
  <si>
    <t>Scale-up</t>
  </si>
  <si>
    <t>Filing</t>
  </si>
  <si>
    <t>Competitors</t>
  </si>
  <si>
    <t>Potential Revenue (USD Mn)</t>
  </si>
  <si>
    <t>Total Manpower Cost</t>
  </si>
  <si>
    <t>Plant Support Cost</t>
  </si>
  <si>
    <t>BE Studies</t>
  </si>
  <si>
    <t>Filing Expenses</t>
  </si>
  <si>
    <t>% of Total</t>
  </si>
  <si>
    <t>Feasibility</t>
  </si>
  <si>
    <t>AMV/AMT</t>
  </si>
  <si>
    <t>Exhibit/Stability</t>
  </si>
  <si>
    <t>Project Details</t>
  </si>
  <si>
    <t>Prototype Devt</t>
  </si>
  <si>
    <t>R&amp;D Scale-up</t>
  </si>
  <si>
    <t>Pharmacoepial Standards on Quality</t>
  </si>
  <si>
    <t>Project Completion/Filing Date</t>
  </si>
  <si>
    <t>FTR</t>
  </si>
  <si>
    <t>Total Project Duration</t>
  </si>
  <si>
    <t>Analytical group leader</t>
  </si>
  <si>
    <t>Head-Wise Budget (INR Lacs)</t>
  </si>
  <si>
    <t>Single dose_Two treatment_ cross-over_two period</t>
  </si>
  <si>
    <t>Single dose_Two treatment_ Parallel_One period</t>
  </si>
  <si>
    <t>Single dose_Two treatment_ cross-over_two period_Truncation</t>
  </si>
  <si>
    <t>Single dose_Two treatment_ cross-over_Three_period_Partial Repliacte</t>
  </si>
  <si>
    <t>Single dose_Two treatment_ cross-over_Four_period_Full Repliacte</t>
  </si>
  <si>
    <t>Multiple dose studies</t>
  </si>
  <si>
    <t xml:space="preserve">Project Initiation Form / Code Creation </t>
  </si>
  <si>
    <t>Group Leader, F&amp;D</t>
  </si>
  <si>
    <t>EP20-AHD</t>
  </si>
  <si>
    <t>Potential Rev (USD Mn)</t>
  </si>
  <si>
    <t>Market Size (USD Mn)</t>
  </si>
  <si>
    <t>SU (IMS Volume)</t>
  </si>
  <si>
    <t>Paresh Trivedi</t>
  </si>
  <si>
    <t>API 2 Req (Emcure KG)</t>
  </si>
  <si>
    <t>API 1 Req (Emcure KG)</t>
  </si>
  <si>
    <t>Total API 1 Req (IMS KG)</t>
  </si>
  <si>
    <t>Total API 2 Req (IMS KG)</t>
  </si>
  <si>
    <t>UOM</t>
  </si>
  <si>
    <t>mg</t>
  </si>
  <si>
    <t xml:space="preserve">Strength (API 1) </t>
  </si>
  <si>
    <t>SAP CODE / E Project Code</t>
  </si>
  <si>
    <t>Formulation GL</t>
  </si>
  <si>
    <t>Analytical GL</t>
  </si>
  <si>
    <t>Budget and timelines submission date</t>
  </si>
  <si>
    <t>Prototype formulation</t>
  </si>
  <si>
    <t>Scale-up batch</t>
  </si>
  <si>
    <t>Exhibit Batch 1</t>
  </si>
  <si>
    <t>Exhibit Batch 2</t>
  </si>
  <si>
    <t>Exhibit Batch 3</t>
  </si>
  <si>
    <t>TOTAL</t>
  </si>
  <si>
    <t xml:space="preserve">IMS (USD Mn) </t>
  </si>
  <si>
    <t>API</t>
  </si>
  <si>
    <t>API Commercial Quantity</t>
  </si>
  <si>
    <t>:</t>
  </si>
  <si>
    <t xml:space="preserve">Strength (API 2) </t>
  </si>
  <si>
    <t>Pilot Bio</t>
  </si>
  <si>
    <t>Pivotal Bio</t>
  </si>
  <si>
    <t>Unit cost of Ref. Product</t>
  </si>
  <si>
    <t>Reference Product Requirement</t>
  </si>
  <si>
    <t>Formulation Development</t>
  </si>
  <si>
    <t>Total Cost</t>
  </si>
  <si>
    <t>Cost</t>
  </si>
  <si>
    <t>Scale up</t>
  </si>
  <si>
    <t>Exhibit Batch</t>
  </si>
  <si>
    <t>Analytical Requirement</t>
  </si>
  <si>
    <t>Reference Product Detail</t>
  </si>
  <si>
    <t>Brand</t>
  </si>
  <si>
    <t>Applicant</t>
  </si>
  <si>
    <t>Country</t>
  </si>
  <si>
    <t>Bio Study Cost</t>
  </si>
  <si>
    <t>TOTAL COST</t>
  </si>
  <si>
    <t>Tooling and Change part cost</t>
  </si>
  <si>
    <t>Licensing</t>
  </si>
  <si>
    <t>Capex 1</t>
  </si>
  <si>
    <t>Capex 2</t>
  </si>
  <si>
    <t>Packaging Material Requirement</t>
  </si>
  <si>
    <t>Task Name</t>
  </si>
  <si>
    <t xml:space="preserve">Project selection </t>
  </si>
  <si>
    <t xml:space="preserve">   RLD Selection</t>
  </si>
  <si>
    <t xml:space="preserve">   Project given to R&amp;D for development </t>
  </si>
  <si>
    <t xml:space="preserve">   Decision on API source (In-house or Outsourced)</t>
  </si>
  <si>
    <t xml:space="preserve">   Project allocation </t>
  </si>
  <si>
    <t xml:space="preserve">   Initiation Literature Review</t>
  </si>
  <si>
    <t xml:space="preserve">   API Calculation</t>
  </si>
  <si>
    <t xml:space="preserve">   Acquire Test Licence</t>
  </si>
  <si>
    <t xml:space="preserve">   Project code creation</t>
  </si>
  <si>
    <t xml:space="preserve">   Detailed activity wise project plan </t>
  </si>
  <si>
    <t xml:space="preserve">   CFT meeting &amp; activity detailing</t>
  </si>
  <si>
    <t>Product Literature review</t>
  </si>
  <si>
    <t xml:space="preserve">   RLD Literature study</t>
  </si>
  <si>
    <t xml:space="preserve">   Idenitification of required materials</t>
  </si>
  <si>
    <t xml:space="preserve">   Probable Manufacturing process</t>
  </si>
  <si>
    <t xml:space="preserve">   Non infringement check &amp; Patent study</t>
  </si>
  <si>
    <t xml:space="preserve">   Procurement of RLD</t>
  </si>
  <si>
    <t xml:space="preserve">      Calculation of RLD requirement</t>
  </si>
  <si>
    <t xml:space="preserve">      Import license application</t>
  </si>
  <si>
    <t xml:space="preserve">      Purchase of RLD </t>
  </si>
  <si>
    <t xml:space="preserve">   Sourcing of API</t>
  </si>
  <si>
    <t xml:space="preserve">      Vendor identification and shortlisting </t>
  </si>
  <si>
    <t xml:space="preserve">      API requirement communication (Quantity and Specification)</t>
  </si>
  <si>
    <t xml:space="preserve">      Acquiring specs and quotations from vendors </t>
  </si>
  <si>
    <t xml:space="preserve">      Specification / CoA review</t>
  </si>
  <si>
    <t xml:space="preserve">      Query Resolution from vendor</t>
  </si>
  <si>
    <t xml:space="preserve">      NI Analysis</t>
  </si>
  <si>
    <t xml:space="preserve">      Finalization and CDA Signing</t>
  </si>
  <si>
    <t xml:space="preserve">      Purchase requisition (PR)</t>
  </si>
  <si>
    <t xml:space="preserve">      Acquiring of proforma invoice </t>
  </si>
  <si>
    <t xml:space="preserve">      Import license</t>
  </si>
  <si>
    <t xml:space="preserve">      PO and purchase of API </t>
  </si>
  <si>
    <t xml:space="preserve">      Development timelines from API team (In-House API)</t>
  </si>
  <si>
    <t xml:space="preserve">      API receipt date for development </t>
  </si>
  <si>
    <t xml:space="preserve">   Sourcing of RM and excipients </t>
  </si>
  <si>
    <t xml:space="preserve">      Material Grade Selection</t>
  </si>
  <si>
    <t xml:space="preserve">      PO and purchase of Material</t>
  </si>
  <si>
    <t xml:space="preserve">      Material receipt date for development </t>
  </si>
  <si>
    <t xml:space="preserve">   Sourcing of specific analytical requirements</t>
  </si>
  <si>
    <t xml:space="preserve">      Identification of any special requirement for DP</t>
  </si>
  <si>
    <t xml:space="preserve">      Identification and finalization of vendors </t>
  </si>
  <si>
    <t xml:space="preserve">      Purchase requisition</t>
  </si>
  <si>
    <t xml:space="preserve">      PO and Purchase of Requirement</t>
  </si>
  <si>
    <t xml:space="preserve">   Prototype development </t>
  </si>
  <si>
    <t xml:space="preserve">      Preformulation study </t>
  </si>
  <si>
    <t xml:space="preserve">      Initial development trials</t>
  </si>
  <si>
    <t xml:space="preserve">      Refining of formulation to match target profile </t>
  </si>
  <si>
    <t xml:space="preserve">      Prototype Formulation stability</t>
  </si>
  <si>
    <t xml:space="preserve">      Formulation &amp; Process optimization studies</t>
  </si>
  <si>
    <t xml:space="preserve">      Finalization of formulation at R&amp;D scale </t>
  </si>
  <si>
    <t xml:space="preserve">      IPD &amp; RA clearance on finalized formulation</t>
  </si>
  <si>
    <t xml:space="preserve">   Documentation Activities</t>
  </si>
  <si>
    <t xml:space="preserve">      Initiation and draft PDR</t>
  </si>
  <si>
    <t xml:space="preserve">      NPP Initiation </t>
  </si>
  <si>
    <t xml:space="preserve">      ADE report </t>
  </si>
  <si>
    <t xml:space="preserve">      CMV requirement evaluation</t>
  </si>
  <si>
    <t xml:space="preserve">      TDP Finalization</t>
  </si>
  <si>
    <t xml:space="preserve">   RM and API method development </t>
  </si>
  <si>
    <t xml:space="preserve">      Discussion on usage of vendor methods along with CDA</t>
  </si>
  <si>
    <t xml:space="preserve">      Receipt from Vendor (API, MOA, Specs &amp; AMV)</t>
  </si>
  <si>
    <t xml:space="preserve">      Vendor method feasibility study</t>
  </si>
  <si>
    <t xml:space="preserve">      Finalizing Method for analysis </t>
  </si>
  <si>
    <t xml:space="preserve">   Method development for Drug product</t>
  </si>
  <si>
    <t xml:space="preserve">      Assay, BU and CU method development </t>
  </si>
  <si>
    <t xml:space="preserve">      Solubility study</t>
  </si>
  <si>
    <t xml:space="preserve">      Disso method development </t>
  </si>
  <si>
    <t xml:space="preserve">      RS method development </t>
  </si>
  <si>
    <t xml:space="preserve">      Analysis of preformulation samples</t>
  </si>
  <si>
    <t xml:space="preserve">      Additional test development </t>
  </si>
  <si>
    <t xml:space="preserve">      Cleaning method development </t>
  </si>
  <si>
    <t xml:space="preserve">   Routine analytical support</t>
  </si>
  <si>
    <t xml:space="preserve">      Disso tests </t>
  </si>
  <si>
    <t xml:space="preserve">      Assay, BU and CU tests </t>
  </si>
  <si>
    <t xml:space="preserve">      RS tests </t>
  </si>
  <si>
    <t xml:space="preserve">      Multimedia disso tests </t>
  </si>
  <si>
    <t xml:space="preserve">      Additional analysis</t>
  </si>
  <si>
    <t xml:space="preserve">   Stability of R&amp;D batches </t>
  </si>
  <si>
    <t xml:space="preserve">   Analysis of 3 M stability batch </t>
  </si>
  <si>
    <t xml:space="preserve">   Analysis of 6 M stability batch </t>
  </si>
  <si>
    <t xml:space="preserve">      Literature search </t>
  </si>
  <si>
    <t xml:space="preserve">      Acquiring BE NOC</t>
  </si>
  <si>
    <t xml:space="preserve">      Preparation of protocol synopsis</t>
  </si>
  <si>
    <t xml:space="preserve">      Identification of CRO </t>
  </si>
  <si>
    <t xml:space="preserve">      Finalization of protocols with CRO </t>
  </si>
  <si>
    <t xml:space="preserve">      Request for slots with CRO </t>
  </si>
  <si>
    <t xml:space="preserve">      IPD &amp; RA Clearance</t>
  </si>
  <si>
    <t xml:space="preserve">   Study </t>
  </si>
  <si>
    <t xml:space="preserve">      Receipt of study samples</t>
  </si>
  <si>
    <t xml:space="preserve">      Study duration</t>
  </si>
  <si>
    <t xml:space="preserve">      Review of data received </t>
  </si>
  <si>
    <t xml:space="preserve">   CFT to decide course of development </t>
  </si>
  <si>
    <t xml:space="preserve">   Formulation alteration and/or freezing</t>
  </si>
  <si>
    <t>Specifications/STP preparation</t>
  </si>
  <si>
    <t xml:space="preserve">      RM specs preparation </t>
  </si>
  <si>
    <t xml:space="preserve">      RM specs approval </t>
  </si>
  <si>
    <t xml:space="preserve">      Draft FP specs preparation </t>
  </si>
  <si>
    <t xml:space="preserve">   Preparation for scaleup activity</t>
  </si>
  <si>
    <t xml:space="preserve">      Code creation meeting </t>
  </si>
  <si>
    <t xml:space="preserve">      Preparation of BOM for RM and PM </t>
  </si>
  <si>
    <t xml:space="preserve">      Approval of BOM</t>
  </si>
  <si>
    <t xml:space="preserve">      Scaleup BMR &amp; protocols preparation </t>
  </si>
  <si>
    <t xml:space="preserve">      Protocol approval </t>
  </si>
  <si>
    <t xml:space="preserve">      CMV activity </t>
  </si>
  <si>
    <t xml:space="preserve">      Procurement of API for scaleup - PR and purchase </t>
  </si>
  <si>
    <t xml:space="preserve">      Procurement of RM for scaleup - PR and purchase </t>
  </si>
  <si>
    <t xml:space="preserve">      Check for slot availability </t>
  </si>
  <si>
    <t xml:space="preserve">   Scaleup activity </t>
  </si>
  <si>
    <t xml:space="preserve">      Material release &amp; transfer</t>
  </si>
  <si>
    <t xml:space="preserve">      Scale up batch manufacturing</t>
  </si>
  <si>
    <t xml:space="preserve">      Hold time study</t>
  </si>
  <si>
    <t xml:space="preserve">      Analysis of scaleup samples </t>
  </si>
  <si>
    <t xml:space="preserve">      Scale-up report</t>
  </si>
  <si>
    <t xml:space="preserve">      Finalization of formulation &amp; process</t>
  </si>
  <si>
    <t>Finalization of specifications/STP</t>
  </si>
  <si>
    <t xml:space="preserve">   Specification revision and/or freezing</t>
  </si>
  <si>
    <t xml:space="preserve">   Approval of freezed specification</t>
  </si>
  <si>
    <t xml:space="preserve">   API &amp; RM AMV</t>
  </si>
  <si>
    <t xml:space="preserve">      Protocol preparation </t>
  </si>
  <si>
    <t xml:space="preserve">      Validation activity </t>
  </si>
  <si>
    <t xml:space="preserve">      Validation report preparation </t>
  </si>
  <si>
    <t xml:space="preserve">      Report approval </t>
  </si>
  <si>
    <t xml:space="preserve">   Drug product AMV</t>
  </si>
  <si>
    <t xml:space="preserve">      Post validation changes and finalization of specs </t>
  </si>
  <si>
    <t>Technology Transfer</t>
  </si>
  <si>
    <t xml:space="preserve">   Formualtion details transfer</t>
  </si>
  <si>
    <t xml:space="preserve">      Tech pack preparation</t>
  </si>
  <si>
    <t xml:space="preserve">      Tech pack approval</t>
  </si>
  <si>
    <t xml:space="preserve">      Tech Transfer meeting</t>
  </si>
  <si>
    <t xml:space="preserve">   Drug product analytical method transfer</t>
  </si>
  <si>
    <t xml:space="preserve">      AMT protocol </t>
  </si>
  <si>
    <t xml:space="preserve">      AMT activity </t>
  </si>
  <si>
    <t xml:space="preserve">      Method transfer report </t>
  </si>
  <si>
    <t xml:space="preserve">   API and RM method transfer</t>
  </si>
  <si>
    <t xml:space="preserve">      API AMT activity </t>
  </si>
  <si>
    <t xml:space="preserve">      CQA Specs</t>
  </si>
  <si>
    <t xml:space="preserve">   Preparation for Exhibit </t>
  </si>
  <si>
    <t xml:space="preserve">      Vendor qualification </t>
  </si>
  <si>
    <t xml:space="preserve">      Approved vendor list </t>
  </si>
  <si>
    <t xml:space="preserve">      MRN for API, raw materials and packaging materials </t>
  </si>
  <si>
    <t xml:space="preserve">      Procurement of materials if not available inhouse or in store </t>
  </si>
  <si>
    <t xml:space="preserve">      RM/ PM release </t>
  </si>
  <si>
    <t xml:space="preserve">      Slot finalization </t>
  </si>
  <si>
    <t xml:space="preserve">   Exhibit batch execution </t>
  </si>
  <si>
    <t xml:space="preserve">      Preparation &amp; approval of MFR, BMR, BPR, PEP etc.</t>
  </si>
  <si>
    <t xml:space="preserve">      Exhibit batch preparation (3 batches for 1 strength)</t>
  </si>
  <si>
    <t xml:space="preserve">      Exhibit batch analysis</t>
  </si>
  <si>
    <t xml:space="preserve">      Packaging </t>
  </si>
  <si>
    <t xml:space="preserve">   Stability Charging</t>
  </si>
  <si>
    <t xml:space="preserve">   Stability 1 M analysis &amp; review</t>
  </si>
  <si>
    <t xml:space="preserve">   Stability 3 M analysis &amp; review</t>
  </si>
  <si>
    <t xml:space="preserve">   Stability 6 M analysis &amp; review</t>
  </si>
  <si>
    <t xml:space="preserve">   Scope of study finalization </t>
  </si>
  <si>
    <t xml:space="preserve">      RLD purchase </t>
  </si>
  <si>
    <t xml:space="preserve">      Literature search (if pilot not done)</t>
  </si>
  <si>
    <t xml:space="preserve">      Preparation of protocol synopsis by BE team</t>
  </si>
  <si>
    <t xml:space="preserve">      Application for NoC (if required) to DCGI </t>
  </si>
  <si>
    <t xml:space="preserve">      Identification of CRO</t>
  </si>
  <si>
    <t xml:space="preserve">      Request for slots in CRO </t>
  </si>
  <si>
    <t xml:space="preserve">   Pivotal bio activity </t>
  </si>
  <si>
    <t xml:space="preserve">      Receipt of samples from plant QA for study </t>
  </si>
  <si>
    <t xml:space="preserve">      Carrying out of the study by CRO </t>
  </si>
  <si>
    <t xml:space="preserve">      Receipt of bio data, review and application</t>
  </si>
  <si>
    <t>ANDA Filing</t>
  </si>
  <si>
    <t xml:space="preserve">   NI Analysis &amp; Label Review</t>
  </si>
  <si>
    <t xml:space="preserve">   Dossier compilation from R&amp;D and plant</t>
  </si>
  <si>
    <t xml:space="preserve">   CQ Review</t>
  </si>
  <si>
    <t xml:space="preserve">   ANDA submission</t>
  </si>
  <si>
    <t>meq</t>
  </si>
  <si>
    <t>Imprinting/embossing codes</t>
  </si>
  <si>
    <t>SAP Code/Project Codes</t>
  </si>
  <si>
    <t>AHD</t>
  </si>
  <si>
    <t>BHS</t>
  </si>
  <si>
    <t>US</t>
  </si>
  <si>
    <t>EU</t>
  </si>
  <si>
    <t>DOM</t>
  </si>
  <si>
    <t>ROW</t>
  </si>
  <si>
    <t>HNJ</t>
  </si>
  <si>
    <t xml:space="preserve">      Submission of synopsis to CRO</t>
  </si>
  <si>
    <t xml:space="preserve">      Review and finalization of protocols received </t>
  </si>
  <si>
    <t>(Mg  per unit dosage form)</t>
  </si>
  <si>
    <t>Quantity</t>
  </si>
  <si>
    <t>Scale Up</t>
  </si>
  <si>
    <t>Fasting</t>
  </si>
  <si>
    <t>Fed</t>
  </si>
  <si>
    <t>B</t>
  </si>
  <si>
    <t>Number of Volunteers</t>
  </si>
  <si>
    <t>D</t>
  </si>
  <si>
    <t>Clinical Cost/Vol.</t>
  </si>
  <si>
    <t>E</t>
  </si>
  <si>
    <t>Doc. Cost/study</t>
  </si>
  <si>
    <t>F</t>
  </si>
  <si>
    <t>G</t>
  </si>
  <si>
    <t>TOTAL COST (PILOT)</t>
  </si>
  <si>
    <t>Total Bio Study Cost</t>
  </si>
  <si>
    <t>TOTAL COST (PIVOTAL)</t>
  </si>
  <si>
    <t>R&amp;D Head</t>
  </si>
  <si>
    <t>Project Mngr</t>
  </si>
  <si>
    <t>Indication</t>
  </si>
  <si>
    <t>Dr. Deepak Gondaliya</t>
  </si>
  <si>
    <t>Prototype Formulation Development</t>
  </si>
  <si>
    <t>HDPE 30 cc</t>
  </si>
  <si>
    <t>HDPE 40 cc</t>
  </si>
  <si>
    <t>HDPE 60 cc</t>
  </si>
  <si>
    <t>HDPE 75 cc</t>
  </si>
  <si>
    <t>HDPE 100 cc</t>
  </si>
  <si>
    <t>HDPE 120 cc</t>
  </si>
  <si>
    <t>HDPE 150 cc</t>
  </si>
  <si>
    <t>HDPE 180 cc</t>
  </si>
  <si>
    <t>HDPE 200 cc</t>
  </si>
  <si>
    <t>HDPE 250 cc</t>
  </si>
  <si>
    <t>HDPE 300 cc</t>
  </si>
  <si>
    <t>HDPE 500 cc</t>
  </si>
  <si>
    <t>HDPE 1000 cc</t>
  </si>
  <si>
    <t>HDPE 1500 cc</t>
  </si>
  <si>
    <t>HDPE 2000 cc</t>
  </si>
  <si>
    <t>Silica canister (0.5g)</t>
  </si>
  <si>
    <t>Silica canister (1g)</t>
  </si>
  <si>
    <t>Silica canister (2g)</t>
  </si>
  <si>
    <t>Silica canister (3g)</t>
  </si>
  <si>
    <t>Silica bag (0.5g)</t>
  </si>
  <si>
    <t>Silica bag (1g)</t>
  </si>
  <si>
    <t>Silica bag (2g)</t>
  </si>
  <si>
    <t>Silica bag (3g)</t>
  </si>
  <si>
    <t>Filler</t>
  </si>
  <si>
    <t>Oxy. Scavenger (10cc)</t>
  </si>
  <si>
    <t>Oxy. Scavenger (20cc)</t>
  </si>
  <si>
    <t>kg</t>
  </si>
  <si>
    <t>Nos.</t>
  </si>
  <si>
    <t>(Unit quantities per strength…)</t>
  </si>
  <si>
    <t>Exhibit Batch (I)</t>
  </si>
  <si>
    <t>Exhibit Batch (II)</t>
  </si>
  <si>
    <t>Exhibit Batch (III)</t>
  </si>
  <si>
    <t>API 1 Requirement</t>
  </si>
  <si>
    <t>API 2 Requirement</t>
  </si>
  <si>
    <t>TOTAL PROJECT EXPENSES</t>
  </si>
  <si>
    <t>Test code</t>
  </si>
  <si>
    <t>Test Description</t>
  </si>
  <si>
    <t>T001</t>
  </si>
  <si>
    <t>Assay by HPLC</t>
  </si>
  <si>
    <t>T002</t>
  </si>
  <si>
    <t>Assay by HPLC (Double component in single chromatography)</t>
  </si>
  <si>
    <t>T003</t>
  </si>
  <si>
    <t>Assay by HPLC (Triple component in single chromatography)</t>
  </si>
  <si>
    <t>T004</t>
  </si>
  <si>
    <t>Assay by UV</t>
  </si>
  <si>
    <t>T005</t>
  </si>
  <si>
    <t>Assay by GC</t>
  </si>
  <si>
    <t>T006</t>
  </si>
  <si>
    <t>Assay by Titrimetry</t>
  </si>
  <si>
    <t>T007</t>
  </si>
  <si>
    <t>Assay by Ion Chromatography</t>
  </si>
  <si>
    <t>T008</t>
  </si>
  <si>
    <t>Dissolution Profile by HPLC</t>
  </si>
  <si>
    <t>T009</t>
  </si>
  <si>
    <t>Dissolution single point by HPLC</t>
  </si>
  <si>
    <t>T010</t>
  </si>
  <si>
    <t>Dissolution Profile by HPLC 3 units</t>
  </si>
  <si>
    <t>T011</t>
  </si>
  <si>
    <t>Dissolution Profile by HPLC 12 units</t>
  </si>
  <si>
    <t>T012</t>
  </si>
  <si>
    <t>Dissolution Profile by UV</t>
  </si>
  <si>
    <t>T013</t>
  </si>
  <si>
    <t>Dissolution single point by UV</t>
  </si>
  <si>
    <t>T014</t>
  </si>
  <si>
    <t>Dissolution Profile by UV 3 units</t>
  </si>
  <si>
    <t>T015</t>
  </si>
  <si>
    <t>Dissolution Profile by UV 12 units</t>
  </si>
  <si>
    <t>T016</t>
  </si>
  <si>
    <t>Dissolution profile by LCMS</t>
  </si>
  <si>
    <t>T017</t>
  </si>
  <si>
    <t>Dissolution single point by LCMS</t>
  </si>
  <si>
    <t>T018</t>
  </si>
  <si>
    <t>Dissolution profile by titrimetry</t>
  </si>
  <si>
    <t>T019</t>
  </si>
  <si>
    <t>Dissolution profile by titrimetry 3 units</t>
  </si>
  <si>
    <t>T020</t>
  </si>
  <si>
    <t>Dissolution single point by Titrimetry</t>
  </si>
  <si>
    <t>T021</t>
  </si>
  <si>
    <t>In-vitro release study (by Franz Diffusion)</t>
  </si>
  <si>
    <t>T022</t>
  </si>
  <si>
    <t>Method Development for Assay</t>
  </si>
  <si>
    <t>T023</t>
  </si>
  <si>
    <t>Method Development for dissolution</t>
  </si>
  <si>
    <t>T024</t>
  </si>
  <si>
    <t>Method Development for RS</t>
  </si>
  <si>
    <t>T025</t>
  </si>
  <si>
    <t>Method Development for residual Solvent</t>
  </si>
  <si>
    <t>T026</t>
  </si>
  <si>
    <t>Related Substances (By TLC)</t>
  </si>
  <si>
    <t>T027</t>
  </si>
  <si>
    <t>Related Substances by HPLC</t>
  </si>
  <si>
    <t>T028</t>
  </si>
  <si>
    <t>Related Substances by GC</t>
  </si>
  <si>
    <t>T029</t>
  </si>
  <si>
    <t>Uniformity of dosage units by content uniformity</t>
  </si>
  <si>
    <t>T030</t>
  </si>
  <si>
    <t>Uniformity of Dosage units by weight variation</t>
  </si>
  <si>
    <t>T031</t>
  </si>
  <si>
    <t>Uniformity of dosage unit by weight variation (Subdivision)</t>
  </si>
  <si>
    <t>T032</t>
  </si>
  <si>
    <t>Uniformity of dosage unit by content uniformity (Subdivision)</t>
  </si>
  <si>
    <t>T033</t>
  </si>
  <si>
    <t>Disintegration Time</t>
  </si>
  <si>
    <t>T034</t>
  </si>
  <si>
    <t>Water Content (by KF)</t>
  </si>
  <si>
    <t>T035</t>
  </si>
  <si>
    <t>Water content (by coloumetric)</t>
  </si>
  <si>
    <t>T036</t>
  </si>
  <si>
    <t>Hardness</t>
  </si>
  <si>
    <t>T037</t>
  </si>
  <si>
    <t>Blend uniformity</t>
  </si>
  <si>
    <t>T038</t>
  </si>
  <si>
    <t>Microbial Limit Test</t>
  </si>
  <si>
    <t>T039</t>
  </si>
  <si>
    <t>Weight Variation</t>
  </si>
  <si>
    <t>T040</t>
  </si>
  <si>
    <t>Residual solvents</t>
  </si>
  <si>
    <t>T041</t>
  </si>
  <si>
    <t>Acid resistance value</t>
  </si>
  <si>
    <t>T042</t>
  </si>
  <si>
    <t>Identification by UV</t>
  </si>
  <si>
    <t>T043</t>
  </si>
  <si>
    <t>Identification by HPLC</t>
  </si>
  <si>
    <t>T044</t>
  </si>
  <si>
    <t>Identification (by TLC)</t>
  </si>
  <si>
    <t>T045</t>
  </si>
  <si>
    <t>Identification test for Chemical</t>
  </si>
  <si>
    <t>T046</t>
  </si>
  <si>
    <t>pH</t>
  </si>
  <si>
    <t>T047</t>
  </si>
  <si>
    <t>Loss on Drying</t>
  </si>
  <si>
    <t>T048</t>
  </si>
  <si>
    <t>Particle size</t>
  </si>
  <si>
    <t>T049</t>
  </si>
  <si>
    <t>Melting Point Range</t>
  </si>
  <si>
    <t>T050</t>
  </si>
  <si>
    <t>Solubility (mg/ml)</t>
  </si>
  <si>
    <t>T051</t>
  </si>
  <si>
    <t>X-ray Diffraction (XRD)</t>
  </si>
  <si>
    <t>T052</t>
  </si>
  <si>
    <t>SEM Analysis</t>
  </si>
  <si>
    <t>T053</t>
  </si>
  <si>
    <t xml:space="preserve">Acidity </t>
  </si>
  <si>
    <t>T054</t>
  </si>
  <si>
    <t>Alkalinity</t>
  </si>
  <si>
    <t>T055</t>
  </si>
  <si>
    <t>Tapped Density</t>
  </si>
  <si>
    <t>T056</t>
  </si>
  <si>
    <t>Untapped Density</t>
  </si>
  <si>
    <t>T057</t>
  </si>
  <si>
    <t>Specific Optimal Rotation</t>
  </si>
  <si>
    <t>T058</t>
  </si>
  <si>
    <t>Chiral Purity</t>
  </si>
  <si>
    <t>T059</t>
  </si>
  <si>
    <t>Particulate matter</t>
  </si>
  <si>
    <t>T060</t>
  </si>
  <si>
    <t>Surface Tension</t>
  </si>
  <si>
    <t>T061</t>
  </si>
  <si>
    <t>Viscosity</t>
  </si>
  <si>
    <t>T062</t>
  </si>
  <si>
    <t>Buffer Capacity</t>
  </si>
  <si>
    <t>T063</t>
  </si>
  <si>
    <t xml:space="preserve">Colour and clarity </t>
  </si>
  <si>
    <t>T064</t>
  </si>
  <si>
    <t>Clarity and completeness of solution</t>
  </si>
  <si>
    <t>T065</t>
  </si>
  <si>
    <t>Weight Loss</t>
  </si>
  <si>
    <t>T066</t>
  </si>
  <si>
    <t>Density</t>
  </si>
  <si>
    <t>T067</t>
  </si>
  <si>
    <t>Weight per ml</t>
  </si>
  <si>
    <t>T068</t>
  </si>
  <si>
    <t>Specific Gravity</t>
  </si>
  <si>
    <t>T069</t>
  </si>
  <si>
    <t>pH of reconstituted solution</t>
  </si>
  <si>
    <t>T070</t>
  </si>
  <si>
    <t>Absorbance at 420 nm</t>
  </si>
  <si>
    <t>T071</t>
  </si>
  <si>
    <t>%T @ 650nm</t>
  </si>
  <si>
    <t>T072</t>
  </si>
  <si>
    <t>Osmolality</t>
  </si>
  <si>
    <t>T073</t>
  </si>
  <si>
    <t>Reconstitution time</t>
  </si>
  <si>
    <t>T074</t>
  </si>
  <si>
    <t>Inductive Coupled Plasma (ICP)</t>
  </si>
  <si>
    <t>T075</t>
  </si>
  <si>
    <t>Sterility</t>
  </si>
  <si>
    <t>T076</t>
  </si>
  <si>
    <t>Biological Asssay</t>
  </si>
  <si>
    <t>T077</t>
  </si>
  <si>
    <t>Uniformity of dispersion</t>
  </si>
  <si>
    <t>T078</t>
  </si>
  <si>
    <t>Alcohol content</t>
  </si>
  <si>
    <t>T079</t>
  </si>
  <si>
    <t>Reduced Pressure measurement inside vial</t>
  </si>
  <si>
    <t>T080</t>
  </si>
  <si>
    <t>Swelling Index</t>
  </si>
  <si>
    <t>T081</t>
  </si>
  <si>
    <t>Bacterial Endotoxins</t>
  </si>
  <si>
    <t>T082</t>
  </si>
  <si>
    <t>Aggregation Study</t>
  </si>
  <si>
    <t>T083</t>
  </si>
  <si>
    <t>TEM Analysis</t>
  </si>
  <si>
    <t>T084</t>
  </si>
  <si>
    <t>Syringibility</t>
  </si>
  <si>
    <t>T085</t>
  </si>
  <si>
    <t>Droplet Size</t>
  </si>
  <si>
    <t>T086</t>
  </si>
  <si>
    <t>Zeta Potential</t>
  </si>
  <si>
    <t>T087</t>
  </si>
  <si>
    <t>Fine Particle by NG Impactor</t>
  </si>
  <si>
    <t>T088</t>
  </si>
  <si>
    <t>Fine Particle by AG Impactor</t>
  </si>
  <si>
    <t>T089</t>
  </si>
  <si>
    <t>% Entrappment (HPLC) (For Depot)</t>
  </si>
  <si>
    <t>T090</t>
  </si>
  <si>
    <t>Free Drug (For Doxo)</t>
  </si>
  <si>
    <t>T091</t>
  </si>
  <si>
    <t>Volume in Container</t>
  </si>
  <si>
    <t>T092</t>
  </si>
  <si>
    <t>Extractable Volume</t>
  </si>
  <si>
    <t>T093</t>
  </si>
  <si>
    <t>Filled Volume</t>
  </si>
  <si>
    <t>T094</t>
  </si>
  <si>
    <t>Conductivity</t>
  </si>
  <si>
    <t>T095</t>
  </si>
  <si>
    <t>Uniformity of deliver dosage or entire content</t>
  </si>
  <si>
    <t>Prototype Development</t>
  </si>
  <si>
    <t>T001: Assay by HPLC</t>
  </si>
  <si>
    <t>T002: Assay by HPLC (Double component in single chromatography)</t>
  </si>
  <si>
    <t>T003: Assay by HPLC (Triple component in single chromatography)</t>
  </si>
  <si>
    <t>T004: Assay by UV</t>
  </si>
  <si>
    <t>T005: Assay by GC</t>
  </si>
  <si>
    <t>T006: Assay by Titrimetry</t>
  </si>
  <si>
    <t>T007: Assay by Ion Chromatography</t>
  </si>
  <si>
    <t>T008: Dissolution Profile by HPLC</t>
  </si>
  <si>
    <t>T009: Dissolution single point by HPLC</t>
  </si>
  <si>
    <t>T010: Dissolution Profile by HPLC 3 units</t>
  </si>
  <si>
    <t>T011: Dissolution Profile by HPLC 12 units</t>
  </si>
  <si>
    <t>T012: Dissolution Profile by UV</t>
  </si>
  <si>
    <t>T013: Dissolution single point by UV</t>
  </si>
  <si>
    <t>T014: Dissolution Profile by UV 3 units</t>
  </si>
  <si>
    <t>T015: Dissolution Profile by UV 12 units</t>
  </si>
  <si>
    <t>T016: Dissolution profile by LCMS</t>
  </si>
  <si>
    <t>T017: Dissolution single point by LCMS</t>
  </si>
  <si>
    <t>T018: Dissolution profile by titrimetry</t>
  </si>
  <si>
    <t>T019: Dissolution profile by titrimetry 3 units</t>
  </si>
  <si>
    <t>T020: Dissolution single point by Titrimetry</t>
  </si>
  <si>
    <t>T021: In-vitro release study (by Franz Diffusion)</t>
  </si>
  <si>
    <t>T022: Method Development for Assay</t>
  </si>
  <si>
    <t>T023: Method Development for dissolution</t>
  </si>
  <si>
    <t>T024: Method Development for RS</t>
  </si>
  <si>
    <t>T025: Method Development for residual Solvent</t>
  </si>
  <si>
    <t>T026: Related Substances (By TLC)</t>
  </si>
  <si>
    <t>T027: Related Substances by HPLC</t>
  </si>
  <si>
    <t>T028: Related Substances by GC</t>
  </si>
  <si>
    <t>T029: Uniformity of dosage units by content uniformity</t>
  </si>
  <si>
    <t>T030: Uniformity of Dosage units by weight variation</t>
  </si>
  <si>
    <t>T031: Uniformity of dosage unit by weight variation (Subdivision)</t>
  </si>
  <si>
    <t>T032: Uniformity of dosage unit by content uniformity (Subdivision)</t>
  </si>
  <si>
    <t>T033: Disintegration Time</t>
  </si>
  <si>
    <t>T034: Water Content (by KF)</t>
  </si>
  <si>
    <t>T035: Water content (by coloumetric)</t>
  </si>
  <si>
    <t>T036: Hardness</t>
  </si>
  <si>
    <t>T037: Blend uniformity</t>
  </si>
  <si>
    <t>T038: Microbial Limit Test</t>
  </si>
  <si>
    <t>T039: Weight Variation</t>
  </si>
  <si>
    <t>T040: Residual solvents</t>
  </si>
  <si>
    <t>T041: Acid resistance value</t>
  </si>
  <si>
    <t>T042: Identification by UV</t>
  </si>
  <si>
    <t>T043: Identification by HPLC</t>
  </si>
  <si>
    <t>T044: Identification (by TLC)</t>
  </si>
  <si>
    <t>T045: Identification test for Chemical</t>
  </si>
  <si>
    <t>T046: pH</t>
  </si>
  <si>
    <t>T047: Loss on Drying</t>
  </si>
  <si>
    <t>T048: Particle size</t>
  </si>
  <si>
    <t>T049: Melting Point Range</t>
  </si>
  <si>
    <t>T050: Solubility (mg/ml)</t>
  </si>
  <si>
    <t>T051: X-ray Diffraction (XRD)</t>
  </si>
  <si>
    <t>T052: SEM Analysis</t>
  </si>
  <si>
    <t xml:space="preserve">T053: Acidity </t>
  </si>
  <si>
    <t>T054: Alkalinity</t>
  </si>
  <si>
    <t>T055: Tapped Density</t>
  </si>
  <si>
    <t>T056: Untapped Density</t>
  </si>
  <si>
    <t>T057: Specific Optimal Rotation</t>
  </si>
  <si>
    <t>T058: Chiral Purity</t>
  </si>
  <si>
    <t>T059: Particulate matter</t>
  </si>
  <si>
    <t>T060: Surface Tension</t>
  </si>
  <si>
    <t>T061: Viscosity</t>
  </si>
  <si>
    <t>T062: Buffer Capacity</t>
  </si>
  <si>
    <t xml:space="preserve">T063: Colour and clarity </t>
  </si>
  <si>
    <t>T064: Clarity and completeness of solution</t>
  </si>
  <si>
    <t>T065: Weight Loss</t>
  </si>
  <si>
    <t>T066: Density</t>
  </si>
  <si>
    <t>T067: Weight per ml</t>
  </si>
  <si>
    <t>T068: Specific Gravity</t>
  </si>
  <si>
    <t>T069: pH of reconstituted solution</t>
  </si>
  <si>
    <t>T070: Absorbance at 420 nm</t>
  </si>
  <si>
    <t>T071: %T @ 650nm</t>
  </si>
  <si>
    <t>T072: Osmolality</t>
  </si>
  <si>
    <t>T073: Reconstitution time</t>
  </si>
  <si>
    <t>T074: Inductive Coupled Plasma (ICP)</t>
  </si>
  <si>
    <t>T075: Sterility</t>
  </si>
  <si>
    <t>T076: Biological Asssay</t>
  </si>
  <si>
    <t>T077: Uniformity of dispersion</t>
  </si>
  <si>
    <t>T078: Alcohol content</t>
  </si>
  <si>
    <t>T079: Reduced Pressure measurement inside vial</t>
  </si>
  <si>
    <t>T080: Swelling Index</t>
  </si>
  <si>
    <t>T081: Bacterial Endotoxins</t>
  </si>
  <si>
    <t>T082: Aggregation Study</t>
  </si>
  <si>
    <t>T083: TEM Analysis</t>
  </si>
  <si>
    <t>T084: Syringibility</t>
  </si>
  <si>
    <t>T085: Droplet Size</t>
  </si>
  <si>
    <t>T086: Zeta Potential</t>
  </si>
  <si>
    <t>T087: Fine Particle by NG Impactor</t>
  </si>
  <si>
    <t>T088: Fine Particle by AG Impactor</t>
  </si>
  <si>
    <t>T089: % Entrappment (HPLC) (For Depot)</t>
  </si>
  <si>
    <t>T090: Free Drug (For Doxo)</t>
  </si>
  <si>
    <t>T091: Volume in Container</t>
  </si>
  <si>
    <t>T092: Extractable Volume</t>
  </si>
  <si>
    <t>T093: Filled Volume</t>
  </si>
  <si>
    <t>T094: Conductivity</t>
  </si>
  <si>
    <t>T095: Uniformity of deliver dosage or entire content</t>
  </si>
  <si>
    <t>US (ANDA) Filing</t>
  </si>
  <si>
    <t>EU Filing</t>
  </si>
  <si>
    <t>Scale Up / Exhibit Batch</t>
  </si>
  <si>
    <t xml:space="preserve">Cost </t>
  </si>
  <si>
    <t>Scale Up / Exhibit</t>
  </si>
  <si>
    <t>Bipin Patel</t>
  </si>
  <si>
    <t>Sanket Shah</t>
  </si>
  <si>
    <t>Kamlesh Patel</t>
  </si>
  <si>
    <t>Duration</t>
  </si>
  <si>
    <t>(on 1-5 Scale)</t>
  </si>
  <si>
    <t>Total Raw material Cost</t>
  </si>
  <si>
    <t>Cumulative Phase-Wise Budget (INR Lacs)</t>
  </si>
  <si>
    <t>Cost (Rs. Lacs)</t>
  </si>
  <si>
    <t>Deliverabales</t>
  </si>
  <si>
    <r>
      <t xml:space="preserve">Capex &amp; Miscellaneous Expenses </t>
    </r>
    <r>
      <rPr>
        <b/>
        <i/>
        <sz val="9"/>
        <color rgb="FFFFFF00"/>
        <rFont val="Aharoni"/>
        <charset val="177"/>
      </rPr>
      <t>(Prototype Formulation-Development Phase)</t>
    </r>
  </si>
  <si>
    <t>Original Expiry Date</t>
  </si>
  <si>
    <t>Type</t>
  </si>
  <si>
    <t>Extension Application</t>
  </si>
  <si>
    <t>Type of Filing</t>
  </si>
  <si>
    <t>No. of Approved ANDAs</t>
  </si>
  <si>
    <t>No. of Pending ANDA App.n</t>
  </si>
  <si>
    <t>Legal Status (Litigation)</t>
  </si>
  <si>
    <t>Cost of Litigation</t>
  </si>
  <si>
    <t>IPD Comments&gt;&gt;</t>
  </si>
  <si>
    <t>Patent Details</t>
  </si>
  <si>
    <t>Patent Numbers</t>
  </si>
  <si>
    <t>Extn. Expiry Date</t>
  </si>
  <si>
    <t>Comment (Patent Specific)</t>
  </si>
  <si>
    <t>Strategy</t>
  </si>
  <si>
    <t>Exclusivity</t>
  </si>
  <si>
    <t>Expiry</t>
  </si>
  <si>
    <t>Phase Wise Budget</t>
  </si>
  <si>
    <t>R&amp;D Scale Up</t>
  </si>
  <si>
    <t>Exhibit &amp; Stability</t>
  </si>
  <si>
    <t>CUM. TOTAL</t>
  </si>
  <si>
    <t>% of TOTAL</t>
  </si>
  <si>
    <t>Project Initiation</t>
  </si>
  <si>
    <t>Literature Review &amp; Sourcing</t>
  </si>
  <si>
    <t>Pilot Bio Study</t>
  </si>
  <si>
    <t>AMV &amp; TT</t>
  </si>
  <si>
    <t>Pivotal Bio Study</t>
  </si>
  <si>
    <t>Man Power Cost &amp; Project Duration</t>
  </si>
  <si>
    <t>Transfer Form R&amp;D Division</t>
  </si>
  <si>
    <t>Previous Project Code</t>
  </si>
  <si>
    <t>Sink Cost</t>
  </si>
  <si>
    <t>For Transfer Projects only</t>
  </si>
  <si>
    <t>Project Source</t>
  </si>
  <si>
    <t>Prev. Code</t>
  </si>
  <si>
    <t>Prev. R&amp;D Div.</t>
  </si>
  <si>
    <t>Sink Cost (Cost Endured &amp; pre. R&amp;D Div.</t>
  </si>
  <si>
    <t>TOTAL PROJECT COST</t>
  </si>
  <si>
    <t>Includes Cost @ all R&amp;D division + Litigation cost (if any)</t>
  </si>
  <si>
    <t>Exp. (Scale up &amp; EB)</t>
  </si>
  <si>
    <t>Exp. (prototype)</t>
  </si>
  <si>
    <t>COST</t>
  </si>
  <si>
    <t>QUANTITY</t>
  </si>
  <si>
    <t>g</t>
  </si>
  <si>
    <t>PVC Foil (200µ)</t>
  </si>
  <si>
    <t>PVC Foil (250µ)</t>
  </si>
  <si>
    <t>PVC Foil (300µ)</t>
  </si>
  <si>
    <t>PVC Foil (350µ)</t>
  </si>
  <si>
    <t>PVC/PVDC Foil (200/60)</t>
  </si>
  <si>
    <t>PVC/PVDC Foil (200/90)</t>
  </si>
  <si>
    <t>PVC/PVDC Foil (250/60)</t>
  </si>
  <si>
    <t>PVC/PVDC Foil (250/90)</t>
  </si>
  <si>
    <t>PVC/PVDC Foil (300/60)</t>
  </si>
  <si>
    <t>PVC/PVDC Foil (300/90)</t>
  </si>
  <si>
    <t>PVC/PVDC Foil (350/60)</t>
  </si>
  <si>
    <t>PVC/PVDC Foil (350/90)</t>
  </si>
  <si>
    <t>PVC/PE/PVDC Foil (250/30/60)</t>
  </si>
  <si>
    <t>PVC/PE/PVDC Foil (250/30/90)</t>
  </si>
  <si>
    <t>PVC/Aclar Foil (250/51)</t>
  </si>
  <si>
    <t>PVC/Aclar Foil (250/71)</t>
  </si>
  <si>
    <t>Lidding foil (20µ)</t>
  </si>
  <si>
    <t>Lidding foil (25µ)</t>
  </si>
  <si>
    <t>mg/ml</t>
  </si>
  <si>
    <t>mg/vial</t>
  </si>
  <si>
    <t xml:space="preserve">Batch Size </t>
  </si>
  <si>
    <t xml:space="preserve">(Number of </t>
  </si>
  <si>
    <t>Tablets</t>
  </si>
  <si>
    <t>Capsules</t>
  </si>
  <si>
    <t>Liters</t>
  </si>
  <si>
    <t>Solid Oral</t>
  </si>
  <si>
    <t>Liquid Oral</t>
  </si>
  <si>
    <t>Injectables</t>
  </si>
  <si>
    <t>Active Pharmaceuticals Ingredient Cost</t>
  </si>
  <si>
    <t>Pilot Study</t>
  </si>
  <si>
    <t>Pivotal Study</t>
  </si>
  <si>
    <t>COMMERCIAL REQUIREMENT PER QUARTER</t>
  </si>
  <si>
    <t>Aluminium Foil (20µ)</t>
  </si>
  <si>
    <t>Hard Gelatin Capsule Shells</t>
  </si>
  <si>
    <t>Size of Capsule Shell</t>
  </si>
  <si>
    <t>Additional Charge for HCG Capsules</t>
  </si>
  <si>
    <t>Size 000</t>
  </si>
  <si>
    <t>Size 00 el</t>
  </si>
  <si>
    <t>Size 00</t>
  </si>
  <si>
    <t>Size 0 el</t>
  </si>
  <si>
    <t>Size 0</t>
  </si>
  <si>
    <t>Size 1 el</t>
  </si>
  <si>
    <t>Size 1</t>
  </si>
  <si>
    <t>Size 2 el</t>
  </si>
  <si>
    <t>Size 2</t>
  </si>
  <si>
    <t>Size 3</t>
  </si>
  <si>
    <t>Size 4 el</t>
  </si>
  <si>
    <t>Size 4</t>
  </si>
  <si>
    <t>Size 5</t>
  </si>
  <si>
    <t>Capsule Size</t>
  </si>
  <si>
    <t>Shell Price</t>
  </si>
  <si>
    <t>Dosage Form</t>
  </si>
  <si>
    <t>Ref.</t>
  </si>
  <si>
    <t>Batch size Units</t>
  </si>
  <si>
    <t>µg</t>
  </si>
  <si>
    <t>Aluminium Foil (25µ)</t>
  </si>
  <si>
    <t>API Source</t>
  </si>
  <si>
    <t>R&amp;D Division (Location)</t>
  </si>
  <si>
    <t>Project Manager</t>
  </si>
  <si>
    <t>Plant Code</t>
  </si>
  <si>
    <t>Packaging Cost</t>
  </si>
  <si>
    <t>Packing Type</t>
  </si>
  <si>
    <t>Unit</t>
  </si>
  <si>
    <t>Test Code + Test Description</t>
  </si>
  <si>
    <t xml:space="preserve"> </t>
  </si>
  <si>
    <t>Raw Materials &amp; Packaging materials</t>
  </si>
  <si>
    <t>RM &amp; Packaging Cost</t>
  </si>
  <si>
    <t>Projected Commercial batch Cost</t>
  </si>
  <si>
    <t>API 1 Cost (INR/kg)</t>
  </si>
  <si>
    <t>API 2 Cost (INR/kg)</t>
  </si>
  <si>
    <t>Strength 1</t>
  </si>
  <si>
    <t>Strength 2</t>
  </si>
  <si>
    <t>API 1 Used</t>
  </si>
  <si>
    <t>API 2 Used</t>
  </si>
  <si>
    <t>Total cost of APIs</t>
  </si>
  <si>
    <t>Excp &amp; pkg Cost</t>
  </si>
  <si>
    <t>Plant running cost /day</t>
  </si>
  <si>
    <t>No. of Days</t>
  </si>
  <si>
    <t>Man Power</t>
  </si>
  <si>
    <t>Potential Annual Revenue Vs Development Expenses</t>
  </si>
  <si>
    <t>Development Exp</t>
  </si>
  <si>
    <t>Man power cost</t>
  </si>
  <si>
    <t>TOTAL PROJECTED COST</t>
  </si>
  <si>
    <t>Potential Revenue ($)</t>
  </si>
  <si>
    <t>Potential Revenue (INR)</t>
  </si>
  <si>
    <t>$ 1 (USD)</t>
  </si>
  <si>
    <t>API 1</t>
  </si>
  <si>
    <t>API 2</t>
  </si>
  <si>
    <t>Project activities</t>
  </si>
  <si>
    <t>Man Hour rate (₹/hr)</t>
  </si>
  <si>
    <t>₹/kg</t>
  </si>
  <si>
    <t>₹/Ut.</t>
  </si>
  <si>
    <t>₹/Test.</t>
  </si>
  <si>
    <r>
      <t>Plant Utilization rate</t>
    </r>
    <r>
      <rPr>
        <sz val="9"/>
        <color theme="0"/>
        <rFont val="Calibri"/>
        <family val="2"/>
        <scheme val="minor"/>
      </rPr>
      <t xml:space="preserve"> (₹/Day)</t>
    </r>
  </si>
  <si>
    <t>Market Share Considered</t>
  </si>
  <si>
    <t>IR</t>
  </si>
  <si>
    <t>Pellets</t>
  </si>
  <si>
    <t>Parenteral</t>
  </si>
  <si>
    <t>ER/DR/SR</t>
  </si>
  <si>
    <t>Man power</t>
  </si>
  <si>
    <t>Product type Factor</t>
  </si>
  <si>
    <t>Manpower factor (Stability)</t>
  </si>
  <si>
    <t>non rld</t>
  </si>
  <si>
    <t>rld</t>
  </si>
  <si>
    <t>Reference Product Cost</t>
  </si>
  <si>
    <t>ADDITONAL COST INCURED FOR EU DEVELOPMENT AND FILING</t>
  </si>
  <si>
    <t>TOTAL EXPENSES (US)</t>
  </si>
  <si>
    <t>Capex and Misc. Cost</t>
  </si>
  <si>
    <t>Filing Cost</t>
  </si>
  <si>
    <t xml:space="preserve">Miscellaneous </t>
  </si>
  <si>
    <t>ADDITIONAL COST TO INCUR FOR EU MARKET (INR Lacs)</t>
  </si>
  <si>
    <t>Strengths</t>
  </si>
  <si>
    <t>Projects Code</t>
  </si>
  <si>
    <t>Budget Heads</t>
  </si>
  <si>
    <t>Project Budget (INR Lacs)</t>
  </si>
  <si>
    <t>Pharmaceutical Equivalence</t>
  </si>
  <si>
    <t>Other Expenses</t>
  </si>
  <si>
    <t>Toolings &amp; Change Parts</t>
  </si>
  <si>
    <t>Analytical Cost</t>
  </si>
  <si>
    <t>Price discounting</t>
  </si>
  <si>
    <t xml:space="preserve">TOTAL MANHOURS </t>
  </si>
  <si>
    <t>Analytical Activities</t>
  </si>
  <si>
    <t>Impurity-2</t>
  </si>
  <si>
    <t>Impurity-3</t>
  </si>
  <si>
    <t>Impurity-4</t>
  </si>
  <si>
    <t>Impurity-5</t>
  </si>
  <si>
    <t>Impurity-6</t>
  </si>
  <si>
    <t>Acetonitril</t>
  </si>
  <si>
    <t>Methanol</t>
  </si>
  <si>
    <t>KH2PO4</t>
  </si>
  <si>
    <t>No.</t>
  </si>
  <si>
    <t>Lit</t>
  </si>
  <si>
    <t>gm</t>
  </si>
  <si>
    <t>Special Chemical</t>
  </si>
  <si>
    <t>Ethanol</t>
  </si>
  <si>
    <t>Hexane</t>
  </si>
  <si>
    <t>IPA</t>
  </si>
  <si>
    <t>Impurity-1</t>
  </si>
  <si>
    <t>Assay Column</t>
  </si>
  <si>
    <t>Chiral Column</t>
  </si>
  <si>
    <t>Dissolution Column</t>
  </si>
  <si>
    <t>GC Column</t>
  </si>
  <si>
    <t>RS Column</t>
  </si>
  <si>
    <t>Carrier Gas</t>
  </si>
  <si>
    <t>Miscellaneous</t>
  </si>
  <si>
    <t>T096</t>
  </si>
  <si>
    <t>Friability</t>
  </si>
  <si>
    <t>T096: Friability</t>
  </si>
  <si>
    <t>TOTAL BUDGET</t>
  </si>
  <si>
    <t>Canada</t>
  </si>
  <si>
    <t>API 3</t>
  </si>
  <si>
    <t>API 4</t>
  </si>
  <si>
    <t>Rohit Hirpara</t>
  </si>
  <si>
    <t>Munish Buch</t>
  </si>
  <si>
    <t>Vikram Rakshe</t>
  </si>
  <si>
    <t>Akanksha Pandit</t>
  </si>
  <si>
    <t>Pramanik Saugata</t>
  </si>
  <si>
    <t xml:space="preserve">Strength (API 3) </t>
  </si>
  <si>
    <t xml:space="preserve">Strength (API 4) </t>
  </si>
  <si>
    <t>Total API 3 Req (IMS KG)</t>
  </si>
  <si>
    <t>Total API 4 Req (IMS KG)</t>
  </si>
  <si>
    <t>API 3 Req (Emcure KG)</t>
  </si>
  <si>
    <t>API 4 Req (Emcure KG)</t>
  </si>
  <si>
    <t>Test License Availability</t>
  </si>
  <si>
    <t>Excipient Requirement</t>
  </si>
  <si>
    <t>Bio analytical Cost/Vol.</t>
  </si>
  <si>
    <t>Analytical Development</t>
  </si>
  <si>
    <t>API 3 Requirement</t>
  </si>
  <si>
    <t>API 4 Requirement</t>
  </si>
  <si>
    <t>Commercial Volume per QTR</t>
  </si>
  <si>
    <t>T097: Water Activity</t>
  </si>
  <si>
    <t>T098: Method Validation</t>
  </si>
  <si>
    <t>API Vendor</t>
  </si>
  <si>
    <t>U
S
A</t>
  </si>
  <si>
    <t>E
U
R
O
P
E</t>
  </si>
  <si>
    <t>R
O
W</t>
  </si>
  <si>
    <t xml:space="preserve">
C
A
N
A
D
A
</t>
  </si>
  <si>
    <t>D
O
M
E
S
T
I
C</t>
  </si>
  <si>
    <t>CANADA</t>
  </si>
  <si>
    <t>Markets</t>
  </si>
  <si>
    <t>EUROPE</t>
  </si>
  <si>
    <t>AMV Cost</t>
  </si>
  <si>
    <t>Pharmaceutical equivalence</t>
  </si>
  <si>
    <t>ADDITIONAL COST TO INCUR FOR CANADA MARKET (INR Lacs)</t>
  </si>
  <si>
    <t>ADDITIONAL COST TO INCUR FOR ROW AND DOMESTIC MARKET (INR Lacs)</t>
  </si>
  <si>
    <t>Dr. Jayant Tilekar</t>
  </si>
  <si>
    <t>Mr. Samit Mehta</t>
  </si>
  <si>
    <t>Commercial Details ( USA )</t>
  </si>
  <si>
    <t>Commercial Details ( EU)</t>
  </si>
  <si>
    <t>Commercial Details (CANADA)</t>
  </si>
  <si>
    <t>Granules</t>
  </si>
  <si>
    <t>Transdermal patch</t>
  </si>
  <si>
    <t xml:space="preserve">LYO 
CYCLE </t>
  </si>
  <si>
    <t>HDPE 60 CC Heavy Weight</t>
  </si>
  <si>
    <t>Method Validation</t>
  </si>
  <si>
    <t>Packing style</t>
  </si>
  <si>
    <t>Bottle</t>
  </si>
  <si>
    <t>Blister</t>
  </si>
  <si>
    <t>Bottle and Blister</t>
  </si>
  <si>
    <t>Vials</t>
  </si>
  <si>
    <t>Ampoules</t>
  </si>
  <si>
    <t>Infusion Bags</t>
  </si>
  <si>
    <t>ADDITONAL COST INCURED FOR CANADA DEVELOPMENT AND FILING</t>
  </si>
  <si>
    <t>Dr. Dinesh Kumar B</t>
  </si>
  <si>
    <t xml:space="preserve">  TOTAL</t>
  </si>
  <si>
    <t>BE requirement</t>
  </si>
  <si>
    <t>BE requirement (Required/ Not required)</t>
  </si>
  <si>
    <t>RLD</t>
  </si>
  <si>
    <t>NA</t>
  </si>
  <si>
    <t>Regulatory Affairs</t>
  </si>
  <si>
    <t>Intellectual Property</t>
  </si>
  <si>
    <t>Mr. Ramesh Pimple</t>
  </si>
  <si>
    <t>Mr. Santosh Savarkar</t>
  </si>
  <si>
    <t>ADDITONAL COST INCURED FOR ROW DEVELOPMENT AND FILING</t>
  </si>
  <si>
    <t>ADDITONAL COST INCURED FOR DOMESTIC DEVELOPMENT AND FILING</t>
  </si>
  <si>
    <t>API price in (₹/kg)</t>
  </si>
  <si>
    <t>API Requirement (kg)</t>
  </si>
  <si>
    <t xml:space="preserve">   Cost Heads</t>
  </si>
  <si>
    <t>Emcure</t>
  </si>
  <si>
    <t>[*]- In Filing type; For non-US PIFs: Type – I = No IP Comments; Type – II = IP TBD</t>
  </si>
  <si>
    <t>Patented</t>
  </si>
  <si>
    <t>EP0914118  B</t>
  </si>
  <si>
    <t xml:space="preserve">Pdt </t>
  </si>
  <si>
    <t xml:space="preserve">Entry after expiry </t>
  </si>
  <si>
    <t xml:space="preserve">TBD/Monitor  </t>
  </si>
  <si>
    <t xml:space="preserve">EP2964202 A-
Under examination; 
</t>
  </si>
  <si>
    <t xml:space="preserve">Mktd  Compn(Jadenu)  -Film -coated Tab.90 mg, 180 mg or 360 mg </t>
  </si>
  <si>
    <t xml:space="preserve">compn without SLS &amp; Lactose </t>
  </si>
  <si>
    <t>EP3124018 (A1)-Published Feb.1, 2017</t>
  </si>
  <si>
    <t xml:space="preserve">Mktd compn (Exjade)  </t>
  </si>
  <si>
    <t xml:space="preserve">Nil </t>
  </si>
  <si>
    <r>
      <rPr>
        <sz val="10"/>
        <color rgb="FF0000FF"/>
        <rFont val="Times New Roman"/>
        <family val="1"/>
      </rPr>
      <t xml:space="preserve">Expiry with SPC till Aug. 30, 2021 (UK)
Aug.31,2021 (DE) 
Aug.27, 2021 (IT)
Aug.28, 2021 (FR &amp; ES) </t>
    </r>
    <r>
      <rPr>
        <sz val="10"/>
        <rFont val="Times New Roman"/>
        <family val="1"/>
      </rPr>
      <t xml:space="preserve">
</t>
    </r>
  </si>
  <si>
    <t xml:space="preserve">Abridged </t>
  </si>
  <si>
    <t xml:space="preserve">Entry:Not before Aug.2021
TBD /Monitor - EP2964202  &amp; EP3124018 </t>
  </si>
  <si>
    <t>EDP</t>
  </si>
  <si>
    <t>Compn dispersible Tab.</t>
  </si>
  <si>
    <t>US 6465504</t>
  </si>
  <si>
    <t xml:space="preserve">MOU </t>
  </si>
  <si>
    <t>US 6596750</t>
  </si>
  <si>
    <t xml:space="preserve">(Expiry incl of PTE)
Entry after expiry </t>
  </si>
  <si>
    <t>US9283209</t>
  </si>
  <si>
    <t xml:space="preserve">Marketed composition-Jadenu </t>
  </si>
  <si>
    <t xml:space="preserve">Innovator NON-OB </t>
  </si>
  <si>
    <t>US 20160220493</t>
  </si>
  <si>
    <t xml:space="preserve">TBD/Monitor </t>
  </si>
  <si>
    <t>US 20160175255</t>
  </si>
  <si>
    <t>Tablet composition with disintegration time 3-10m</t>
  </si>
  <si>
    <t>Exjade Marketed comp.</t>
  </si>
  <si>
    <t>Nil</t>
  </si>
  <si>
    <t xml:space="preserve">Actavis, Teva </t>
  </si>
  <si>
    <t xml:space="preserve">PIII TO PDT
PIV -EDP TO '209
TBD/Monitor wrt  '493  &amp; '255 applications  </t>
  </si>
  <si>
    <t>ODE-Treatment of chronic iron overload in alpha-thalassemia</t>
  </si>
  <si>
    <t xml:space="preserve">PED-Possible </t>
  </si>
  <si>
    <t xml:space="preserve">Litigation ongoing  </t>
  </si>
  <si>
    <t xml:space="preserve">DE-Expired </t>
  </si>
  <si>
    <r>
      <rPr>
        <sz val="10"/>
        <rFont val="Times New Roman"/>
        <family val="1"/>
      </rPr>
      <t>EP 1556013 B</t>
    </r>
    <r>
      <rPr>
        <sz val="10"/>
        <color rgb="FF0000FF"/>
        <rFont val="Times New Roman"/>
        <family val="1"/>
      </rPr>
      <t xml:space="preserve">-Patent maintained during oppn </t>
    </r>
  </si>
  <si>
    <t>Ishan Rajapurkar</t>
  </si>
  <si>
    <t>Dr. Ketan Savjani</t>
  </si>
  <si>
    <t>Dr. Rushil Shah</t>
  </si>
  <si>
    <t>Capex 1 (Packing change part)</t>
  </si>
  <si>
    <t>Bio Study Cost *</t>
  </si>
  <si>
    <t>Project Budget Form</t>
  </si>
  <si>
    <t>Silica Colloidal Anhydrous (Aerosil 200 Pharma)</t>
  </si>
  <si>
    <t>Magnesium Stearate (Ligamed MF-2-V)</t>
  </si>
  <si>
    <t>Levetiracetam Tablets</t>
  </si>
  <si>
    <t>VNAI</t>
  </si>
  <si>
    <t>Mehsana</t>
  </si>
  <si>
    <t>Croscarmellose sodium</t>
  </si>
  <si>
    <t>Macrogol 6000</t>
  </si>
  <si>
    <t>Opadry</t>
  </si>
  <si>
    <t>Tooling</t>
  </si>
  <si>
    <t xml:space="preserve">Please Note: </t>
  </si>
  <si>
    <t>Bio Cost not considered in R&amp;D budget, and same is considered in 'Business Unit Cost Center' of Emerging Market.</t>
  </si>
  <si>
    <t>Pilot Bio Cost Considered in Budget.</t>
  </si>
  <si>
    <t>Mr. Rohit Pant</t>
  </si>
  <si>
    <t>Associate Director (R&amp;D)</t>
  </si>
  <si>
    <t>President, Emerging Market</t>
  </si>
  <si>
    <t>Mr. Sanjay Mehta</t>
  </si>
  <si>
    <t>Mr. Mahesh Lolage</t>
  </si>
  <si>
    <t>President Commercial</t>
  </si>
  <si>
    <t>President - Operations</t>
  </si>
  <si>
    <t>President,  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</si>
</sst>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3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$&quot;#,##0.0000_);\(&quot;$&quot;#,##0.0000\)"/>
    <numFmt numFmtId="169" formatCode="_-[$$-409]* #,##0.00_ ;_-[$$-409]* \-#,##0.00\ ;_-[$$-409]* &quot;-&quot;??_ ;_-@_ "/>
    <numFmt numFmtId="170" formatCode="_ * #,##0_ ;_ * \-#,##0_ ;_ * &quot;-&quot;??_ ;_ @_ "/>
    <numFmt numFmtId="171" formatCode="0\ &quot;kg&quot;"/>
    <numFmt numFmtId="172" formatCode="0.00\ &quot;kg&quot;"/>
    <numFmt numFmtId="173" formatCode="0&quot;mg&quot;"/>
    <numFmt numFmtId="174" formatCode="0.0\ &quot;kg&quot;"/>
    <numFmt numFmtId="175" formatCode="0\ &quot;days&quot;"/>
    <numFmt numFmtId="176" formatCode="dd\ mmm\ yyyy"/>
    <numFmt numFmtId="177" formatCode="d\ mmm\ yyyy"/>
    <numFmt numFmtId="178" formatCode="0.###"/>
    <numFmt numFmtId="179" formatCode="&quot;₹&quot;\ #,##0.00"/>
    <numFmt numFmtId="180" formatCode="dd\ mmm\ yy"/>
    <numFmt numFmtId="181" formatCode="&quot;EP20_&quot;000"/>
    <numFmt numFmtId="182" formatCode="0.#\ &quot;day&quot;"/>
    <numFmt numFmtId="183" formatCode="&quot;₹&quot;\ #,##0"/>
    <numFmt numFmtId="184" formatCode="0.#\ &quot;days&quot;"/>
    <numFmt numFmtId="185" formatCode="0.#\ &quot;lacs&quot;"/>
    <numFmt numFmtId="186" formatCode="&quot;₹&quot;\ ##.##&quot; lacs&quot;"/>
    <numFmt numFmtId="187" formatCode="[$-F800]dddd\,\ mmmm\ dd\,\ yyyy"/>
    <numFmt numFmtId="188" formatCode="0.00&quot; kg&quot;"/>
    <numFmt numFmtId="189" formatCode="&quot;$ &quot;##,##0.0#"/>
    <numFmt numFmtId="190" formatCode="&quot;₹&quot;\ ##.#&quot; lacs&quot;"/>
    <numFmt numFmtId="191" formatCode="&quot;₹&quot;\ #,##0&quot;lacs&quot;;&quot;₹&quot;\ \-#,##0&quot; lacs&quot;"/>
    <numFmt numFmtId="192" formatCode="000"/>
    <numFmt numFmtId="193" formatCode="00"/>
    <numFmt numFmtId="194" formatCode="0.###&quot; kg&quot;"/>
    <numFmt numFmtId="195" formatCode="0&quot; Vol.&quot;"/>
    <numFmt numFmtId="196" formatCode="0&quot; Fstng Bio.&quot;"/>
    <numFmt numFmtId="197" formatCode="0&quot; Fed Bio.&quot;"/>
    <numFmt numFmtId="198" formatCode="&quot;₹&quot;\ #0.0&quot; (INR)&quot;"/>
    <numFmt numFmtId="199" formatCode="0.#\ &quot; years&quot;"/>
    <numFmt numFmtId="200" formatCode="0\ &quot;manhr&quot;"/>
    <numFmt numFmtId="201" formatCode="0\ &quot;manhrs&quot;"/>
    <numFmt numFmtId="202" formatCode="0\ &quot;mandays&quot;"/>
    <numFmt numFmtId="203" formatCode="0\ &quot;manhours&quot;"/>
    <numFmt numFmtId="204" formatCode="0\ &quot;rld&quot;"/>
    <numFmt numFmtId="205" formatCode="0\ &quot;strngth&quot;"/>
    <numFmt numFmtId="206" formatCode="0\ &quot;non rld&quot;"/>
    <numFmt numFmtId="207" formatCode="0\ &quot;mg&quot;"/>
    <numFmt numFmtId="208" formatCode="0.00\ &quot;mg&quot;"/>
    <numFmt numFmtId="209" formatCode="0.#&quot;mg&quot;"/>
    <numFmt numFmtId="210" formatCode="_ [$₹-4009]\ * #,##0.00_ ;_ [$₹-4009]\ * \-#,##0.00_ ;_ [$₹-4009]\ * &quot;-&quot;??_ ;_ @_ "/>
    <numFmt numFmtId="211" formatCode="_-[$₹-861]* #,##0.00_-;\-[$₹-861]* #,##0.00_-;_-[$₹-861]* &quot;-&quot;??_-;_-@_-"/>
    <numFmt numFmtId="212" formatCode="0.###&quot; mg&quot;"/>
  </numFmts>
  <fonts count="14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646464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Tms Rmn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name val="Helv"/>
      <charset val="204"/>
    </font>
    <font>
      <u/>
      <sz val="11"/>
      <color indexed="12"/>
      <name val="Calibri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8" tint="0.59999389629810485"/>
      <name val="Aharoni"/>
      <charset val="177"/>
    </font>
    <font>
      <sz val="11"/>
      <color theme="1"/>
      <name val="Aharoni"/>
      <charset val="177"/>
    </font>
    <font>
      <b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Segoe U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theme="6" tint="0.79998168889431442"/>
      <name val="Aharoni"/>
      <charset val="177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FF00"/>
      <name val="Candara"/>
      <family val="2"/>
    </font>
    <font>
      <b/>
      <sz val="11"/>
      <color rgb="FFFFFF00"/>
      <name val="Aharoni"/>
      <charset val="177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/>
      <name val="Aharoni"/>
      <charset val="177"/>
    </font>
    <font>
      <sz val="11"/>
      <color rgb="FFFFFF00"/>
      <name val="Calibri"/>
      <family val="2"/>
      <scheme val="minor"/>
    </font>
    <font>
      <sz val="1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 tint="-0.499984740745262"/>
      <name val="Aharoni"/>
      <charset val="177"/>
    </font>
    <font>
      <b/>
      <i/>
      <sz val="9"/>
      <color rgb="FFFFFF00"/>
      <name val="Aharoni"/>
      <charset val="177"/>
    </font>
    <font>
      <b/>
      <sz val="11"/>
      <color theme="3" tint="-0.499984740745262"/>
      <name val="Calibri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5" tint="0.59999389629810485"/>
      <name val="Arial"/>
      <family val="2"/>
    </font>
    <font>
      <b/>
      <sz val="12"/>
      <name val="Calibri"/>
      <family val="2"/>
      <scheme val="minor"/>
    </font>
    <font>
      <sz val="11"/>
      <color theme="0"/>
      <name val="Aharoni"/>
      <charset val="177"/>
    </font>
    <font>
      <b/>
      <sz val="9"/>
      <color theme="0"/>
      <name val="Aharoni"/>
      <charset val="177"/>
    </font>
    <font>
      <sz val="20"/>
      <color theme="0"/>
      <name val="Calibri"/>
      <family val="2"/>
      <scheme val="minor"/>
    </font>
    <font>
      <sz val="8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1"/>
      <name val="Aharoni"/>
      <charset val="177"/>
    </font>
    <font>
      <b/>
      <sz val="12"/>
      <color rgb="FFFF0000"/>
      <name val="Engravers MT"/>
      <family val="1"/>
    </font>
    <font>
      <sz val="72"/>
      <color theme="9" tint="0.39997558519241921"/>
      <name val="Century Gothic"/>
      <family val="2"/>
    </font>
    <font>
      <sz val="72"/>
      <color rgb="FF92D050"/>
      <name val="Century Gothic"/>
      <family val="2"/>
    </font>
    <font>
      <b/>
      <sz val="11"/>
      <color rgb="FFFF0000"/>
      <name val="Aharoni"/>
      <charset val="177"/>
    </font>
    <font>
      <sz val="10"/>
      <color rgb="FF000000"/>
      <name val="Calibri"/>
      <family val="2"/>
      <scheme val="minor"/>
    </font>
    <font>
      <sz val="48"/>
      <color rgb="FF92D050"/>
      <name val="Century Gothic"/>
      <family val="2"/>
    </font>
    <font>
      <sz val="36"/>
      <color rgb="FFCF6341"/>
      <name val="Century Gothic"/>
      <family val="2"/>
    </font>
    <font>
      <sz val="11"/>
      <name val="Aharoni"/>
      <charset val="177"/>
    </font>
    <font>
      <sz val="11"/>
      <color theme="0"/>
      <name val="Arial"/>
      <family val="2"/>
    </font>
    <font>
      <b/>
      <sz val="11"/>
      <color theme="0" tint="-0.34998626667073579"/>
      <name val="Calibri Light"/>
      <family val="2"/>
    </font>
    <font>
      <b/>
      <sz val="10"/>
      <color theme="0"/>
      <name val="Calibri"/>
      <family val="2"/>
      <scheme val="minor"/>
    </font>
    <font>
      <sz val="72"/>
      <name val="Aharoni"/>
      <charset val="177"/>
    </font>
    <font>
      <b/>
      <sz val="10"/>
      <color theme="5" tint="0.79998168889431442"/>
      <name val="Arial"/>
      <family val="2"/>
    </font>
    <font>
      <sz val="11"/>
      <color theme="5" tint="0.79998168889431442"/>
      <name val="Calibri"/>
      <family val="2"/>
      <scheme val="minor"/>
    </font>
    <font>
      <sz val="72"/>
      <color theme="1"/>
      <name val="Aharoni"/>
      <charset val="177"/>
    </font>
    <font>
      <sz val="50"/>
      <color theme="1"/>
      <name val="Aharoni"/>
      <charset val="177"/>
    </font>
    <font>
      <b/>
      <sz val="11"/>
      <color theme="2"/>
      <name val="Calibri"/>
      <family val="2"/>
      <scheme val="minor"/>
    </font>
    <font>
      <b/>
      <sz val="11"/>
      <color theme="5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0" tint="-0.249977111117893"/>
      <name val="Candara"/>
      <family val="2"/>
    </font>
    <font>
      <sz val="9"/>
      <color rgb="FF1F497D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00"/>
      <name val="Aharoni"/>
      <charset val="177"/>
    </font>
    <font>
      <b/>
      <sz val="11"/>
      <color rgb="FFFFC000"/>
      <name val="Aharoni"/>
      <charset val="177"/>
    </font>
    <font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5" tint="0.59999389629810485"/>
      <name val="Times New Roman"/>
      <family val="1"/>
    </font>
    <font>
      <sz val="10"/>
      <color theme="5" tint="0.59999389629810485"/>
      <name val="Times New Roman"/>
      <family val="1"/>
    </font>
    <font>
      <b/>
      <sz val="10"/>
      <color theme="1"/>
      <name val="Times New Roman"/>
      <family val="1"/>
    </font>
    <font>
      <b/>
      <sz val="10"/>
      <color rgb="FFFFFF00"/>
      <name val="Times New Roman"/>
      <family val="1"/>
    </font>
    <font>
      <sz val="10"/>
      <color theme="9" tint="0.79998168889431442"/>
      <name val="Times New Roman"/>
      <family val="1"/>
    </font>
    <font>
      <b/>
      <sz val="10"/>
      <color theme="0"/>
      <name val="Times New Roman"/>
      <family val="1"/>
    </font>
    <font>
      <sz val="10"/>
      <color rgb="FF0000FF"/>
      <name val="Times New Roman"/>
      <family val="1"/>
    </font>
    <font>
      <b/>
      <sz val="10"/>
      <color rgb="FF0000FF"/>
      <name val="Times New Roman"/>
      <family val="1"/>
    </font>
    <font>
      <b/>
      <sz val="16"/>
      <color theme="1"/>
      <name val="Arial"/>
      <family val="2"/>
    </font>
    <font>
      <b/>
      <u/>
      <sz val="16"/>
      <color theme="1"/>
      <name val="Arial"/>
      <family val="2"/>
    </font>
    <font>
      <sz val="16"/>
      <color theme="1"/>
      <name val="Arial"/>
      <family val="2"/>
    </font>
    <font>
      <sz val="16"/>
      <color theme="0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 Black"/>
      <family val="2"/>
    </font>
    <font>
      <sz val="16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231A2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46464"/>
      </left>
      <right style="medium">
        <color rgb="FF646464"/>
      </right>
      <top style="medium">
        <color rgb="FF646464"/>
      </top>
      <bottom/>
      <diagonal/>
    </border>
    <border>
      <left style="medium">
        <color rgb="FF646464"/>
      </left>
      <right style="medium">
        <color rgb="FF646464"/>
      </right>
      <top/>
      <bottom style="medium">
        <color rgb="FF646464"/>
      </bottom>
      <diagonal/>
    </border>
    <border>
      <left style="medium">
        <color rgb="FF646464"/>
      </left>
      <right style="medium">
        <color rgb="FF646464"/>
      </right>
      <top style="medium">
        <color rgb="FF646464"/>
      </top>
      <bottom style="medium">
        <color rgb="FF6464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CC66"/>
      </left>
      <right/>
      <top/>
      <bottom/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/>
      <diagonal/>
    </border>
    <border>
      <left style="thick">
        <color rgb="FFFFFF00"/>
      </left>
      <right style="thick">
        <color rgb="FFFFFF00"/>
      </right>
      <top style="medium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n">
        <color indexed="64"/>
      </right>
      <top style="thin">
        <color indexed="64"/>
      </top>
      <bottom/>
      <diagonal/>
    </border>
    <border>
      <left style="thick">
        <color rgb="FFFFFF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 style="thin">
        <color indexed="64"/>
      </right>
      <top/>
      <bottom style="thin">
        <color indexed="64"/>
      </bottom>
      <diagonal/>
    </border>
    <border>
      <left style="thick">
        <color rgb="FFFFFF00"/>
      </left>
      <right style="thin">
        <color indexed="64"/>
      </right>
      <top/>
      <bottom/>
      <diagonal/>
    </border>
    <border>
      <left style="thick">
        <color rgb="FFFFFF00"/>
      </left>
      <right style="medium">
        <color indexed="64"/>
      </right>
      <top style="medium">
        <color indexed="64"/>
      </top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 style="thin">
        <color indexed="64"/>
      </bottom>
      <diagonal/>
    </border>
    <border>
      <left style="thick">
        <color rgb="FFFFFF00"/>
      </left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FFFF00"/>
      </right>
      <top/>
      <bottom/>
      <diagonal/>
    </border>
    <border>
      <left style="thick">
        <color rgb="FFFFFF00"/>
      </left>
      <right style="thick">
        <color rgb="FFFFFF00"/>
      </right>
      <top style="medium">
        <color indexed="64"/>
      </top>
      <bottom style="thick">
        <color rgb="FFFFFF00"/>
      </bottom>
      <diagonal/>
    </border>
    <border>
      <left style="thick">
        <color rgb="FFFFFF00"/>
      </left>
      <right/>
      <top style="thick">
        <color rgb="FFFFFF00"/>
      </top>
      <bottom style="thin">
        <color indexed="64"/>
      </bottom>
      <diagonal/>
    </border>
    <border>
      <left/>
      <right style="thick">
        <color rgb="FFFFFF00"/>
      </right>
      <top style="thick">
        <color rgb="FFFFFF00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n">
        <color indexed="64"/>
      </right>
      <top style="thick">
        <color rgb="FFFF0000"/>
      </top>
      <bottom style="thick">
        <color rgb="FFFF0000"/>
      </bottom>
      <diagonal/>
    </border>
    <border>
      <left/>
      <right style="thick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FFFF00"/>
      </top>
      <bottom style="thin">
        <color indexed="64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 style="medium">
        <color rgb="FFFFCC00"/>
      </bottom>
      <diagonal/>
    </border>
    <border>
      <left style="medium">
        <color rgb="FFFFCC66"/>
      </left>
      <right/>
      <top style="medium">
        <color rgb="FFFFCC66"/>
      </top>
      <bottom/>
      <diagonal/>
    </border>
    <border>
      <left/>
      <right/>
      <top style="medium">
        <color rgb="FFFFCC66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C00"/>
      </bottom>
      <diagonal/>
    </border>
    <border>
      <left style="medium">
        <color rgb="FFFFCC66"/>
      </left>
      <right/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 style="medium">
        <color rgb="FFFFCC00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medium">
        <color rgb="FFFFCC00"/>
      </left>
      <right/>
      <top style="medium">
        <color rgb="FFFFCC00"/>
      </top>
      <bottom style="hair">
        <color theme="0" tint="-0.499984740745262"/>
      </bottom>
      <diagonal/>
    </border>
    <border>
      <left/>
      <right/>
      <top style="medium">
        <color rgb="FFFFCC00"/>
      </top>
      <bottom style="hair">
        <color theme="0" tint="-0.499984740745262"/>
      </bottom>
      <diagonal/>
    </border>
    <border>
      <left/>
      <right style="medium">
        <color rgb="FFFFCC00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66"/>
      </right>
      <top style="medium">
        <color rgb="FFFFCC00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medium">
        <color rgb="FFFFCC66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66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66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medium">
        <color rgb="FFFFCC66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thick">
        <color rgb="FFFF00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thick">
        <color rgb="FFFFFF00"/>
      </right>
      <top style="medium">
        <color rgb="FFFFCC66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/>
      <diagonal/>
    </border>
    <border>
      <left style="medium">
        <color rgb="FFFFCC66"/>
      </left>
      <right style="hair">
        <color theme="0" tint="-0.499984740745262"/>
      </right>
      <top style="thick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ck">
        <color indexed="64"/>
      </top>
      <bottom style="hair">
        <color theme="0" tint="-0.499984740745262"/>
      </bottom>
      <diagonal/>
    </border>
    <border>
      <left style="medium">
        <color rgb="FFFFCC66"/>
      </left>
      <right style="hair">
        <color theme="0" tint="-0.499984740745262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medium">
        <color indexed="64"/>
      </top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 style="medium">
        <color rgb="FFFFCC00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thick">
        <color rgb="FFFFFF00"/>
      </right>
      <top/>
      <bottom style="thin">
        <color indexed="64"/>
      </bottom>
      <diagonal/>
    </border>
    <border>
      <left/>
      <right style="thick">
        <color rgb="FFFFFF00"/>
      </right>
      <top style="medium">
        <color indexed="64"/>
      </top>
      <bottom style="thin">
        <color indexed="64"/>
      </bottom>
      <diagonal/>
    </border>
    <border>
      <left/>
      <right style="thick">
        <color rgb="FFFFFF00"/>
      </right>
      <top style="thin">
        <color indexed="64"/>
      </top>
      <bottom style="thick">
        <color rgb="FFFFFF00"/>
      </bottom>
      <diagonal/>
    </border>
    <border>
      <left style="hair">
        <color theme="0" tint="-0.499984740745262"/>
      </left>
      <right style="medium">
        <color rgb="FFFFCC00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00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FF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 style="hair">
        <color theme="0" tint="-0.499984740745262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 style="thick">
        <color rgb="FFFFFF00"/>
      </right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medium">
        <color rgb="FFFFCC00"/>
      </left>
      <right/>
      <top style="medium">
        <color rgb="FFFFCC00"/>
      </top>
      <bottom/>
      <diagonal/>
    </border>
    <border>
      <left/>
      <right/>
      <top style="medium">
        <color rgb="FFFFCC00"/>
      </top>
      <bottom/>
      <diagonal/>
    </border>
    <border>
      <left style="hair">
        <color theme="0" tint="-0.499984740745262"/>
      </left>
      <right/>
      <top style="medium">
        <color indexed="64"/>
      </top>
      <bottom style="medium">
        <color rgb="FFFFCC00"/>
      </bottom>
      <diagonal/>
    </border>
    <border>
      <left style="hair">
        <color theme="0" tint="-0.499984740745262"/>
      </left>
      <right/>
      <top style="medium">
        <color rgb="FFFFCC00"/>
      </top>
      <bottom style="hair">
        <color theme="0" tint="-0.499984740745262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/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 style="medium">
        <color rgb="FFFFCC00"/>
      </left>
      <right/>
      <top style="hair">
        <color theme="0" tint="-0.499984740745262"/>
      </top>
      <bottom style="thick">
        <color rgb="FFFFFF00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ck">
        <color rgb="FFFFFF00"/>
      </bottom>
      <diagonal/>
    </border>
    <border>
      <left style="hair">
        <color theme="0" tint="-0.499984740745262"/>
      </left>
      <right style="thick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0" tint="-0.499984740745262"/>
      </top>
      <bottom/>
      <diagonal/>
    </border>
    <border>
      <left style="medium">
        <color rgb="FFFFC000"/>
      </left>
      <right style="hair">
        <color theme="0" tint="-0.499984740745262"/>
      </right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000"/>
      </right>
      <top style="medium">
        <color rgb="FFFFC000"/>
      </top>
      <bottom style="hair">
        <color theme="0" tint="-0.499984740745262"/>
      </bottom>
      <diagonal/>
    </border>
    <border>
      <left style="medium">
        <color rgb="FFFFC0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000"/>
      </left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 style="medium">
        <color rgb="FFFFC000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medium">
        <color rgb="FFFFC000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rgb="FFFFC000"/>
      </bottom>
      <diagonal/>
    </border>
    <border>
      <left style="medium">
        <color rgb="FFFFC000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medium">
        <color rgb="FFFFC000"/>
      </right>
      <top style="hair">
        <color theme="0" tint="-0.499984740745262"/>
      </top>
      <bottom/>
      <diagonal/>
    </border>
    <border>
      <left/>
      <right style="medium">
        <color rgb="FFFFC000"/>
      </right>
      <top/>
      <bottom/>
      <diagonal/>
    </border>
    <border>
      <left style="medium">
        <color rgb="FFFFC000"/>
      </left>
      <right/>
      <top style="hair">
        <color theme="0" tint="-0.499984740745262"/>
      </top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medium">
        <color rgb="FFFFC000"/>
      </right>
      <top/>
      <bottom style="medium">
        <color rgb="FFFFC000"/>
      </bottom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00"/>
      </left>
      <right/>
      <top style="medium">
        <color rgb="FFFFC000"/>
      </top>
      <bottom style="hair">
        <color theme="0" tint="-0.499984740745262"/>
      </bottom>
      <diagonal/>
    </border>
    <border>
      <left/>
      <right/>
      <top style="medium">
        <color rgb="FFFFC000"/>
      </top>
      <bottom style="hair">
        <color theme="0" tint="-0.499984740745262"/>
      </bottom>
      <diagonal/>
    </border>
    <border>
      <left style="medium">
        <color rgb="FFFFCC00"/>
      </left>
      <right/>
      <top style="hair">
        <color theme="0" tint="-0.499984740745262"/>
      </top>
      <bottom style="medium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thick">
        <color rgb="FFFFFF00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/>
      <top style="thin">
        <color indexed="64"/>
      </top>
      <bottom style="thick">
        <color rgb="FFFFFF00"/>
      </bottom>
      <diagonal/>
    </border>
    <border>
      <left style="thick">
        <color rgb="FFFF0000"/>
      </left>
      <right/>
      <top style="thick">
        <color rgb="FFFF0000"/>
      </top>
      <bottom style="hair">
        <color theme="0" tint="-0.499984740745262"/>
      </bottom>
      <diagonal/>
    </border>
    <border>
      <left/>
      <right/>
      <top style="thick">
        <color rgb="FFFF0000"/>
      </top>
      <bottom style="hair">
        <color theme="0" tint="-0.499984740745262"/>
      </bottom>
      <diagonal/>
    </border>
    <border>
      <left style="thick">
        <color rgb="FFFF000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FF0000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ck">
        <color rgb="FFFF0000"/>
      </bottom>
      <diagonal/>
    </border>
    <border>
      <left style="hair">
        <color theme="0" tint="-0.499984740745262"/>
      </left>
      <right style="thick">
        <color rgb="FFFF0000"/>
      </right>
      <top style="hair">
        <color theme="0" tint="-0.499984740745262"/>
      </top>
      <bottom style="thick">
        <color rgb="FFFF000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 style="medium">
        <color rgb="FFFFCC66"/>
      </right>
      <top/>
      <bottom style="hair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FF00"/>
      </right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rgb="FFFFCC66"/>
      </top>
      <bottom style="hair">
        <color theme="0" tint="-0.499984740745262"/>
      </bottom>
      <diagonal/>
    </border>
    <border>
      <left style="medium">
        <color rgb="FFFFCC66"/>
      </left>
      <right/>
      <top/>
      <bottom style="medium">
        <color rgb="FFFFCC66"/>
      </bottom>
      <diagonal/>
    </border>
    <border>
      <left/>
      <right/>
      <top/>
      <bottom style="medium">
        <color rgb="FFFFCC66"/>
      </bottom>
      <diagonal/>
    </border>
    <border>
      <left/>
      <right style="medium">
        <color rgb="FFFFCC66"/>
      </right>
      <top style="medium">
        <color rgb="FFFFCC66"/>
      </top>
      <bottom/>
      <diagonal/>
    </border>
    <border>
      <left/>
      <right style="medium">
        <color rgb="FFFFCC66"/>
      </right>
      <top/>
      <bottom/>
      <diagonal/>
    </border>
    <border>
      <left/>
      <right style="medium">
        <color rgb="FFFFCC66"/>
      </right>
      <top/>
      <bottom style="medium">
        <color rgb="FFFFCC66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/>
      <diagonal/>
    </border>
    <border>
      <left style="medium">
        <color rgb="FFFFCC66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rgb="FFFFCC66"/>
      </left>
      <right/>
      <top style="hair">
        <color theme="0" tint="-0.499984740745262"/>
      </top>
      <bottom style="medium">
        <color indexed="64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thick">
        <color rgb="FFFFFF00"/>
      </left>
      <right/>
      <top style="hair">
        <color theme="0" tint="-0.499984740745262"/>
      </top>
      <bottom style="thick">
        <color rgb="FFFFFF00"/>
      </bottom>
      <diagonal/>
    </border>
    <border>
      <left/>
      <right style="thick">
        <color rgb="FFFFFF00"/>
      </right>
      <top style="hair">
        <color theme="0" tint="-0.499984740745262"/>
      </top>
      <bottom style="thick">
        <color rgb="FFFFFF00"/>
      </bottom>
      <diagonal/>
    </border>
    <border>
      <left style="thick">
        <color rgb="FFFFFF00"/>
      </left>
      <right/>
      <top style="thick">
        <color rgb="FFFFFF00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/>
      <top style="thick">
        <color rgb="FFFFFF00"/>
      </top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/>
      <right style="medium">
        <color rgb="FFFFCC00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 style="medium">
        <color rgb="FFFFCC00"/>
      </left>
      <right/>
      <top/>
      <bottom style="hair">
        <color theme="0" tint="-0.499984740745262"/>
      </bottom>
      <diagonal/>
    </border>
    <border>
      <left/>
      <right style="medium">
        <color rgb="FFFFCC00"/>
      </right>
      <top style="hair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C000"/>
      </left>
      <right/>
      <top style="medium">
        <color rgb="FFFFC000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medium">
        <color rgb="FFFFC000"/>
      </top>
      <bottom style="hair">
        <color theme="0" tint="-0.499984740745262"/>
      </bottom>
      <diagonal/>
    </border>
    <border>
      <left style="medium">
        <color rgb="FFFFC000"/>
      </left>
      <right/>
      <top style="medium">
        <color rgb="FFFFC000"/>
      </top>
      <bottom/>
      <diagonal/>
    </border>
    <border>
      <left style="medium">
        <color rgb="FFFFC000"/>
      </left>
      <right/>
      <top/>
      <bottom/>
      <diagonal/>
    </border>
    <border>
      <left style="medium">
        <color rgb="FFFFC000"/>
      </left>
      <right/>
      <top/>
      <bottom style="medium">
        <color rgb="FFFFC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theme="0" tint="-0.499984740745262"/>
      </left>
      <right style="medium">
        <color rgb="FFFFCC66"/>
      </right>
      <top style="hair">
        <color theme="0" tint="-0.499984740745262"/>
      </top>
      <bottom style="medium">
        <color rgb="FFFFCC66"/>
      </bottom>
      <diagonal/>
    </border>
    <border>
      <left style="medium">
        <color rgb="FFFFCC66"/>
      </left>
      <right style="hair">
        <color theme="0" tint="-0.499984740745262"/>
      </right>
      <top style="medium">
        <color rgb="FFFFCC0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00"/>
      </top>
      <bottom/>
      <diagonal/>
    </border>
    <border>
      <left style="hair">
        <color theme="0" tint="-0.499984740745262"/>
      </left>
      <right style="medium">
        <color rgb="FFFFCC66"/>
      </right>
      <top style="medium">
        <color rgb="FFFFCC00"/>
      </top>
      <bottom/>
      <diagonal/>
    </border>
    <border>
      <left style="medium">
        <color rgb="FFFFCC66"/>
      </left>
      <right/>
      <top style="medium">
        <color rgb="FFFFCC00"/>
      </top>
      <bottom style="hair">
        <color theme="0" tint="-0.499984740745262"/>
      </bottom>
      <diagonal/>
    </border>
    <border>
      <left style="hair">
        <color theme="0" tint="-0.499984740745262"/>
      </left>
      <right/>
      <top/>
      <bottom style="medium">
        <color rgb="FFFFCC00"/>
      </bottom>
      <diagonal/>
    </border>
    <border>
      <left style="medium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medium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rgb="FFFFCC66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medium">
        <color rgb="FFFFCC66"/>
      </left>
      <right style="hair">
        <color theme="0" tint="-0.499984740745262"/>
      </right>
      <top style="hair">
        <color auto="1"/>
      </top>
      <bottom style="hair">
        <color auto="1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medium">
        <color rgb="FFFFCC00"/>
      </bottom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rgb="FFFFCC00"/>
      </right>
      <top style="hair">
        <color auto="1"/>
      </top>
      <bottom/>
      <diagonal/>
    </border>
    <border>
      <left style="hair">
        <color theme="0" tint="-0.499984740745262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rgb="FFFFCC00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hair">
        <color theme="0" tint="-0.499984740745262"/>
      </left>
      <right style="thick">
        <color rgb="FFFFC000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/>
      <top/>
      <bottom style="medium">
        <color rgb="FFFFC000"/>
      </bottom>
      <diagonal/>
    </border>
    <border>
      <left style="hair">
        <color theme="0" tint="-0.499984740745262"/>
      </left>
      <right style="medium">
        <color rgb="FFFFCC00"/>
      </right>
      <top style="hair">
        <color theme="0" tint="-0.499984740745262"/>
      </top>
      <bottom/>
      <diagonal/>
    </border>
    <border>
      <left style="medium">
        <color indexed="64"/>
      </left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medium">
        <color indexed="64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hair">
        <color theme="0" tint="-0.499984740745262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indexed="64"/>
      </right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medium">
        <color rgb="FFFFCC00"/>
      </right>
      <top/>
      <bottom/>
      <diagonal/>
    </border>
    <border>
      <left/>
      <right style="hair">
        <color theme="0" tint="-0.499984740745262"/>
      </right>
      <top style="medium">
        <color indexed="64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medium">
        <color indexed="64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medium">
        <color rgb="FFFFC000"/>
      </right>
      <top style="hair">
        <color theme="0" tint="-0.499984740745262"/>
      </top>
      <bottom style="medium">
        <color rgb="FFFFCC00"/>
      </bottom>
      <diagonal/>
    </border>
    <border>
      <left style="medium">
        <color theme="1"/>
      </left>
      <right style="hair">
        <color theme="0" tint="-0.499984740745262"/>
      </right>
      <top style="medium">
        <color theme="1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/>
      </top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 style="medium">
        <color theme="1"/>
      </top>
      <bottom style="hair">
        <color theme="0" tint="-0.499984740745262"/>
      </bottom>
      <diagonal/>
    </border>
    <border>
      <left style="medium">
        <color theme="1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1"/>
      </left>
      <right style="hair">
        <color theme="0" tint="-0.499984740745262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thick">
        <color rgb="FFFFFF00"/>
      </right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rgb="FFFFCC00"/>
      </bottom>
      <diagonal/>
    </border>
    <border>
      <left style="medium">
        <color theme="1"/>
      </left>
      <right style="hair">
        <color theme="0" tint="-0.499984740745262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thick">
        <color rgb="FFFFFF00"/>
      </right>
      <top style="medium">
        <color theme="1"/>
      </top>
      <bottom style="medium">
        <color theme="1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rgb="FFFFCC66"/>
      </top>
      <bottom/>
      <diagonal/>
    </border>
    <border>
      <left style="hair">
        <color theme="0" tint="-0.499984740745262"/>
      </left>
      <right style="thick">
        <color rgb="FFFFFF00"/>
      </right>
      <top style="medium">
        <color rgb="FFFFCC66"/>
      </top>
      <bottom/>
      <diagonal/>
    </border>
    <border>
      <left/>
      <right style="thick">
        <color rgb="FFFFFF00"/>
      </right>
      <top style="hair">
        <color theme="0" tint="-0.499984740745262"/>
      </top>
      <bottom/>
      <diagonal/>
    </border>
    <border>
      <left style="hair">
        <color theme="0" tint="-0.499984740745262"/>
      </left>
      <right style="thick">
        <color rgb="FFFFFF00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thick">
        <color rgb="FFFFFF00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indexed="64"/>
      </bottom>
      <diagonal/>
    </border>
    <border>
      <left style="hair">
        <color theme="0" tint="-0.499984740745262"/>
      </left>
      <right style="thick">
        <color rgb="FFFFFF00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medium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medium">
        <color rgb="FFFFCC66"/>
      </bottom>
      <diagonal/>
    </border>
    <border>
      <left style="hair">
        <color theme="0" tint="-0.499984740745262"/>
      </left>
      <right style="thick">
        <color rgb="FFFFFF00"/>
      </right>
      <top/>
      <bottom style="medium">
        <color rgb="FFFFCC66"/>
      </bottom>
      <diagonal/>
    </border>
    <border>
      <left/>
      <right style="thick">
        <color rgb="FFFF0000"/>
      </right>
      <top style="medium">
        <color rgb="FFFFCC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n">
        <color indexed="64"/>
      </right>
      <top style="thick">
        <color rgb="FFFF0000"/>
      </top>
      <bottom/>
      <diagonal/>
    </border>
    <border>
      <left style="thin">
        <color indexed="64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ck">
        <color rgb="FFFFFF00"/>
      </right>
      <top style="medium">
        <color rgb="FFFFC000"/>
      </top>
      <bottom/>
      <diagonal/>
    </border>
    <border>
      <left/>
      <right/>
      <top/>
      <bottom style="medium">
        <color rgb="FFFFCC00"/>
      </bottom>
      <diagonal/>
    </border>
    <border>
      <left style="medium">
        <color theme="1"/>
      </left>
      <right/>
      <top style="medium">
        <color theme="1"/>
      </top>
      <bottom style="hair">
        <color theme="0" tint="-0.499984740745262"/>
      </bottom>
      <diagonal/>
    </border>
    <border>
      <left style="medium">
        <color theme="1"/>
      </left>
      <right/>
      <top style="hair">
        <color theme="0" tint="-0.499984740745262"/>
      </top>
      <bottom style="medium">
        <color theme="1"/>
      </bottom>
      <diagonal/>
    </border>
    <border>
      <left style="hair">
        <color theme="0" tint="-0.499984740745262"/>
      </left>
      <right/>
      <top style="medium">
        <color theme="1"/>
      </top>
      <bottom style="medium">
        <color theme="1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hair">
        <color theme="0" tint="-0.499984740745262"/>
      </left>
      <right style="medium">
        <color rgb="FFFFC000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FFCC00"/>
      </left>
      <right style="thin">
        <color indexed="64"/>
      </right>
      <top style="hair">
        <color theme="0" tint="-0.499984740745262"/>
      </top>
      <bottom/>
      <diagonal/>
    </border>
    <border>
      <left style="medium">
        <color rgb="FFFFCC00"/>
      </left>
      <right style="thin">
        <color indexed="64"/>
      </right>
      <top/>
      <bottom/>
      <diagonal/>
    </border>
    <border>
      <left style="medium">
        <color rgb="FFFFCC00"/>
      </left>
      <right style="thin">
        <color indexed="64"/>
      </right>
      <top/>
      <bottom style="medium">
        <color rgb="FFFFCC00"/>
      </bottom>
      <diagonal/>
    </border>
    <border>
      <left style="medium">
        <color rgb="FFFFCC66"/>
      </left>
      <right style="hair">
        <color theme="0" tint="-0.499984740745262"/>
      </right>
      <top style="hair">
        <color auto="1"/>
      </top>
      <bottom/>
      <diagonal/>
    </border>
    <border>
      <left style="medium">
        <color rgb="FFFFCC66"/>
      </left>
      <right style="hair">
        <color theme="0" tint="-0.499984740745262"/>
      </right>
      <top/>
      <bottom/>
      <diagonal/>
    </border>
    <border>
      <left style="medium">
        <color rgb="FFFFCC66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rgb="FFFFCC00"/>
      </right>
      <top/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rgb="FFFFCC00"/>
      </right>
      <top style="hair">
        <color auto="1"/>
      </top>
      <bottom style="hair">
        <color auto="1"/>
      </bottom>
      <diagonal/>
    </border>
    <border>
      <left style="medium">
        <color rgb="FFFFC000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 style="medium">
        <color rgb="FFFFC000"/>
      </right>
      <top style="hair">
        <color theme="0" tint="-0.499984740745262"/>
      </top>
      <bottom/>
      <diagonal/>
    </border>
    <border>
      <left style="medium">
        <color rgb="FFFFC000"/>
      </left>
      <right/>
      <top/>
      <bottom style="hair">
        <color theme="0" tint="-0.499984740745262"/>
      </bottom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</borders>
  <cellStyleXfs count="853">
    <xf numFmtId="0" fontId="0" fillId="0" borderId="0"/>
    <xf numFmtId="0" fontId="33" fillId="0" borderId="0"/>
    <xf numFmtId="41" fontId="37" fillId="0" borderId="0" applyFont="0" applyFill="0" applyBorder="0" applyAlignment="0" applyProtection="0"/>
    <xf numFmtId="0" fontId="29" fillId="0" borderId="0"/>
    <xf numFmtId="165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32" fillId="0" borderId="0"/>
    <xf numFmtId="9" fontId="37" fillId="0" borderId="0" applyFont="0" applyFill="0" applyBorder="0" applyAlignment="0" applyProtection="0"/>
    <xf numFmtId="0" fontId="29" fillId="0" borderId="0"/>
    <xf numFmtId="165" fontId="38" fillId="0" borderId="0" applyFont="0" applyFill="0" applyBorder="0" applyAlignment="0" applyProtection="0"/>
    <xf numFmtId="0" fontId="46" fillId="0" borderId="0"/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38" fillId="0" borderId="0">
      <alignment vertical="top"/>
    </xf>
    <xf numFmtId="0" fontId="4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6" fillId="0" borderId="0"/>
    <xf numFmtId="0" fontId="46" fillId="0" borderId="0"/>
    <xf numFmtId="0" fontId="4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2" fillId="0" borderId="0" applyNumberForma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6" fontId="32" fillId="0" borderId="0" applyFont="0" applyFill="0" applyBorder="0" applyAlignment="0" applyProtection="0"/>
    <xf numFmtId="0" fontId="43" fillId="0" borderId="7" applyNumberFormat="0" applyAlignment="0" applyProtection="0">
      <alignment horizontal="left" vertical="center"/>
    </xf>
    <xf numFmtId="0" fontId="43" fillId="0" borderId="18">
      <alignment horizontal="left"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37" fontId="45" fillId="0" borderId="0"/>
    <xf numFmtId="168" fontId="32" fillId="0" borderId="0"/>
    <xf numFmtId="0" fontId="32" fillId="0" borderId="0"/>
    <xf numFmtId="0" fontId="32" fillId="0" borderId="0">
      <alignment vertical="top"/>
    </xf>
    <xf numFmtId="0" fontId="41" fillId="0" borderId="0"/>
    <xf numFmtId="0" fontId="32" fillId="0" borderId="0"/>
    <xf numFmtId="0" fontId="32" fillId="0" borderId="0">
      <alignment vertical="top"/>
    </xf>
    <xf numFmtId="0" fontId="32" fillId="0" borderId="0"/>
    <xf numFmtId="0" fontId="41" fillId="0" borderId="0"/>
    <xf numFmtId="0" fontId="41" fillId="0" borderId="0"/>
    <xf numFmtId="0" fontId="29" fillId="0" borderId="0"/>
    <xf numFmtId="0" fontId="41" fillId="0" borderId="0"/>
    <xf numFmtId="0" fontId="29" fillId="0" borderId="0"/>
    <xf numFmtId="0" fontId="41" fillId="0" borderId="0"/>
    <xf numFmtId="0" fontId="32" fillId="0" borderId="0"/>
    <xf numFmtId="0" fontId="32" fillId="0" borderId="0"/>
    <xf numFmtId="0" fontId="41" fillId="0" borderId="0"/>
    <xf numFmtId="0" fontId="3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0" fontId="32" fillId="0" borderId="0"/>
    <xf numFmtId="0" fontId="32" fillId="0" borderId="0"/>
    <xf numFmtId="41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1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1" fontId="27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43" fontId="37" fillId="0" borderId="0" applyFont="0" applyFill="0" applyBorder="0" applyAlignment="0" applyProtection="0"/>
  </cellStyleXfs>
  <cellXfs count="1521">
    <xf numFmtId="0" fontId="0" fillId="0" borderId="0" xfId="0"/>
    <xf numFmtId="0" fontId="31" fillId="0" borderId="0" xfId="0" applyFont="1" applyAlignment="1">
      <alignment horizontal="center"/>
    </xf>
    <xf numFmtId="0" fontId="34" fillId="2" borderId="9" xfId="0" applyFont="1" applyFill="1" applyBorder="1" applyAlignment="1">
      <alignment horizontal="left" vertical="top" wrapText="1" readingOrder="1"/>
    </xf>
    <xf numFmtId="0" fontId="34" fillId="2" borderId="10" xfId="0" applyFont="1" applyFill="1" applyBorder="1" applyAlignment="1">
      <alignment horizontal="left" vertical="top" wrapText="1" readingOrder="1"/>
    </xf>
    <xf numFmtId="0" fontId="34" fillId="2" borderId="11" xfId="0" applyFont="1" applyFill="1" applyBorder="1" applyAlignment="1">
      <alignment horizontal="left" vertical="top" wrapText="1" readingOrder="1"/>
    </xf>
    <xf numFmtId="0" fontId="35" fillId="0" borderId="11" xfId="0" applyFont="1" applyBorder="1" applyAlignment="1">
      <alignment horizontal="center" vertical="center" wrapText="1" readingOrder="1"/>
    </xf>
    <xf numFmtId="0" fontId="35" fillId="0" borderId="11" xfId="0" applyFont="1" applyBorder="1" applyAlignment="1">
      <alignment horizontal="center" vertical="center" wrapText="1"/>
    </xf>
    <xf numFmtId="0" fontId="36" fillId="4" borderId="0" xfId="0" applyFont="1" applyFill="1" applyBorder="1" applyAlignment="1">
      <alignment horizontal="left" vertical="top" wrapText="1" readingOrder="1"/>
    </xf>
    <xf numFmtId="0" fontId="31" fillId="3" borderId="0" xfId="0" applyFont="1" applyFill="1"/>
    <xf numFmtId="0" fontId="31" fillId="0" borderId="0" xfId="0" applyFont="1" applyAlignment="1">
      <alignment horizontal="center" vertical="center"/>
    </xf>
    <xf numFmtId="0" fontId="40" fillId="0" borderId="0" xfId="769" applyFont="1"/>
    <xf numFmtId="0" fontId="40" fillId="0" borderId="0" xfId="0" applyFont="1"/>
    <xf numFmtId="0" fontId="40" fillId="0" borderId="0" xfId="769" applyFont="1" applyFill="1"/>
    <xf numFmtId="0" fontId="0" fillId="0" borderId="0" xfId="0"/>
    <xf numFmtId="0" fontId="59" fillId="0" borderId="0" xfId="0" applyFont="1" applyFill="1" applyAlignment="1" applyProtection="1">
      <alignment horizontal="left" vertical="top"/>
      <protection hidden="1"/>
    </xf>
    <xf numFmtId="0" fontId="59" fillId="0" borderId="0" xfId="0" applyFont="1" applyAlignment="1" applyProtection="1">
      <alignment horizontal="left" vertical="top"/>
      <protection hidden="1"/>
    </xf>
    <xf numFmtId="0" fontId="53" fillId="0" borderId="0" xfId="0" applyFont="1" applyFill="1" applyAlignment="1" applyProtection="1">
      <alignment horizontal="left" vertical="top"/>
      <protection hidden="1"/>
    </xf>
    <xf numFmtId="0" fontId="23" fillId="0" borderId="0" xfId="0" applyFont="1" applyFill="1" applyAlignment="1" applyProtection="1">
      <alignment horizontal="left" vertical="top"/>
      <protection hidden="1"/>
    </xf>
    <xf numFmtId="0" fontId="23" fillId="0" borderId="0" xfId="0" applyFont="1" applyAlignment="1" applyProtection="1">
      <alignment horizontal="left" vertical="top"/>
      <protection hidden="1"/>
    </xf>
    <xf numFmtId="0" fontId="23" fillId="10" borderId="0" xfId="0" applyFont="1" applyFill="1" applyAlignment="1" applyProtection="1">
      <alignment horizontal="left" vertical="top"/>
      <protection hidden="1"/>
    </xf>
    <xf numFmtId="0" fontId="59" fillId="10" borderId="0" xfId="0" applyFont="1" applyFill="1" applyAlignment="1" applyProtection="1">
      <alignment horizontal="left" vertical="top"/>
      <protection hidden="1"/>
    </xf>
    <xf numFmtId="0" fontId="0" fillId="0" borderId="0" xfId="0" applyProtection="1">
      <protection hidden="1"/>
    </xf>
    <xf numFmtId="0" fontId="53" fillId="11" borderId="0" xfId="0" applyFont="1" applyFill="1" applyBorder="1" applyAlignment="1" applyProtection="1">
      <alignment horizontal="left" vertical="center"/>
      <protection hidden="1"/>
    </xf>
    <xf numFmtId="0" fontId="0" fillId="10" borderId="0" xfId="0" applyFill="1" applyProtection="1">
      <protection hidden="1"/>
    </xf>
    <xf numFmtId="0" fontId="53" fillId="10" borderId="0" xfId="0" applyFont="1" applyFill="1" applyBorder="1" applyAlignment="1" applyProtection="1">
      <alignment horizontal="left" vertical="center"/>
      <protection hidden="1"/>
    </xf>
    <xf numFmtId="0" fontId="55" fillId="10" borderId="0" xfId="0" applyFont="1" applyFill="1" applyBorder="1" applyAlignment="1" applyProtection="1">
      <alignment horizontal="left" vertical="top"/>
      <protection hidden="1"/>
    </xf>
    <xf numFmtId="0" fontId="26" fillId="10" borderId="0" xfId="0" applyFont="1" applyFill="1" applyBorder="1" applyAlignment="1" applyProtection="1">
      <alignment horizontal="left" vertical="top"/>
      <protection hidden="1"/>
    </xf>
    <xf numFmtId="0" fontId="55" fillId="10" borderId="0" xfId="0" applyFont="1" applyFill="1" applyAlignment="1" applyProtection="1">
      <alignment horizontal="left" vertical="top"/>
      <protection hidden="1"/>
    </xf>
    <xf numFmtId="0" fontId="53" fillId="10" borderId="2" xfId="0" applyFont="1" applyFill="1" applyBorder="1" applyAlignment="1" applyProtection="1">
      <alignment horizontal="left" vertical="center"/>
      <protection hidden="1"/>
    </xf>
    <xf numFmtId="0" fontId="26" fillId="10" borderId="0" xfId="0" applyFont="1" applyFill="1" applyAlignment="1" applyProtection="1">
      <alignment horizontal="left" vertical="top"/>
      <protection hidden="1"/>
    </xf>
    <xf numFmtId="0" fontId="0" fillId="10" borderId="0" xfId="0" applyFill="1" applyAlignment="1" applyProtection="1">
      <alignment shrinkToFit="1"/>
      <protection hidden="1"/>
    </xf>
    <xf numFmtId="0" fontId="58" fillId="10" borderId="0" xfId="0" applyFont="1" applyFill="1" applyBorder="1" applyAlignment="1" applyProtection="1">
      <alignment vertical="center" shrinkToFit="1"/>
      <protection hidden="1"/>
    </xf>
    <xf numFmtId="0" fontId="26" fillId="10" borderId="0" xfId="0" applyFont="1" applyFill="1" applyAlignment="1" applyProtection="1">
      <alignment horizontal="left" vertical="top" shrinkToFit="1"/>
      <protection hidden="1"/>
    </xf>
    <xf numFmtId="176" fontId="25" fillId="11" borderId="0" xfId="0" applyNumberFormat="1" applyFont="1" applyFill="1" applyBorder="1" applyAlignment="1" applyProtection="1">
      <alignment horizontal="left" vertical="center" shrinkToFit="1"/>
      <protection hidden="1"/>
    </xf>
    <xf numFmtId="0" fontId="66" fillId="11" borderId="0" xfId="0" applyFont="1" applyFill="1" applyBorder="1" applyAlignment="1" applyProtection="1">
      <alignment horizontal="right" vertical="center" shrinkToFit="1"/>
      <protection locked="0" hidden="1"/>
    </xf>
    <xf numFmtId="177" fontId="66" fillId="11" borderId="0" xfId="0" applyNumberFormat="1" applyFont="1" applyFill="1" applyBorder="1" applyAlignment="1" applyProtection="1">
      <alignment horizontal="right" vertical="center" shrinkToFit="1"/>
      <protection locked="0" hidden="1"/>
    </xf>
    <xf numFmtId="180" fontId="70" fillId="11" borderId="0" xfId="0" applyNumberFormat="1" applyFont="1" applyFill="1" applyBorder="1" applyAlignment="1" applyProtection="1">
      <alignment horizontal="center" vertical="center" shrinkToFit="1"/>
      <protection hidden="1"/>
    </xf>
    <xf numFmtId="0" fontId="53" fillId="11" borderId="0" xfId="0" applyFont="1" applyFill="1" applyBorder="1" applyAlignment="1" applyProtection="1">
      <alignment horizontal="left" vertical="center" shrinkToFit="1"/>
      <protection hidden="1"/>
    </xf>
    <xf numFmtId="0" fontId="22" fillId="10" borderId="0" xfId="0" applyFont="1" applyFill="1" applyBorder="1" applyAlignment="1" applyProtection="1">
      <alignment vertical="center" shrinkToFit="1"/>
      <protection hidden="1"/>
    </xf>
    <xf numFmtId="0" fontId="53" fillId="10" borderId="0" xfId="0" applyFont="1" applyFill="1" applyBorder="1" applyAlignment="1" applyProtection="1">
      <alignment horizontal="left" vertical="center" shrinkToFit="1"/>
      <protection hidden="1"/>
    </xf>
    <xf numFmtId="177" fontId="26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53" fillId="10" borderId="0" xfId="0" applyFont="1" applyFill="1" applyBorder="1" applyAlignment="1" applyProtection="1">
      <alignment horizontal="left" vertical="top" shrinkToFit="1"/>
      <protection hidden="1"/>
    </xf>
    <xf numFmtId="0" fontId="55" fillId="10" borderId="0" xfId="0" applyFont="1" applyFill="1" applyBorder="1" applyAlignment="1" applyProtection="1">
      <alignment horizontal="center" vertical="top" shrinkToFit="1"/>
      <protection hidden="1"/>
    </xf>
    <xf numFmtId="176" fontId="25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55" fillId="10" borderId="0" xfId="0" applyFont="1" applyFill="1" applyBorder="1" applyAlignment="1" applyProtection="1">
      <alignment horizontal="left" vertical="top" shrinkToFit="1"/>
      <protection hidden="1"/>
    </xf>
    <xf numFmtId="0" fontId="26" fillId="10" borderId="0" xfId="0" applyFont="1" applyFill="1" applyBorder="1" applyAlignment="1" applyProtection="1">
      <alignment horizontal="left" vertical="top" shrinkToFit="1"/>
      <protection hidden="1"/>
    </xf>
    <xf numFmtId="0" fontId="77" fillId="16" borderId="27" xfId="0" applyFont="1" applyFill="1" applyBorder="1" applyAlignment="1" applyProtection="1">
      <alignment horizontal="center" vertical="center" shrinkToFit="1"/>
      <protection hidden="1"/>
    </xf>
    <xf numFmtId="172" fontId="40" fillId="10" borderId="0" xfId="0" applyNumberFormat="1" applyFont="1" applyFill="1" applyBorder="1" applyAlignment="1" applyProtection="1">
      <alignment horizontal="right" shrinkToFit="1"/>
      <protection hidden="1"/>
    </xf>
    <xf numFmtId="172" fontId="71" fillId="16" borderId="32" xfId="0" applyNumberFormat="1" applyFont="1" applyFill="1" applyBorder="1" applyAlignment="1" applyProtection="1">
      <alignment horizontal="center" vertical="center" shrinkToFit="1"/>
      <protection hidden="1"/>
    </xf>
    <xf numFmtId="172" fontId="71" fillId="15" borderId="1" xfId="0" applyNumberFormat="1" applyFont="1" applyFill="1" applyBorder="1" applyAlignment="1" applyProtection="1">
      <alignment horizontal="center" vertical="center" shrinkToFit="1"/>
      <protection hidden="1"/>
    </xf>
    <xf numFmtId="172" fontId="71" fillId="15" borderId="25" xfId="0" applyNumberFormat="1" applyFont="1" applyFill="1" applyBorder="1" applyAlignment="1" applyProtection="1">
      <alignment horizontal="center" vertical="center" shrinkToFit="1"/>
      <protection hidden="1"/>
    </xf>
    <xf numFmtId="0" fontId="50" fillId="16" borderId="28" xfId="0" applyFont="1" applyFill="1" applyBorder="1" applyAlignment="1" applyProtection="1">
      <alignment vertical="center" shrinkToFit="1"/>
      <protection hidden="1"/>
    </xf>
    <xf numFmtId="0" fontId="0" fillId="0" borderId="0" xfId="0" applyAlignment="1" applyProtection="1">
      <alignment shrinkToFit="1"/>
      <protection hidden="1"/>
    </xf>
    <xf numFmtId="0" fontId="77" fillId="16" borderId="45" xfId="0" applyFont="1" applyFill="1" applyBorder="1" applyAlignment="1" applyProtection="1">
      <alignment horizontal="center" vertical="center" shrinkToFit="1"/>
      <protection hidden="1"/>
    </xf>
    <xf numFmtId="0" fontId="53" fillId="11" borderId="50" xfId="0" applyFont="1" applyFill="1" applyBorder="1" applyAlignment="1" applyProtection="1">
      <alignment horizontal="left" vertical="center"/>
      <protection hidden="1"/>
    </xf>
    <xf numFmtId="178" fontId="21" fillId="11" borderId="52" xfId="0" applyNumberFormat="1" applyFont="1" applyFill="1" applyBorder="1" applyAlignment="1" applyProtection="1">
      <alignment horizontal="right" vertical="center"/>
      <protection locked="0" hidden="1"/>
    </xf>
    <xf numFmtId="0" fontId="20" fillId="11" borderId="52" xfId="0" applyFont="1" applyFill="1" applyBorder="1" applyAlignment="1" applyProtection="1">
      <alignment horizontal="right" vertical="center"/>
      <protection locked="0" hidden="1"/>
    </xf>
    <xf numFmtId="0" fontId="20" fillId="11" borderId="56" xfId="0" applyFont="1" applyFill="1" applyBorder="1" applyAlignment="1" applyProtection="1">
      <alignment horizontal="right" vertical="center"/>
      <protection locked="0" hidden="1"/>
    </xf>
    <xf numFmtId="0" fontId="53" fillId="7" borderId="57" xfId="0" applyFont="1" applyFill="1" applyBorder="1" applyAlignment="1" applyProtection="1">
      <alignment vertical="center"/>
      <protection hidden="1"/>
    </xf>
    <xf numFmtId="0" fontId="72" fillId="0" borderId="52" xfId="0" applyFont="1" applyFill="1" applyBorder="1" applyAlignment="1" applyProtection="1">
      <alignment horizontal="right" vertical="center"/>
      <protection hidden="1"/>
    </xf>
    <xf numFmtId="0" fontId="57" fillId="11" borderId="52" xfId="0" applyFont="1" applyFill="1" applyBorder="1" applyAlignment="1" applyProtection="1">
      <alignment vertical="center"/>
      <protection hidden="1"/>
    </xf>
    <xf numFmtId="0" fontId="57" fillId="11" borderId="56" xfId="0" applyFont="1" applyFill="1" applyBorder="1" applyAlignment="1" applyProtection="1">
      <alignment vertical="center"/>
      <protection hidden="1"/>
    </xf>
    <xf numFmtId="0" fontId="58" fillId="11" borderId="68" xfId="0" applyFont="1" applyFill="1" applyBorder="1" applyAlignment="1" applyProtection="1">
      <alignment horizontal="left" vertical="center"/>
      <protection hidden="1"/>
    </xf>
    <xf numFmtId="0" fontId="58" fillId="11" borderId="52" xfId="0" applyFont="1" applyFill="1" applyBorder="1" applyAlignment="1" applyProtection="1">
      <alignment horizontal="left" vertical="center"/>
      <protection hidden="1"/>
    </xf>
    <xf numFmtId="0" fontId="53" fillId="7" borderId="52" xfId="0" applyFont="1" applyFill="1" applyBorder="1" applyAlignment="1" applyProtection="1">
      <alignment vertical="center"/>
      <protection hidden="1"/>
    </xf>
    <xf numFmtId="0" fontId="53" fillId="7" borderId="57" xfId="0" applyFont="1" applyFill="1" applyBorder="1" applyAlignment="1" applyProtection="1">
      <alignment horizontal="left" vertical="center"/>
      <protection hidden="1"/>
    </xf>
    <xf numFmtId="0" fontId="53" fillId="7" borderId="68" xfId="0" applyFont="1" applyFill="1" applyBorder="1" applyAlignment="1" applyProtection="1">
      <alignment horizontal="left" vertical="top"/>
      <protection hidden="1"/>
    </xf>
    <xf numFmtId="0" fontId="53" fillId="7" borderId="69" xfId="0" applyFont="1" applyFill="1" applyBorder="1" applyAlignment="1" applyProtection="1">
      <alignment horizontal="left" vertical="top"/>
      <protection hidden="1"/>
    </xf>
    <xf numFmtId="0" fontId="53" fillId="7" borderId="70" xfId="0" applyFont="1" applyFill="1" applyBorder="1" applyAlignment="1" applyProtection="1">
      <alignment vertical="center"/>
      <protection hidden="1"/>
    </xf>
    <xf numFmtId="0" fontId="53" fillId="7" borderId="75" xfId="0" applyFont="1" applyFill="1" applyBorder="1" applyAlignment="1" applyProtection="1">
      <alignment vertical="center"/>
      <protection hidden="1"/>
    </xf>
    <xf numFmtId="0" fontId="53" fillId="7" borderId="76" xfId="0" applyFont="1" applyFill="1" applyBorder="1" applyAlignment="1" applyProtection="1">
      <alignment vertical="center"/>
      <protection hidden="1"/>
    </xf>
    <xf numFmtId="0" fontId="53" fillId="7" borderId="77" xfId="0" applyFont="1" applyFill="1" applyBorder="1" applyAlignment="1" applyProtection="1">
      <alignment vertical="center"/>
      <protection hidden="1"/>
    </xf>
    <xf numFmtId="178" fontId="21" fillId="13" borderId="52" xfId="0" applyNumberFormat="1" applyFont="1" applyFill="1" applyBorder="1" applyAlignment="1" applyProtection="1">
      <alignment horizontal="right" vertical="center" shrinkToFit="1"/>
      <protection hidden="1"/>
    </xf>
    <xf numFmtId="0" fontId="61" fillId="12" borderId="57" xfId="0" applyFont="1" applyFill="1" applyBorder="1" applyAlignment="1" applyProtection="1">
      <alignment horizontal="right" vertical="center" shrinkToFit="1"/>
      <protection hidden="1"/>
    </xf>
    <xf numFmtId="177" fontId="61" fillId="12" borderId="57" xfId="0" applyNumberFormat="1" applyFont="1" applyFill="1" applyBorder="1" applyAlignment="1" applyProtection="1">
      <alignment horizontal="right" vertical="center" shrinkToFit="1"/>
      <protection hidden="1"/>
    </xf>
    <xf numFmtId="173" fontId="39" fillId="13" borderId="52" xfId="0" applyNumberFormat="1" applyFont="1" applyFill="1" applyBorder="1" applyAlignment="1" applyProtection="1">
      <alignment horizontal="center" vertical="center" shrinkToFit="1"/>
      <protection hidden="1"/>
    </xf>
    <xf numFmtId="173" fontId="39" fillId="13" borderId="56" xfId="0" applyNumberFormat="1" applyFont="1" applyFill="1" applyBorder="1" applyAlignment="1" applyProtection="1">
      <alignment horizontal="center" vertical="center" shrinkToFit="1"/>
      <protection hidden="1"/>
    </xf>
    <xf numFmtId="0" fontId="53" fillId="15" borderId="50" xfId="0" applyFont="1" applyFill="1" applyBorder="1" applyAlignment="1" applyProtection="1">
      <alignment horizontal="left" vertical="center"/>
      <protection hidden="1"/>
    </xf>
    <xf numFmtId="0" fontId="53" fillId="15" borderId="83" xfId="0" applyFont="1" applyFill="1" applyBorder="1" applyAlignment="1" applyProtection="1">
      <alignment horizontal="left" vertical="center"/>
      <protection hidden="1"/>
    </xf>
    <xf numFmtId="0" fontId="53" fillId="15" borderId="54" xfId="0" applyFont="1" applyFill="1" applyBorder="1" applyAlignment="1" applyProtection="1">
      <alignment horizontal="left" vertical="center"/>
      <protection hidden="1"/>
    </xf>
    <xf numFmtId="0" fontId="76" fillId="15" borderId="85" xfId="0" applyFont="1" applyFill="1" applyBorder="1" applyAlignment="1" applyProtection="1">
      <alignment horizontal="left" vertical="center"/>
      <protection hidden="1"/>
    </xf>
    <xf numFmtId="0" fontId="78" fillId="15" borderId="86" xfId="0" applyFont="1" applyFill="1" applyBorder="1" applyAlignment="1" applyProtection="1">
      <alignment horizontal="left" vertical="center"/>
      <protection hidden="1"/>
    </xf>
    <xf numFmtId="0" fontId="78" fillId="15" borderId="50" xfId="0" applyFont="1" applyFill="1" applyBorder="1" applyAlignment="1" applyProtection="1">
      <alignment horizontal="left" vertical="center"/>
      <protection hidden="1"/>
    </xf>
    <xf numFmtId="0" fontId="78" fillId="15" borderId="52" xfId="0" applyFont="1" applyFill="1" applyBorder="1" applyAlignment="1" applyProtection="1">
      <alignment horizontal="left" vertical="center"/>
      <protection hidden="1"/>
    </xf>
    <xf numFmtId="0" fontId="76" fillId="15" borderId="79" xfId="0" applyFont="1" applyFill="1" applyBorder="1" applyAlignment="1" applyProtection="1">
      <alignment horizontal="left" vertical="center"/>
      <protection hidden="1"/>
    </xf>
    <xf numFmtId="0" fontId="78" fillId="15" borderId="80" xfId="0" applyFont="1" applyFill="1" applyBorder="1" applyAlignment="1" applyProtection="1">
      <alignment horizontal="left" vertical="center"/>
      <protection hidden="1"/>
    </xf>
    <xf numFmtId="0" fontId="76" fillId="15" borderId="92" xfId="0" applyFont="1" applyFill="1" applyBorder="1" applyAlignment="1" applyProtection="1">
      <alignment horizontal="left" vertical="center"/>
      <protection hidden="1"/>
    </xf>
    <xf numFmtId="0" fontId="78" fillId="15" borderId="68" xfId="0" applyFont="1" applyFill="1" applyBorder="1" applyAlignment="1" applyProtection="1">
      <alignment horizontal="left" vertical="center"/>
      <protection hidden="1"/>
    </xf>
    <xf numFmtId="0" fontId="76" fillId="15" borderId="69" xfId="0" applyFont="1" applyFill="1" applyBorder="1" applyAlignment="1" applyProtection="1">
      <alignment horizontal="left" vertical="center"/>
      <protection hidden="1"/>
    </xf>
    <xf numFmtId="0" fontId="78" fillId="15" borderId="57" xfId="0" applyFont="1" applyFill="1" applyBorder="1" applyAlignment="1" applyProtection="1">
      <alignment horizontal="left" vertical="center"/>
      <protection hidden="1"/>
    </xf>
    <xf numFmtId="0" fontId="53" fillId="15" borderId="52" xfId="0" applyFont="1" applyFill="1" applyBorder="1" applyAlignment="1" applyProtection="1">
      <alignment horizontal="right" vertical="center"/>
      <protection locked="0" hidden="1"/>
    </xf>
    <xf numFmtId="0" fontId="76" fillId="15" borderId="98" xfId="0" applyFont="1" applyFill="1" applyBorder="1" applyAlignment="1" applyProtection="1">
      <alignment horizontal="left" vertical="center"/>
      <protection hidden="1"/>
    </xf>
    <xf numFmtId="0" fontId="78" fillId="15" borderId="99" xfId="0" applyFont="1" applyFill="1" applyBorder="1" applyAlignment="1" applyProtection="1">
      <alignment horizontal="left" vertical="center"/>
      <protection hidden="1"/>
    </xf>
    <xf numFmtId="0" fontId="78" fillId="15" borderId="83" xfId="0" applyFont="1" applyFill="1" applyBorder="1" applyAlignment="1" applyProtection="1">
      <alignment horizontal="left" vertical="center"/>
      <protection hidden="1"/>
    </xf>
    <xf numFmtId="0" fontId="78" fillId="15" borderId="54" xfId="0" applyFont="1" applyFill="1" applyBorder="1" applyAlignment="1" applyProtection="1">
      <alignment horizontal="left" vertical="center"/>
      <protection hidden="1"/>
    </xf>
    <xf numFmtId="0" fontId="78" fillId="15" borderId="101" xfId="0" applyFont="1" applyFill="1" applyBorder="1" applyAlignment="1" applyProtection="1">
      <alignment horizontal="left" vertical="center"/>
      <protection hidden="1"/>
    </xf>
    <xf numFmtId="0" fontId="53" fillId="15" borderId="68" xfId="0" applyFont="1" applyFill="1" applyBorder="1" applyAlignment="1" applyProtection="1">
      <alignment vertical="center"/>
      <protection hidden="1"/>
    </xf>
    <xf numFmtId="0" fontId="76" fillId="15" borderId="104" xfId="0" applyFont="1" applyFill="1" applyBorder="1" applyAlignment="1" applyProtection="1">
      <alignment horizontal="left" vertical="center"/>
      <protection hidden="1"/>
    </xf>
    <xf numFmtId="0" fontId="78" fillId="15" borderId="73" xfId="0" applyFont="1" applyFill="1" applyBorder="1" applyAlignment="1" applyProtection="1">
      <alignment horizontal="left" vertical="center"/>
      <protection hidden="1"/>
    </xf>
    <xf numFmtId="0" fontId="53" fillId="15" borderId="68" xfId="0" applyFont="1" applyFill="1" applyBorder="1" applyAlignment="1" applyProtection="1">
      <alignment horizontal="right" vertical="center"/>
      <protection hidden="1"/>
    </xf>
    <xf numFmtId="0" fontId="50" fillId="15" borderId="68" xfId="0" applyFont="1" applyFill="1" applyBorder="1" applyAlignment="1" applyProtection="1">
      <alignment horizontal="right" vertical="center"/>
      <protection hidden="1"/>
    </xf>
    <xf numFmtId="0" fontId="50" fillId="15" borderId="110" xfId="0" applyFont="1" applyFill="1" applyBorder="1" applyAlignment="1" applyProtection="1">
      <alignment horizontal="right" vertical="center"/>
      <protection hidden="1"/>
    </xf>
    <xf numFmtId="0" fontId="50" fillId="15" borderId="90" xfId="0" applyFont="1" applyFill="1" applyBorder="1" applyAlignment="1" applyProtection="1">
      <alignment horizontal="left" vertical="center"/>
      <protection hidden="1"/>
    </xf>
    <xf numFmtId="0" fontId="53" fillId="15" borderId="114" xfId="0" applyFont="1" applyFill="1" applyBorder="1" applyAlignment="1" applyProtection="1">
      <alignment horizontal="left" vertical="center"/>
      <protection hidden="1"/>
    </xf>
    <xf numFmtId="178" fontId="21" fillId="13" borderId="61" xfId="0" applyNumberFormat="1" applyFont="1" applyFill="1" applyBorder="1" applyAlignment="1" applyProtection="1">
      <alignment horizontal="right" vertical="center" shrinkToFit="1"/>
      <protection hidden="1"/>
    </xf>
    <xf numFmtId="0" fontId="53" fillId="15" borderId="52" xfId="0" applyFont="1" applyFill="1" applyBorder="1" applyAlignment="1" applyProtection="1">
      <alignment horizontal="right" vertical="center"/>
      <protection locked="0"/>
    </xf>
    <xf numFmtId="185" fontId="53" fillId="11" borderId="76" xfId="0" applyNumberFormat="1" applyFont="1" applyFill="1" applyBorder="1" applyAlignment="1" applyProtection="1">
      <alignment horizontal="left" vertical="center" shrinkToFit="1"/>
      <protection hidden="1"/>
    </xf>
    <xf numFmtId="0" fontId="40" fillId="0" borderId="0" xfId="769" applyFont="1" applyFill="1" applyBorder="1"/>
    <xf numFmtId="0" fontId="53" fillId="15" borderId="77" xfId="0" applyFont="1" applyFill="1" applyBorder="1" applyAlignment="1" applyProtection="1">
      <alignment vertical="center"/>
      <protection locked="0" hidden="1"/>
    </xf>
    <xf numFmtId="0" fontId="76" fillId="15" borderId="76" xfId="0" applyFont="1" applyFill="1" applyBorder="1" applyAlignment="1" applyProtection="1">
      <alignment vertical="center"/>
      <protection locked="0" hidden="1"/>
    </xf>
    <xf numFmtId="0" fontId="76" fillId="15" borderId="77" xfId="0" applyFont="1" applyFill="1" applyBorder="1" applyAlignment="1" applyProtection="1">
      <alignment vertical="center"/>
      <protection locked="0" hidden="1"/>
    </xf>
    <xf numFmtId="0" fontId="76" fillId="15" borderId="110" xfId="0" applyFont="1" applyFill="1" applyBorder="1" applyAlignment="1" applyProtection="1">
      <alignment horizontal="left" vertical="center"/>
      <protection locked="0" hidden="1"/>
    </xf>
    <xf numFmtId="0" fontId="76" fillId="15" borderId="90" xfId="0" applyFont="1" applyFill="1" applyBorder="1" applyAlignment="1" applyProtection="1">
      <alignment horizontal="left" vertical="center"/>
      <protection locked="0" hidden="1"/>
    </xf>
    <xf numFmtId="181" fontId="21" fillId="13" borderId="54" xfId="0" applyNumberFormat="1" applyFont="1" applyFill="1" applyBorder="1" applyAlignment="1" applyProtection="1">
      <alignment horizontal="right" vertical="center" shrinkToFit="1"/>
      <protection hidden="1"/>
    </xf>
    <xf numFmtId="181" fontId="21" fillId="13" borderId="116" xfId="0" applyNumberFormat="1" applyFont="1" applyFill="1" applyBorder="1" applyAlignment="1" applyProtection="1">
      <alignment horizontal="right" vertical="center" shrinkToFit="1"/>
      <protection hidden="1"/>
    </xf>
    <xf numFmtId="178" fontId="21" fillId="0" borderId="52" xfId="0" applyNumberFormat="1" applyFont="1" applyFill="1" applyBorder="1" applyAlignment="1" applyProtection="1">
      <alignment horizontal="right" vertical="center"/>
      <protection locked="0"/>
    </xf>
    <xf numFmtId="181" fontId="20" fillId="0" borderId="54" xfId="0" applyNumberFormat="1" applyFont="1" applyFill="1" applyBorder="1" applyAlignment="1" applyProtection="1">
      <alignment horizontal="right" vertical="center"/>
      <protection locked="0"/>
    </xf>
    <xf numFmtId="0" fontId="0" fillId="4" borderId="20" xfId="0" applyFill="1" applyBorder="1" applyAlignment="1" applyProtection="1">
      <alignment vertical="center"/>
      <protection hidden="1"/>
    </xf>
    <xf numFmtId="0" fontId="0" fillId="4" borderId="6" xfId="0" applyFill="1" applyBorder="1" applyAlignment="1" applyProtection="1">
      <alignment vertical="center"/>
      <protection hidden="1"/>
    </xf>
    <xf numFmtId="0" fontId="0" fillId="4" borderId="21" xfId="0" applyFill="1" applyBorder="1" applyAlignment="1" applyProtection="1">
      <alignment vertical="center"/>
      <protection hidden="1"/>
    </xf>
    <xf numFmtId="0" fontId="0" fillId="10" borderId="0" xfId="0" applyFill="1" applyBorder="1" applyAlignment="1" applyProtection="1">
      <alignment vertical="center"/>
      <protection hidden="1"/>
    </xf>
    <xf numFmtId="0" fontId="0" fillId="4" borderId="3" xfId="0" applyFill="1" applyBorder="1" applyAlignment="1" applyProtection="1">
      <alignment vertical="center"/>
      <protection hidden="1"/>
    </xf>
    <xf numFmtId="0" fontId="0" fillId="4" borderId="4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horizontal="center"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54" fillId="4" borderId="0" xfId="0" applyFont="1" applyFill="1" applyBorder="1" applyAlignment="1" applyProtection="1">
      <alignment vertical="center"/>
      <protection hidden="1"/>
    </xf>
    <xf numFmtId="0" fontId="54" fillId="4" borderId="0" xfId="0" applyFont="1" applyFill="1" applyAlignment="1" applyProtection="1">
      <alignment vertical="center"/>
      <protection hidden="1"/>
    </xf>
    <xf numFmtId="0" fontId="0" fillId="4" borderId="0" xfId="0" applyFill="1" applyProtection="1">
      <protection hidden="1"/>
    </xf>
    <xf numFmtId="0" fontId="0" fillId="4" borderId="0" xfId="0" applyFill="1" applyBorder="1" applyAlignment="1" applyProtection="1">
      <alignment horizontal="left" vertical="center"/>
      <protection hidden="1"/>
    </xf>
    <xf numFmtId="0" fontId="49" fillId="4" borderId="0" xfId="0" applyFont="1" applyFill="1" applyBorder="1" applyAlignment="1" applyProtection="1">
      <alignment vertical="center"/>
      <protection hidden="1"/>
    </xf>
    <xf numFmtId="0" fontId="0" fillId="4" borderId="22" xfId="0" applyFill="1" applyBorder="1" applyAlignment="1" applyProtection="1">
      <alignment vertical="center"/>
      <protection hidden="1"/>
    </xf>
    <xf numFmtId="0" fontId="0" fillId="4" borderId="5" xfId="0" applyFill="1" applyBorder="1" applyAlignment="1" applyProtection="1">
      <alignment vertical="center"/>
      <protection hidden="1"/>
    </xf>
    <xf numFmtId="0" fontId="0" fillId="4" borderId="15" xfId="0" applyFill="1" applyBorder="1" applyAlignment="1" applyProtection="1">
      <alignment vertical="center"/>
      <protection hidden="1"/>
    </xf>
    <xf numFmtId="0" fontId="53" fillId="4" borderId="0" xfId="0" applyFont="1" applyFill="1" applyBorder="1" applyAlignment="1" applyProtection="1">
      <alignment horizontal="left" vertical="center" wrapText="1"/>
      <protection hidden="1"/>
    </xf>
    <xf numFmtId="176" fontId="23" fillId="4" borderId="0" xfId="0" applyNumberFormat="1" applyFont="1" applyFill="1" applyBorder="1" applyAlignment="1" applyProtection="1">
      <alignment horizontal="right" vertical="center"/>
      <protection hidden="1"/>
    </xf>
    <xf numFmtId="0" fontId="53" fillId="4" borderId="0" xfId="0" applyFont="1" applyFill="1" applyBorder="1" applyAlignment="1" applyProtection="1">
      <alignment vertical="center"/>
      <protection hidden="1"/>
    </xf>
    <xf numFmtId="0" fontId="53" fillId="4" borderId="0" xfId="0" applyFont="1" applyFill="1" applyBorder="1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/>
      <protection hidden="1"/>
    </xf>
    <xf numFmtId="2" fontId="23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horizontal="left" vertical="center"/>
      <protection hidden="1"/>
    </xf>
    <xf numFmtId="176" fontId="23" fillId="0" borderId="0" xfId="0" applyNumberFormat="1" applyFont="1" applyFill="1" applyBorder="1" applyAlignment="1" applyProtection="1">
      <alignment horizontal="right"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177" fontId="23" fillId="0" borderId="0" xfId="0" applyNumberFormat="1" applyFont="1" applyFill="1" applyBorder="1" applyAlignment="1" applyProtection="1">
      <alignment horizontal="left" vertical="center"/>
      <protection hidden="1"/>
    </xf>
    <xf numFmtId="177" fontId="23" fillId="0" borderId="0" xfId="0" applyNumberFormat="1" applyFont="1" applyFill="1" applyBorder="1" applyAlignment="1" applyProtection="1">
      <alignment horizontal="right" vertical="center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64" fillId="18" borderId="0" xfId="0" applyFont="1" applyFill="1" applyBorder="1" applyAlignment="1" applyProtection="1">
      <alignment vertical="center"/>
      <protection hidden="1"/>
    </xf>
    <xf numFmtId="184" fontId="64" fillId="18" borderId="0" xfId="0" applyNumberFormat="1" applyFont="1" applyFill="1" applyBorder="1" applyAlignment="1" applyProtection="1">
      <alignment vertical="center"/>
      <protection hidden="1"/>
    </xf>
    <xf numFmtId="0" fontId="62" fillId="20" borderId="0" xfId="0" applyFont="1" applyFill="1" applyBorder="1" applyAlignment="1" applyProtection="1">
      <alignment vertical="center"/>
      <protection hidden="1"/>
    </xf>
    <xf numFmtId="0" fontId="65" fillId="19" borderId="0" xfId="0" applyFont="1" applyFill="1" applyBorder="1" applyAlignment="1" applyProtection="1">
      <alignment vertical="center"/>
      <protection hidden="1"/>
    </xf>
    <xf numFmtId="184" fontId="64" fillId="19" borderId="0" xfId="0" applyNumberFormat="1" applyFont="1" applyFill="1" applyBorder="1" applyAlignment="1" applyProtection="1">
      <alignment vertical="center"/>
      <protection hidden="1"/>
    </xf>
    <xf numFmtId="0" fontId="63" fillId="21" borderId="0" xfId="0" applyFont="1" applyFill="1" applyBorder="1" applyAlignment="1" applyProtection="1">
      <alignment vertical="center" wrapText="1"/>
      <protection hidden="1"/>
    </xf>
    <xf numFmtId="184" fontId="85" fillId="0" borderId="0" xfId="0" applyNumberFormat="1" applyFont="1" applyFill="1" applyBorder="1" applyAlignment="1" applyProtection="1">
      <alignment vertical="center"/>
      <protection locked="0"/>
    </xf>
    <xf numFmtId="184" fontId="86" fillId="0" borderId="0" xfId="0" applyNumberFormat="1" applyFont="1" applyFill="1" applyBorder="1" applyAlignment="1" applyProtection="1">
      <alignment vertical="center"/>
      <protection locked="0"/>
    </xf>
    <xf numFmtId="0" fontId="31" fillId="0" borderId="0" xfId="0" applyFont="1" applyFill="1" applyBorder="1" applyAlignment="1" applyProtection="1">
      <alignment vertical="center" wrapText="1"/>
      <protection hidden="1"/>
    </xf>
    <xf numFmtId="0" fontId="40" fillId="10" borderId="0" xfId="0" applyFont="1" applyFill="1" applyProtection="1">
      <protection hidden="1"/>
    </xf>
    <xf numFmtId="0" fontId="40" fillId="10" borderId="0" xfId="0" applyFont="1" applyFill="1" applyAlignment="1" applyProtection="1">
      <alignment shrinkToFit="1"/>
      <protection hidden="1"/>
    </xf>
    <xf numFmtId="0" fontId="19" fillId="10" borderId="0" xfId="0" applyFont="1" applyFill="1" applyAlignment="1" applyProtection="1">
      <alignment horizontal="left" vertical="top"/>
      <protection hidden="1"/>
    </xf>
    <xf numFmtId="0" fontId="19" fillId="10" borderId="0" xfId="0" applyFont="1" applyFill="1" applyBorder="1" applyAlignment="1" applyProtection="1">
      <alignment vertical="center" shrinkToFit="1"/>
      <protection hidden="1"/>
    </xf>
    <xf numFmtId="177" fontId="19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19" fillId="10" borderId="0" xfId="0" applyFont="1" applyFill="1" applyBorder="1" applyAlignment="1" applyProtection="1">
      <alignment horizontal="center" vertical="top" shrinkToFit="1"/>
      <protection hidden="1"/>
    </xf>
    <xf numFmtId="176" fontId="19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19" fillId="10" borderId="0" xfId="0" applyFont="1" applyFill="1" applyBorder="1" applyAlignment="1" applyProtection="1">
      <alignment horizontal="left" vertical="top"/>
      <protection hidden="1"/>
    </xf>
    <xf numFmtId="0" fontId="40" fillId="0" borderId="0" xfId="0" applyFont="1" applyProtection="1">
      <protection hidden="1"/>
    </xf>
    <xf numFmtId="0" fontId="40" fillId="0" borderId="0" xfId="0" applyFont="1" applyAlignment="1" applyProtection="1">
      <alignment shrinkToFit="1"/>
      <protection hidden="1"/>
    </xf>
    <xf numFmtId="0" fontId="53" fillId="22" borderId="137" xfId="0" applyFont="1" applyFill="1" applyBorder="1" applyAlignment="1" applyProtection="1">
      <alignment vertical="center"/>
      <protection hidden="1"/>
    </xf>
    <xf numFmtId="0" fontId="53" fillId="22" borderId="61" xfId="0" applyFont="1" applyFill="1" applyBorder="1" applyAlignment="1" applyProtection="1">
      <alignment horizontal="left" vertical="center"/>
      <protection hidden="1"/>
    </xf>
    <xf numFmtId="0" fontId="53" fillId="22" borderId="73" xfId="0" applyFont="1" applyFill="1" applyBorder="1" applyAlignment="1" applyProtection="1">
      <alignment vertical="center"/>
      <protection hidden="1"/>
    </xf>
    <xf numFmtId="0" fontId="88" fillId="24" borderId="52" xfId="0" applyNumberFormat="1" applyFont="1" applyFill="1" applyBorder="1" applyAlignment="1" applyProtection="1">
      <alignment horizontal="center" vertical="center"/>
      <protection hidden="1"/>
    </xf>
    <xf numFmtId="0" fontId="19" fillId="24" borderId="73" xfId="0" applyFont="1" applyFill="1" applyBorder="1" applyAlignment="1" applyProtection="1">
      <alignment horizontal="right" vertical="center" shrinkToFit="1"/>
      <protection hidden="1"/>
    </xf>
    <xf numFmtId="176" fontId="19" fillId="24" borderId="137" xfId="0" applyNumberFormat="1" applyFont="1" applyFill="1" applyBorder="1" applyAlignment="1" applyProtection="1">
      <alignment horizontal="right" vertical="center" shrinkToFit="1"/>
      <protection hidden="1"/>
    </xf>
    <xf numFmtId="0" fontId="53" fillId="22" borderId="141" xfId="0" applyFont="1" applyFill="1" applyBorder="1" applyAlignment="1" applyProtection="1">
      <alignment horizontal="right" vertical="center"/>
      <protection hidden="1"/>
    </xf>
    <xf numFmtId="0" fontId="53" fillId="22" borderId="77" xfId="0" applyFont="1" applyFill="1" applyBorder="1" applyAlignment="1" applyProtection="1">
      <alignment vertical="center"/>
      <protection locked="0"/>
    </xf>
    <xf numFmtId="0" fontId="53" fillId="22" borderId="77" xfId="0" applyFont="1" applyFill="1" applyBorder="1" applyAlignment="1" applyProtection="1">
      <alignment horizontal="left" vertical="center"/>
      <protection locked="0"/>
    </xf>
    <xf numFmtId="0" fontId="53" fillId="22" borderId="140" xfId="0" applyFont="1" applyFill="1" applyBorder="1" applyAlignment="1" applyProtection="1">
      <alignment vertical="center"/>
      <protection locked="0"/>
    </xf>
    <xf numFmtId="0" fontId="53" fillId="22" borderId="64" xfId="0" applyFont="1" applyFill="1" applyBorder="1" applyAlignment="1" applyProtection="1">
      <alignment vertical="center"/>
      <protection locked="0"/>
    </xf>
    <xf numFmtId="0" fontId="53" fillId="22" borderId="144" xfId="0" applyFont="1" applyFill="1" applyBorder="1" applyAlignment="1" applyProtection="1">
      <alignment horizontal="right" vertical="center"/>
      <protection hidden="1"/>
    </xf>
    <xf numFmtId="180" fontId="87" fillId="0" borderId="52" xfId="0" applyNumberFormat="1" applyFont="1" applyBorder="1" applyAlignment="1" applyProtection="1">
      <alignment vertical="center" shrinkToFit="1"/>
      <protection locked="0"/>
    </xf>
    <xf numFmtId="186" fontId="39" fillId="0" borderId="137" xfId="0" applyNumberFormat="1" applyFont="1" applyBorder="1" applyAlignment="1" applyProtection="1">
      <alignment vertical="center" shrinkToFit="1"/>
      <protection locked="0"/>
    </xf>
    <xf numFmtId="15" fontId="40" fillId="0" borderId="0" xfId="0" applyNumberFormat="1" applyFont="1" applyBorder="1" applyProtection="1">
      <protection locked="0"/>
    </xf>
    <xf numFmtId="15" fontId="40" fillId="0" borderId="145" xfId="0" applyNumberFormat="1" applyFont="1" applyBorder="1" applyProtection="1">
      <protection locked="0"/>
    </xf>
    <xf numFmtId="0" fontId="66" fillId="24" borderId="73" xfId="0" applyFont="1" applyFill="1" applyBorder="1" applyAlignment="1" applyProtection="1">
      <alignment horizontal="center" vertical="center" shrinkToFit="1"/>
      <protection hidden="1"/>
    </xf>
    <xf numFmtId="0" fontId="66" fillId="0" borderId="137" xfId="0" applyFont="1" applyFill="1" applyBorder="1" applyAlignment="1" applyProtection="1">
      <alignment horizontal="center" vertical="center" shrinkToFit="1"/>
      <protection locked="0"/>
    </xf>
    <xf numFmtId="0" fontId="77" fillId="16" borderId="44" xfId="0" applyFont="1" applyFill="1" applyBorder="1" applyAlignment="1" applyProtection="1">
      <alignment horizontal="center" vertical="center" shrinkToFit="1"/>
      <protection hidden="1"/>
    </xf>
    <xf numFmtId="0" fontId="53" fillId="7" borderId="52" xfId="0" applyFont="1" applyFill="1" applyBorder="1" applyAlignment="1" applyProtection="1">
      <alignment vertical="center"/>
      <protection hidden="1"/>
    </xf>
    <xf numFmtId="0" fontId="53" fillId="10" borderId="0" xfId="0" applyFont="1" applyFill="1" applyAlignment="1" applyProtection="1">
      <alignment horizontal="left" vertical="top"/>
      <protection hidden="1"/>
    </xf>
    <xf numFmtId="0" fontId="90" fillId="10" borderId="0" xfId="0" applyFont="1" applyFill="1" applyAlignment="1" applyProtection="1">
      <alignment horizontal="left" vertical="top"/>
      <protection hidden="1"/>
    </xf>
    <xf numFmtId="0" fontId="53" fillId="11" borderId="53" xfId="0" applyFont="1" applyFill="1" applyBorder="1" applyAlignment="1" applyProtection="1">
      <alignment vertical="center"/>
      <protection hidden="1"/>
    </xf>
    <xf numFmtId="0" fontId="53" fillId="8" borderId="55" xfId="0" applyFont="1" applyFill="1" applyBorder="1" applyAlignment="1" applyProtection="1">
      <alignment horizontal="right" vertical="center"/>
      <protection hidden="1"/>
    </xf>
    <xf numFmtId="0" fontId="77" fillId="11" borderId="53" xfId="0" applyFont="1" applyFill="1" applyBorder="1" applyAlignment="1" applyProtection="1">
      <alignment horizontal="left" vertical="center"/>
      <protection hidden="1"/>
    </xf>
    <xf numFmtId="0" fontId="66" fillId="0" borderId="120" xfId="0" applyFont="1" applyFill="1" applyBorder="1" applyAlignment="1" applyProtection="1">
      <alignment vertical="center"/>
      <protection locked="0"/>
    </xf>
    <xf numFmtId="176" fontId="66" fillId="0" borderId="61" xfId="0" applyNumberFormat="1" applyFont="1" applyFill="1" applyBorder="1" applyAlignment="1" applyProtection="1">
      <alignment horizontal="left" vertical="center"/>
      <protection locked="0"/>
    </xf>
    <xf numFmtId="0" fontId="53" fillId="7" borderId="157" xfId="0" applyFont="1" applyFill="1" applyBorder="1" applyAlignment="1" applyProtection="1">
      <alignment vertical="center"/>
      <protection hidden="1"/>
    </xf>
    <xf numFmtId="176" fontId="18" fillId="0" borderId="158" xfId="0" applyNumberFormat="1" applyFont="1" applyFill="1" applyBorder="1" applyAlignment="1" applyProtection="1">
      <alignment horizontal="right" vertical="center"/>
      <protection locked="0"/>
    </xf>
    <xf numFmtId="0" fontId="53" fillId="7" borderId="157" xfId="0" applyFont="1" applyFill="1" applyBorder="1" applyAlignment="1" applyProtection="1">
      <alignment horizontal="left" vertical="top"/>
      <protection hidden="1"/>
    </xf>
    <xf numFmtId="0" fontId="53" fillId="7" borderId="160" xfId="0" applyFont="1" applyFill="1" applyBorder="1" applyAlignment="1" applyProtection="1">
      <alignment horizontal="left" vertical="top"/>
      <protection hidden="1"/>
    </xf>
    <xf numFmtId="0" fontId="57" fillId="10" borderId="0" xfId="0" applyFont="1" applyFill="1" applyBorder="1" applyAlignment="1" applyProtection="1">
      <alignment horizontal="center" vertical="center" shrinkToFit="1"/>
      <protection hidden="1"/>
    </xf>
    <xf numFmtId="0" fontId="91" fillId="10" borderId="169" xfId="0" applyFont="1" applyFill="1" applyBorder="1" applyAlignment="1" applyProtection="1">
      <alignment horizontal="left" vertical="center" wrapText="1" shrinkToFit="1"/>
      <protection hidden="1"/>
    </xf>
    <xf numFmtId="0" fontId="50" fillId="10" borderId="169" xfId="0" applyFont="1" applyFill="1" applyBorder="1" applyAlignment="1" applyProtection="1">
      <alignment horizontal="left" vertical="center" shrinkToFit="1"/>
      <protection hidden="1"/>
    </xf>
    <xf numFmtId="0" fontId="91" fillId="10" borderId="171" xfId="0" applyFont="1" applyFill="1" applyBorder="1" applyAlignment="1" applyProtection="1">
      <alignment horizontal="left" vertical="center" wrapText="1" shrinkToFit="1"/>
      <protection hidden="1"/>
    </xf>
    <xf numFmtId="0" fontId="50" fillId="10" borderId="171" xfId="0" applyFont="1" applyFill="1" applyBorder="1" applyAlignment="1" applyProtection="1">
      <alignment horizontal="left" vertical="center" shrinkToFit="1"/>
      <protection hidden="1"/>
    </xf>
    <xf numFmtId="186" fontId="39" fillId="0" borderId="52" xfId="0" applyNumberFormat="1" applyFont="1" applyFill="1" applyBorder="1" applyAlignment="1" applyProtection="1">
      <alignment horizontal="right" vertical="center" shrinkToFit="1"/>
      <protection locked="0"/>
    </xf>
    <xf numFmtId="186" fontId="39" fillId="0" borderId="126" xfId="0" applyNumberFormat="1" applyFont="1" applyFill="1" applyBorder="1" applyAlignment="1" applyProtection="1">
      <alignment horizontal="right" vertical="center" shrinkToFit="1"/>
      <protection locked="0"/>
    </xf>
    <xf numFmtId="179" fontId="56" fillId="0" borderId="24" xfId="0" applyNumberFormat="1" applyFont="1" applyFill="1" applyBorder="1" applyAlignment="1" applyProtection="1">
      <alignment vertical="center" shrinkToFit="1"/>
      <protection locked="0"/>
    </xf>
    <xf numFmtId="0" fontId="69" fillId="16" borderId="172" xfId="0" applyFont="1" applyFill="1" applyBorder="1" applyAlignment="1" applyProtection="1">
      <alignment horizontal="center" vertical="center" shrinkToFit="1"/>
      <protection hidden="1"/>
    </xf>
    <xf numFmtId="172" fontId="71" fillId="15" borderId="32" xfId="0" applyNumberFormat="1" applyFont="1" applyFill="1" applyBorder="1" applyAlignment="1" applyProtection="1">
      <alignment horizontal="center" vertical="center" shrinkToFit="1"/>
      <protection hidden="1"/>
    </xf>
    <xf numFmtId="172" fontId="71" fillId="15" borderId="172" xfId="0" applyNumberFormat="1" applyFont="1" applyFill="1" applyBorder="1" applyAlignment="1" applyProtection="1">
      <alignment horizontal="center" vertical="center" shrinkToFit="1"/>
      <protection hidden="1"/>
    </xf>
    <xf numFmtId="179" fontId="40" fillId="0" borderId="52" xfId="0" applyNumberFormat="1" applyFont="1" applyFill="1" applyBorder="1" applyAlignment="1" applyProtection="1">
      <alignment horizontal="right" shrinkToFit="1"/>
      <protection locked="0"/>
    </xf>
    <xf numFmtId="179" fontId="40" fillId="0" borderId="89" xfId="0" applyNumberFormat="1" applyFont="1" applyFill="1" applyBorder="1" applyAlignment="1" applyProtection="1">
      <alignment horizontal="right" shrinkToFit="1"/>
      <protection locked="0"/>
    </xf>
    <xf numFmtId="179" fontId="40" fillId="0" borderId="54" xfId="0" applyNumberFormat="1" applyFont="1" applyFill="1" applyBorder="1" applyAlignment="1" applyProtection="1">
      <alignment horizontal="right" shrinkToFit="1"/>
      <protection locked="0"/>
    </xf>
    <xf numFmtId="179" fontId="40" fillId="0" borderId="97" xfId="0" applyNumberFormat="1" applyFont="1" applyFill="1" applyBorder="1" applyAlignment="1" applyProtection="1">
      <alignment horizontal="right" shrinkToFit="1"/>
      <protection locked="0"/>
    </xf>
    <xf numFmtId="0" fontId="53" fillId="15" borderId="0" xfId="0" applyFont="1" applyFill="1" applyBorder="1" applyAlignment="1" applyProtection="1">
      <alignment horizontal="left" vertical="center"/>
      <protection hidden="1"/>
    </xf>
    <xf numFmtId="42" fontId="53" fillId="15" borderId="50" xfId="0" applyNumberFormat="1" applyFont="1" applyFill="1" applyBorder="1" applyAlignment="1" applyProtection="1">
      <alignment horizontal="left" vertical="center" shrinkToFit="1"/>
      <protection hidden="1"/>
    </xf>
    <xf numFmtId="42" fontId="53" fillId="15" borderId="68" xfId="0" applyNumberFormat="1" applyFont="1" applyFill="1" applyBorder="1" applyAlignment="1" applyProtection="1">
      <alignment horizontal="left" vertical="center" shrinkToFit="1"/>
      <protection locked="0" hidden="1"/>
    </xf>
    <xf numFmtId="42" fontId="53" fillId="15" borderId="68" xfId="0" applyNumberFormat="1" applyFont="1" applyFill="1" applyBorder="1" applyAlignment="1" applyProtection="1">
      <alignment horizontal="right" vertical="center" shrinkToFit="1"/>
      <protection hidden="1"/>
    </xf>
    <xf numFmtId="0" fontId="66" fillId="0" borderId="53" xfId="0" applyFont="1" applyFill="1" applyBorder="1" applyAlignment="1" applyProtection="1">
      <alignment vertical="center"/>
      <protection locked="0"/>
    </xf>
    <xf numFmtId="179" fontId="40" fillId="5" borderId="52" xfId="0" applyNumberFormat="1" applyFont="1" applyFill="1" applyBorder="1" applyAlignment="1" applyProtection="1">
      <alignment horizontal="right" shrinkToFit="1"/>
      <protection hidden="1"/>
    </xf>
    <xf numFmtId="0" fontId="73" fillId="6" borderId="59" xfId="0" applyFont="1" applyFill="1" applyBorder="1" applyAlignment="1" applyProtection="1">
      <alignment vertical="center"/>
      <protection hidden="1"/>
    </xf>
    <xf numFmtId="0" fontId="73" fillId="6" borderId="60" xfId="0" applyFont="1" applyFill="1" applyBorder="1" applyAlignment="1" applyProtection="1">
      <alignment vertical="center"/>
      <protection hidden="1"/>
    </xf>
    <xf numFmtId="0" fontId="53" fillId="7" borderId="173" xfId="0" applyFont="1" applyFill="1" applyBorder="1" applyAlignment="1" applyProtection="1">
      <alignment vertical="center" wrapText="1"/>
      <protection hidden="1"/>
    </xf>
    <xf numFmtId="0" fontId="66" fillId="0" borderId="158" xfId="0" applyFont="1" applyFill="1" applyBorder="1" applyAlignment="1" applyProtection="1">
      <alignment vertical="center"/>
      <protection locked="0"/>
    </xf>
    <xf numFmtId="0" fontId="53" fillId="15" borderId="52" xfId="0" applyFont="1" applyFill="1" applyBorder="1" applyAlignment="1" applyProtection="1">
      <alignment horizontal="left" vertical="center"/>
      <protection locked="0"/>
    </xf>
    <xf numFmtId="0" fontId="95" fillId="0" borderId="66" xfId="0" applyFont="1" applyFill="1" applyBorder="1" applyAlignment="1" applyProtection="1">
      <alignment vertical="center"/>
      <protection locked="0"/>
    </xf>
    <xf numFmtId="178" fontId="21" fillId="27" borderId="52" xfId="0" applyNumberFormat="1" applyFont="1" applyFill="1" applyBorder="1" applyAlignment="1" applyProtection="1">
      <alignment horizontal="right" vertical="center" shrinkToFit="1"/>
      <protection hidden="1"/>
    </xf>
    <xf numFmtId="178" fontId="21" fillId="27" borderId="56" xfId="0" applyNumberFormat="1" applyFont="1" applyFill="1" applyBorder="1" applyAlignment="1" applyProtection="1">
      <alignment horizontal="right" vertical="center" shrinkToFit="1"/>
      <protection hidden="1"/>
    </xf>
    <xf numFmtId="0" fontId="53" fillId="25" borderId="69" xfId="0" applyFont="1" applyFill="1" applyBorder="1" applyAlignment="1" applyProtection="1">
      <alignment horizontal="left" vertical="center"/>
      <protection hidden="1"/>
    </xf>
    <xf numFmtId="0" fontId="53" fillId="25" borderId="57" xfId="0" applyFont="1" applyFill="1" applyBorder="1" applyAlignment="1" applyProtection="1">
      <alignment horizontal="left" vertical="center"/>
      <protection hidden="1"/>
    </xf>
    <xf numFmtId="181" fontId="21" fillId="27" borderId="57" xfId="0" applyNumberFormat="1" applyFont="1" applyFill="1" applyBorder="1" applyAlignment="1" applyProtection="1">
      <alignment horizontal="right" vertical="center" shrinkToFit="1"/>
      <protection hidden="1"/>
    </xf>
    <xf numFmtId="181" fontId="21" fillId="27" borderId="58" xfId="0" applyNumberFormat="1" applyFont="1" applyFill="1" applyBorder="1" applyAlignment="1" applyProtection="1">
      <alignment horizontal="right" vertical="center" shrinkToFit="1"/>
      <protection hidden="1"/>
    </xf>
    <xf numFmtId="179" fontId="0" fillId="0" borderId="0" xfId="0" applyNumberFormat="1"/>
    <xf numFmtId="1" fontId="40" fillId="0" borderId="52" xfId="0" applyNumberFormat="1" applyFont="1" applyFill="1" applyBorder="1" applyAlignment="1" applyProtection="1">
      <alignment horizontal="right" shrinkToFit="1"/>
      <protection locked="0"/>
    </xf>
    <xf numFmtId="1" fontId="40" fillId="0" borderId="89" xfId="0" applyNumberFormat="1" applyFont="1" applyFill="1" applyBorder="1" applyAlignment="1" applyProtection="1">
      <alignment horizontal="right" shrinkToFit="1"/>
      <protection locked="0"/>
    </xf>
    <xf numFmtId="0" fontId="0" fillId="4" borderId="0" xfId="0" applyFill="1" applyAlignment="1" applyProtection="1">
      <alignment shrinkToFit="1"/>
      <protection hidden="1"/>
    </xf>
    <xf numFmtId="179" fontId="53" fillId="15" borderId="50" xfId="0" applyNumberFormat="1" applyFont="1" applyFill="1" applyBorder="1" applyAlignment="1" applyProtection="1">
      <alignment horizontal="left" vertical="center" shrinkToFit="1"/>
      <protection locked="0"/>
    </xf>
    <xf numFmtId="179" fontId="53" fillId="15" borderId="50" xfId="0" applyNumberFormat="1" applyFont="1" applyFill="1" applyBorder="1" applyAlignment="1" applyProtection="1">
      <alignment horizontal="left" vertical="center" shrinkToFit="1"/>
      <protection hidden="1"/>
    </xf>
    <xf numFmtId="0" fontId="99" fillId="16" borderId="71" xfId="0" applyFont="1" applyFill="1" applyBorder="1" applyAlignment="1" applyProtection="1">
      <alignment vertical="center"/>
      <protection hidden="1"/>
    </xf>
    <xf numFmtId="179" fontId="40" fillId="5" borderId="54" xfId="0" applyNumberFormat="1" applyFont="1" applyFill="1" applyBorder="1" applyAlignment="1" applyProtection="1">
      <alignment horizontal="right" shrinkToFit="1"/>
      <protection hidden="1"/>
    </xf>
    <xf numFmtId="0" fontId="39" fillId="0" borderId="0" xfId="0" applyFont="1" applyAlignment="1">
      <alignment horizontal="left" vertical="top" wrapText="1"/>
    </xf>
    <xf numFmtId="0" fontId="39" fillId="0" borderId="0" xfId="769" applyFont="1" applyFill="1" applyAlignment="1">
      <alignment horizontal="left" vertical="top" wrapText="1"/>
    </xf>
    <xf numFmtId="0" fontId="39" fillId="0" borderId="0" xfId="0" quotePrefix="1" applyFont="1" applyAlignment="1">
      <alignment horizontal="left" vertical="top" wrapText="1"/>
    </xf>
    <xf numFmtId="0" fontId="39" fillId="0" borderId="0" xfId="0" applyFont="1" applyBorder="1" applyAlignment="1">
      <alignment horizontal="left" vertical="top" wrapText="1"/>
    </xf>
    <xf numFmtId="192" fontId="40" fillId="0" borderId="0" xfId="0" quotePrefix="1" applyNumberFormat="1" applyFont="1" applyAlignment="1">
      <alignment horizontal="left"/>
    </xf>
    <xf numFmtId="0" fontId="40" fillId="0" borderId="0" xfId="0" quotePrefix="1" applyFont="1"/>
    <xf numFmtId="0" fontId="40" fillId="0" borderId="0" xfId="0" applyFont="1" applyAlignment="1">
      <alignment horizontal="left"/>
    </xf>
    <xf numFmtId="0" fontId="40" fillId="0" borderId="0" xfId="0" quotePrefix="1" applyFont="1" applyAlignment="1">
      <alignment horizontal="left"/>
    </xf>
    <xf numFmtId="193" fontId="40" fillId="0" borderId="0" xfId="0" quotePrefix="1" applyNumberFormat="1" applyFont="1" applyAlignment="1">
      <alignment horizontal="left"/>
    </xf>
    <xf numFmtId="0" fontId="40" fillId="0" borderId="0" xfId="0" applyFont="1" applyBorder="1"/>
    <xf numFmtId="0" fontId="100" fillId="0" borderId="0" xfId="0" applyFont="1" applyBorder="1" applyAlignment="1">
      <alignment vertical="center"/>
    </xf>
    <xf numFmtId="0" fontId="40" fillId="0" borderId="0" xfId="0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49" fontId="40" fillId="0" borderId="0" xfId="0" applyNumberFormat="1" applyFont="1" applyBorder="1" applyAlignment="1">
      <alignment horizontal="left" wrapText="1"/>
    </xf>
    <xf numFmtId="0" fontId="40" fillId="0" borderId="0" xfId="0" applyFont="1" applyBorder="1" applyAlignment="1">
      <alignment horizontal="left" wrapText="1"/>
    </xf>
    <xf numFmtId="0" fontId="40" fillId="11" borderId="0" xfId="0" applyFont="1" applyFill="1" applyBorder="1" applyAlignment="1">
      <alignment horizontal="center"/>
    </xf>
    <xf numFmtId="0" fontId="53" fillId="10" borderId="0" xfId="0" applyFont="1" applyFill="1" applyAlignment="1" applyProtection="1">
      <alignment horizontal="right" vertical="top"/>
      <protection hidden="1"/>
    </xf>
    <xf numFmtId="0" fontId="17" fillId="0" borderId="58" xfId="0" applyFont="1" applyFill="1" applyBorder="1" applyAlignment="1" applyProtection="1">
      <alignment vertical="center"/>
      <protection locked="0"/>
    </xf>
    <xf numFmtId="0" fontId="0" fillId="0" borderId="12" xfId="0" applyBorder="1"/>
    <xf numFmtId="0" fontId="0" fillId="0" borderId="23" xfId="0" applyBorder="1"/>
    <xf numFmtId="0" fontId="0" fillId="0" borderId="0" xfId="0" applyFill="1" applyBorder="1"/>
    <xf numFmtId="183" fontId="0" fillId="0" borderId="0" xfId="0" applyNumberFormat="1"/>
    <xf numFmtId="1" fontId="0" fillId="0" borderId="0" xfId="0" applyNumberFormat="1"/>
    <xf numFmtId="1" fontId="0" fillId="0" borderId="14" xfId="0" applyNumberFormat="1" applyBorder="1"/>
    <xf numFmtId="1" fontId="0" fillId="0" borderId="17" xfId="0" applyNumberFormat="1" applyBorder="1"/>
    <xf numFmtId="1" fontId="0" fillId="0" borderId="0" xfId="0" applyNumberFormat="1" applyBorder="1"/>
    <xf numFmtId="191" fontId="98" fillId="28" borderId="26" xfId="0" applyNumberFormat="1" applyFont="1" applyFill="1" applyBorder="1" applyAlignment="1" applyProtection="1">
      <alignment vertical="top"/>
      <protection hidden="1"/>
    </xf>
    <xf numFmtId="191" fontId="98" fillId="28" borderId="0" xfId="0" applyNumberFormat="1" applyFont="1" applyFill="1" applyBorder="1" applyAlignment="1" applyProtection="1">
      <alignment vertical="top"/>
      <protection hidden="1"/>
    </xf>
    <xf numFmtId="191" fontId="98" fillId="28" borderId="181" xfId="0" applyNumberFormat="1" applyFont="1" applyFill="1" applyBorder="1" applyAlignment="1" applyProtection="1">
      <alignment vertical="top"/>
      <protection hidden="1"/>
    </xf>
    <xf numFmtId="191" fontId="98" fillId="28" borderId="178" xfId="0" applyNumberFormat="1" applyFont="1" applyFill="1" applyBorder="1" applyAlignment="1" applyProtection="1">
      <alignment vertical="top"/>
      <protection hidden="1"/>
    </xf>
    <xf numFmtId="191" fontId="98" fillId="28" borderId="179" xfId="0" applyNumberFormat="1" applyFont="1" applyFill="1" applyBorder="1" applyAlignment="1" applyProtection="1">
      <alignment vertical="top"/>
      <protection hidden="1"/>
    </xf>
    <xf numFmtId="191" fontId="98" fillId="28" borderId="182" xfId="0" applyNumberFormat="1" applyFont="1" applyFill="1" applyBorder="1" applyAlignment="1" applyProtection="1">
      <alignment vertical="top"/>
      <protection hidden="1"/>
    </xf>
    <xf numFmtId="0" fontId="103" fillId="10" borderId="0" xfId="0" applyFont="1" applyFill="1" applyAlignment="1" applyProtection="1">
      <alignment horizontal="left" vertical="top"/>
      <protection hidden="1"/>
    </xf>
    <xf numFmtId="0" fontId="66" fillId="10" borderId="0" xfId="0" applyFont="1" applyFill="1" applyAlignment="1" applyProtection="1">
      <alignment horizontal="left" vertical="top"/>
      <protection hidden="1"/>
    </xf>
    <xf numFmtId="0" fontId="66" fillId="10" borderId="0" xfId="0" applyFont="1" applyFill="1" applyAlignment="1" applyProtection="1">
      <alignment horizontal="right" vertical="top"/>
      <protection hidden="1"/>
    </xf>
    <xf numFmtId="0" fontId="69" fillId="10" borderId="0" xfId="0" applyFont="1" applyFill="1" applyAlignment="1" applyProtection="1">
      <alignment shrinkToFit="1"/>
      <protection hidden="1"/>
    </xf>
    <xf numFmtId="0" fontId="69" fillId="10" borderId="0" xfId="0" applyFont="1" applyFill="1" applyAlignment="1" applyProtection="1">
      <alignment shrinkToFit="1"/>
      <protection locked="0" hidden="1"/>
    </xf>
    <xf numFmtId="0" fontId="0" fillId="0" borderId="0" xfId="0" applyBorder="1"/>
    <xf numFmtId="176" fontId="16" fillId="29" borderId="186" xfId="0" applyNumberFormat="1" applyFont="1" applyFill="1" applyBorder="1" applyAlignment="1" applyProtection="1">
      <alignment horizontal="left" vertical="center" shrinkToFit="1"/>
      <protection hidden="1"/>
    </xf>
    <xf numFmtId="0" fontId="69" fillId="10" borderId="0" xfId="0" applyFont="1" applyFill="1" applyProtection="1">
      <protection hidden="1"/>
    </xf>
    <xf numFmtId="0" fontId="104" fillId="10" borderId="0" xfId="0" applyFont="1" applyFill="1" applyAlignment="1" applyProtection="1">
      <alignment horizontal="left" vertical="top"/>
      <protection hidden="1"/>
    </xf>
    <xf numFmtId="0" fontId="104" fillId="10" borderId="0" xfId="0" applyFont="1" applyFill="1" applyBorder="1" applyAlignment="1" applyProtection="1">
      <alignment horizontal="left" vertical="top"/>
      <protection hidden="1"/>
    </xf>
    <xf numFmtId="179" fontId="104" fillId="10" borderId="0" xfId="0" applyNumberFormat="1" applyFont="1" applyFill="1" applyBorder="1" applyAlignment="1" applyProtection="1">
      <alignment horizontal="left" vertical="top"/>
      <protection hidden="1"/>
    </xf>
    <xf numFmtId="198" fontId="16" fillId="4" borderId="187" xfId="0" applyNumberFormat="1" applyFont="1" applyFill="1" applyBorder="1" applyAlignment="1" applyProtection="1">
      <alignment horizontal="left" vertical="center" shrinkToFit="1"/>
      <protection locked="0"/>
    </xf>
    <xf numFmtId="0" fontId="105" fillId="6" borderId="71" xfId="0" applyFont="1" applyFill="1" applyBorder="1" applyAlignment="1" applyProtection="1">
      <alignment vertical="center"/>
      <protection hidden="1"/>
    </xf>
    <xf numFmtId="178" fontId="15" fillId="0" borderId="52" xfId="0" applyNumberFormat="1" applyFont="1" applyFill="1" applyBorder="1" applyAlignment="1" applyProtection="1">
      <alignment horizontal="right" vertical="center"/>
      <protection locked="0"/>
    </xf>
    <xf numFmtId="176" fontId="25" fillId="0" borderId="57" xfId="0" applyNumberFormat="1" applyFont="1" applyFill="1" applyBorder="1" applyAlignment="1" applyProtection="1">
      <alignment horizontal="right" vertical="center" shrinkToFit="1"/>
      <protection locked="0"/>
    </xf>
    <xf numFmtId="183" fontId="40" fillId="11" borderId="52" xfId="0" applyNumberFormat="1" applyFont="1" applyFill="1" applyBorder="1" applyAlignment="1" applyProtection="1">
      <alignment horizontal="right" shrinkToFit="1"/>
      <protection locked="0" hidden="1"/>
    </xf>
    <xf numFmtId="183" fontId="40" fillId="11" borderId="61" xfId="0" applyNumberFormat="1" applyFont="1" applyFill="1" applyBorder="1" applyAlignment="1" applyProtection="1">
      <alignment horizontal="right" shrinkToFit="1"/>
      <protection locked="0" hidden="1"/>
    </xf>
    <xf numFmtId="0" fontId="91" fillId="10" borderId="0" xfId="0" applyFont="1" applyFill="1" applyBorder="1" applyAlignment="1" applyProtection="1">
      <alignment horizontal="left" vertical="center" wrapText="1" shrinkToFit="1"/>
      <protection hidden="1"/>
    </xf>
    <xf numFmtId="0" fontId="50" fillId="10" borderId="0" xfId="0" applyFont="1" applyFill="1" applyBorder="1" applyAlignment="1" applyProtection="1">
      <alignment horizontal="left" vertical="center" shrinkToFit="1"/>
      <protection hidden="1"/>
    </xf>
    <xf numFmtId="0" fontId="77" fillId="30" borderId="27" xfId="0" applyFont="1" applyFill="1" applyBorder="1" applyAlignment="1" applyProtection="1">
      <alignment horizontal="center" vertical="center" shrinkToFit="1"/>
      <protection hidden="1"/>
    </xf>
    <xf numFmtId="0" fontId="50" fillId="30" borderId="28" xfId="0" applyFont="1" applyFill="1" applyBorder="1" applyAlignment="1" applyProtection="1">
      <alignment vertical="center" shrinkToFit="1"/>
      <protection hidden="1"/>
    </xf>
    <xf numFmtId="196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0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197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195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183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179" fontId="50" fillId="30" borderId="40" xfId="0" applyNumberFormat="1" applyFont="1" applyFill="1" applyBorder="1" applyAlignment="1" applyProtection="1">
      <alignment horizontal="right" vertical="top" shrinkToFit="1"/>
      <protection hidden="1"/>
    </xf>
    <xf numFmtId="183" fontId="50" fillId="30" borderId="42" xfId="0" applyNumberFormat="1" applyFont="1" applyFill="1" applyBorder="1" applyAlignment="1" applyProtection="1">
      <alignment horizontal="right" vertical="top" shrinkToFit="1"/>
      <protection hidden="1"/>
    </xf>
    <xf numFmtId="183" fontId="50" fillId="30" borderId="43" xfId="0" applyNumberFormat="1" applyFont="1" applyFill="1" applyBorder="1" applyAlignment="1" applyProtection="1">
      <alignment horizontal="right" vertical="top" shrinkToFit="1"/>
      <protection hidden="1"/>
    </xf>
    <xf numFmtId="183" fontId="50" fillId="30" borderId="41" xfId="0" applyNumberFormat="1" applyFont="1" applyFill="1" applyBorder="1" applyAlignment="1" applyProtection="1">
      <alignment horizontal="right" vertical="top" shrinkToFit="1"/>
      <protection hidden="1"/>
    </xf>
    <xf numFmtId="185" fontId="53" fillId="31" borderId="76" xfId="0" applyNumberFormat="1" applyFont="1" applyFill="1" applyBorder="1" applyAlignment="1" applyProtection="1">
      <alignment vertical="center" shrinkToFit="1"/>
      <protection hidden="1"/>
    </xf>
    <xf numFmtId="0" fontId="53" fillId="31" borderId="77" xfId="0" applyFont="1" applyFill="1" applyBorder="1" applyAlignment="1" applyProtection="1">
      <alignment vertical="center"/>
      <protection locked="0" hidden="1"/>
    </xf>
    <xf numFmtId="185" fontId="53" fillId="31" borderId="76" xfId="0" applyNumberFormat="1" applyFont="1" applyFill="1" applyBorder="1" applyAlignment="1" applyProtection="1">
      <alignment horizontal="left" vertical="center" shrinkToFit="1"/>
      <protection hidden="1"/>
    </xf>
    <xf numFmtId="0" fontId="53" fillId="31" borderId="77" xfId="0" applyFont="1" applyFill="1" applyBorder="1" applyAlignment="1" applyProtection="1">
      <alignment horizontal="left" vertical="center"/>
      <protection hidden="1"/>
    </xf>
    <xf numFmtId="0" fontId="76" fillId="31" borderId="113" xfId="0" applyFont="1" applyFill="1" applyBorder="1" applyAlignment="1" applyProtection="1">
      <alignment horizontal="left" vertical="center"/>
      <protection hidden="1"/>
    </xf>
    <xf numFmtId="0" fontId="53" fillId="31" borderId="114" xfId="0" applyFont="1" applyFill="1" applyBorder="1" applyAlignment="1" applyProtection="1">
      <alignment horizontal="left" vertical="center"/>
      <protection hidden="1"/>
    </xf>
    <xf numFmtId="172" fontId="50" fillId="30" borderId="28" xfId="0" applyNumberFormat="1" applyFont="1" applyFill="1" applyBorder="1" applyAlignment="1" applyProtection="1">
      <alignment vertical="top" shrinkToFit="1"/>
      <protection hidden="1"/>
    </xf>
    <xf numFmtId="0" fontId="53" fillId="31" borderId="50" xfId="0" applyFont="1" applyFill="1" applyBorder="1" applyAlignment="1" applyProtection="1">
      <alignment horizontal="left" vertical="center"/>
      <protection hidden="1"/>
    </xf>
    <xf numFmtId="0" fontId="53" fillId="31" borderId="52" xfId="0" applyFont="1" applyFill="1" applyBorder="1" applyAlignment="1" applyProtection="1">
      <alignment horizontal="left" vertical="center"/>
      <protection hidden="1"/>
    </xf>
    <xf numFmtId="0" fontId="76" fillId="31" borderId="79" xfId="0" applyFont="1" applyFill="1" applyBorder="1" applyAlignment="1" applyProtection="1">
      <alignment horizontal="left" vertical="center"/>
      <protection hidden="1"/>
    </xf>
    <xf numFmtId="0" fontId="75" fillId="31" borderId="80" xfId="0" applyFont="1" applyFill="1" applyBorder="1" applyAlignment="1" applyProtection="1">
      <alignment horizontal="left" vertical="center"/>
      <protection hidden="1"/>
    </xf>
    <xf numFmtId="0" fontId="53" fillId="31" borderId="68" xfId="0" applyFont="1" applyFill="1" applyBorder="1" applyAlignment="1" applyProtection="1">
      <alignment horizontal="right" vertical="center"/>
      <protection hidden="1"/>
    </xf>
    <xf numFmtId="0" fontId="69" fillId="31" borderId="0" xfId="0" applyFont="1" applyFill="1" applyAlignment="1" applyProtection="1">
      <alignment shrinkToFit="1"/>
      <protection locked="0" hidden="1"/>
    </xf>
    <xf numFmtId="0" fontId="50" fillId="31" borderId="68" xfId="0" applyFont="1" applyFill="1" applyBorder="1" applyAlignment="1" applyProtection="1">
      <alignment horizontal="right" vertical="center"/>
      <protection hidden="1"/>
    </xf>
    <xf numFmtId="0" fontId="50" fillId="31" borderId="52" xfId="0" applyFont="1" applyFill="1" applyBorder="1" applyAlignment="1" applyProtection="1">
      <alignment horizontal="left" vertical="center"/>
      <protection hidden="1"/>
    </xf>
    <xf numFmtId="0" fontId="53" fillId="31" borderId="54" xfId="0" applyFont="1" applyFill="1" applyBorder="1" applyAlignment="1" applyProtection="1">
      <alignment horizontal="left" vertical="center"/>
      <protection hidden="1"/>
    </xf>
    <xf numFmtId="0" fontId="50" fillId="31" borderId="110" xfId="0" applyFont="1" applyFill="1" applyBorder="1" applyAlignment="1" applyProtection="1">
      <alignment horizontal="right" vertical="center"/>
      <protection hidden="1"/>
    </xf>
    <xf numFmtId="0" fontId="50" fillId="31" borderId="90" xfId="0" applyFont="1" applyFill="1" applyBorder="1" applyAlignment="1" applyProtection="1">
      <alignment horizontal="left" vertical="center"/>
      <protection hidden="1"/>
    </xf>
    <xf numFmtId="183" fontId="40" fillId="33" borderId="52" xfId="0" applyNumberFormat="1" applyFont="1" applyFill="1" applyBorder="1" applyAlignment="1" applyProtection="1">
      <alignment horizontal="right" shrinkToFit="1"/>
      <protection hidden="1"/>
    </xf>
    <xf numFmtId="183" fontId="40" fillId="33" borderId="61" xfId="0" applyNumberFormat="1" applyFont="1" applyFill="1" applyBorder="1" applyAlignment="1" applyProtection="1">
      <alignment horizontal="right" shrinkToFit="1"/>
      <protection hidden="1"/>
    </xf>
    <xf numFmtId="183" fontId="40" fillId="33" borderId="52" xfId="0" applyNumberFormat="1" applyFont="1" applyFill="1" applyBorder="1" applyAlignment="1" applyProtection="1">
      <alignment horizontal="right" shrinkToFit="1"/>
      <protection locked="0" hidden="1"/>
    </xf>
    <xf numFmtId="183" fontId="40" fillId="33" borderId="61" xfId="0" applyNumberFormat="1" applyFont="1" applyFill="1" applyBorder="1" applyAlignment="1" applyProtection="1">
      <alignment horizontal="right" shrinkToFit="1"/>
      <protection locked="0" hidden="1"/>
    </xf>
    <xf numFmtId="0" fontId="40" fillId="33" borderId="52" xfId="0" applyNumberFormat="1" applyFont="1" applyFill="1" applyBorder="1" applyAlignment="1" applyProtection="1">
      <alignment horizontal="right" shrinkToFit="1"/>
      <protection hidden="1"/>
    </xf>
    <xf numFmtId="183" fontId="79" fillId="33" borderId="52" xfId="0" applyNumberFormat="1" applyFont="1" applyFill="1" applyBorder="1" applyAlignment="1" applyProtection="1">
      <alignment horizontal="right" shrinkToFit="1"/>
      <protection hidden="1"/>
    </xf>
    <xf numFmtId="183" fontId="39" fillId="34" borderId="52" xfId="0" applyNumberFormat="1" applyFont="1" applyFill="1" applyBorder="1" applyAlignment="1" applyProtection="1">
      <alignment horizontal="right" shrinkToFit="1"/>
      <protection hidden="1"/>
    </xf>
    <xf numFmtId="183" fontId="39" fillId="34" borderId="90" xfId="0" applyNumberFormat="1" applyFont="1" applyFill="1" applyBorder="1" applyAlignment="1" applyProtection="1">
      <alignment horizontal="right" shrinkToFit="1"/>
      <protection hidden="1"/>
    </xf>
    <xf numFmtId="183" fontId="39" fillId="32" borderId="114" xfId="0" applyNumberFormat="1" applyFont="1" applyFill="1" applyBorder="1" applyAlignment="1" applyProtection="1">
      <alignment horizontal="right" shrinkToFit="1"/>
      <protection hidden="1"/>
    </xf>
    <xf numFmtId="183" fontId="39" fillId="32" borderId="80" xfId="0" applyNumberFormat="1" applyFont="1" applyFill="1" applyBorder="1" applyAlignment="1" applyProtection="1">
      <alignment horizontal="right" shrinkToFit="1"/>
      <protection hidden="1"/>
    </xf>
    <xf numFmtId="183" fontId="39" fillId="32" borderId="109" xfId="0" applyNumberFormat="1" applyFont="1" applyFill="1" applyBorder="1" applyAlignment="1" applyProtection="1">
      <alignment horizontal="right" shrinkToFit="1"/>
      <protection hidden="1"/>
    </xf>
    <xf numFmtId="183" fontId="39" fillId="32" borderId="101" xfId="0" applyNumberFormat="1" applyFont="1" applyFill="1" applyBorder="1" applyAlignment="1" applyProtection="1">
      <alignment horizontal="right" shrinkToFit="1"/>
      <protection hidden="1"/>
    </xf>
    <xf numFmtId="183" fontId="39" fillId="32" borderId="102" xfId="0" applyNumberFormat="1" applyFont="1" applyFill="1" applyBorder="1" applyAlignment="1" applyProtection="1">
      <alignment horizontal="right" shrinkToFit="1"/>
      <protection hidden="1"/>
    </xf>
    <xf numFmtId="183" fontId="39" fillId="32" borderId="119" xfId="0" applyNumberFormat="1" applyFont="1" applyFill="1" applyBorder="1" applyAlignment="1" applyProtection="1">
      <alignment horizontal="right" shrinkToFit="1"/>
      <protection hidden="1"/>
    </xf>
    <xf numFmtId="178" fontId="14" fillId="0" borderId="52" xfId="0" quotePrefix="1" applyNumberFormat="1" applyFont="1" applyFill="1" applyBorder="1" applyAlignment="1" applyProtection="1">
      <alignment horizontal="right" vertical="center"/>
      <protection locked="0"/>
    </xf>
    <xf numFmtId="0" fontId="40" fillId="4" borderId="0" xfId="0" applyFont="1" applyFill="1" applyBorder="1" applyAlignment="1">
      <alignment horizontal="center"/>
    </xf>
    <xf numFmtId="0" fontId="40" fillId="4" borderId="0" xfId="0" applyFont="1" applyFill="1" applyBorder="1" applyAlignment="1">
      <alignment horizontal="left"/>
    </xf>
    <xf numFmtId="169" fontId="53" fillId="10" borderId="0" xfId="0" applyNumberFormat="1" applyFont="1" applyFill="1" applyAlignment="1" applyProtection="1">
      <alignment horizontal="left" vertical="top"/>
      <protection hidden="1"/>
    </xf>
    <xf numFmtId="0" fontId="53" fillId="11" borderId="63" xfId="0" applyFont="1" applyFill="1" applyBorder="1" applyAlignment="1" applyProtection="1">
      <alignment horizontal="left" vertical="center"/>
      <protection hidden="1"/>
    </xf>
    <xf numFmtId="0" fontId="53" fillId="11" borderId="64" xfId="0" applyFont="1" applyFill="1" applyBorder="1" applyAlignment="1" applyProtection="1">
      <alignment horizontal="left" vertical="center"/>
      <protection hidden="1"/>
    </xf>
    <xf numFmtId="178" fontId="12" fillId="0" borderId="52" xfId="0" applyNumberFormat="1" applyFont="1" applyFill="1" applyBorder="1" applyAlignment="1" applyProtection="1">
      <alignment horizontal="right" vertical="center"/>
      <protection locked="0"/>
    </xf>
    <xf numFmtId="0" fontId="53" fillId="11" borderId="77" xfId="0" applyFont="1" applyFill="1" applyBorder="1" applyAlignment="1" applyProtection="1">
      <alignment horizontal="left" vertical="center"/>
      <protection hidden="1"/>
    </xf>
    <xf numFmtId="0" fontId="74" fillId="16" borderId="71" xfId="0" applyFont="1" applyFill="1" applyBorder="1" applyAlignment="1" applyProtection="1">
      <alignment vertical="center"/>
      <protection hidden="1"/>
    </xf>
    <xf numFmtId="0" fontId="76" fillId="15" borderId="100" xfId="0" applyFont="1" applyFill="1" applyBorder="1" applyAlignment="1" applyProtection="1">
      <alignment horizontal="left" vertical="center"/>
      <protection hidden="1"/>
    </xf>
    <xf numFmtId="0" fontId="76" fillId="15" borderId="113" xfId="0" applyFont="1" applyFill="1" applyBorder="1" applyAlignment="1" applyProtection="1">
      <alignment horizontal="left" vertical="center"/>
      <protection hidden="1"/>
    </xf>
    <xf numFmtId="0" fontId="74" fillId="16" borderId="70" xfId="0" applyFont="1" applyFill="1" applyBorder="1" applyAlignment="1" applyProtection="1">
      <alignment vertical="center"/>
      <protection hidden="1"/>
    </xf>
    <xf numFmtId="0" fontId="74" fillId="16" borderId="176" xfId="0" applyFont="1" applyFill="1" applyBorder="1" applyAlignment="1" applyProtection="1">
      <alignment vertical="center"/>
      <protection hidden="1"/>
    </xf>
    <xf numFmtId="185" fontId="53" fillId="15" borderId="76" xfId="0" applyNumberFormat="1" applyFont="1" applyFill="1" applyBorder="1" applyAlignment="1" applyProtection="1">
      <alignment vertical="center" shrinkToFit="1"/>
      <protection hidden="1"/>
    </xf>
    <xf numFmtId="0" fontId="50" fillId="15" borderId="52" xfId="0" applyFont="1" applyFill="1" applyBorder="1" applyAlignment="1" applyProtection="1">
      <alignment horizontal="left" vertical="center"/>
      <protection hidden="1"/>
    </xf>
    <xf numFmtId="0" fontId="74" fillId="16" borderId="65" xfId="0" applyFont="1" applyFill="1" applyBorder="1" applyAlignment="1" applyProtection="1">
      <alignment vertical="center"/>
      <protection hidden="1"/>
    </xf>
    <xf numFmtId="0" fontId="74" fillId="16" borderId="66" xfId="0" applyFont="1" applyFill="1" applyBorder="1" applyAlignment="1" applyProtection="1">
      <alignment vertical="center"/>
      <protection hidden="1"/>
    </xf>
    <xf numFmtId="0" fontId="53" fillId="15" borderId="68" xfId="0" applyFont="1" applyFill="1" applyBorder="1" applyAlignment="1" applyProtection="1">
      <alignment horizontal="left" vertical="center"/>
      <protection hidden="1"/>
    </xf>
    <xf numFmtId="0" fontId="53" fillId="15" borderId="52" xfId="0" applyFont="1" applyFill="1" applyBorder="1" applyAlignment="1" applyProtection="1">
      <alignment horizontal="left" vertical="center"/>
      <protection hidden="1"/>
    </xf>
    <xf numFmtId="0" fontId="53" fillId="15" borderId="69" xfId="0" applyFont="1" applyFill="1" applyBorder="1" applyAlignment="1" applyProtection="1">
      <alignment horizontal="left" vertical="center"/>
      <protection hidden="1"/>
    </xf>
    <xf numFmtId="0" fontId="53" fillId="15" borderId="57" xfId="0" applyFont="1" applyFill="1" applyBorder="1" applyAlignment="1" applyProtection="1">
      <alignment horizontal="left" vertical="center"/>
      <protection hidden="1"/>
    </xf>
    <xf numFmtId="185" fontId="53" fillId="31" borderId="76" xfId="0" applyNumberFormat="1" applyFont="1" applyFill="1" applyBorder="1" applyAlignment="1" applyProtection="1">
      <alignment vertical="center" shrinkToFit="1"/>
      <protection hidden="1"/>
    </xf>
    <xf numFmtId="0" fontId="53" fillId="31" borderId="52" xfId="0" applyFont="1" applyFill="1" applyBorder="1" applyAlignment="1" applyProtection="1">
      <alignment horizontal="left" vertical="center"/>
      <protection hidden="1"/>
    </xf>
    <xf numFmtId="0" fontId="53" fillId="31" borderId="50" xfId="0" applyFont="1" applyFill="1" applyBorder="1" applyAlignment="1" applyProtection="1">
      <alignment horizontal="left" vertical="center"/>
      <protection hidden="1"/>
    </xf>
    <xf numFmtId="0" fontId="53" fillId="11" borderId="184" xfId="0" applyFont="1" applyFill="1" applyBorder="1" applyAlignment="1" applyProtection="1">
      <alignment horizontal="left" vertical="center"/>
      <protection hidden="1"/>
    </xf>
    <xf numFmtId="0" fontId="53" fillId="7" borderId="51" xfId="0" applyFont="1" applyFill="1" applyBorder="1" applyAlignment="1" applyProtection="1">
      <alignment horizontal="left" vertical="center"/>
      <protection hidden="1"/>
    </xf>
    <xf numFmtId="0" fontId="53" fillId="7" borderId="50" xfId="0" applyFont="1" applyFill="1" applyBorder="1" applyAlignment="1" applyProtection="1">
      <alignment horizontal="left" vertical="center"/>
      <protection hidden="1"/>
    </xf>
    <xf numFmtId="0" fontId="50" fillId="7" borderId="50" xfId="0" applyFont="1" applyFill="1" applyBorder="1" applyAlignment="1" applyProtection="1">
      <alignment horizontal="left" vertical="center"/>
      <protection hidden="1"/>
    </xf>
    <xf numFmtId="0" fontId="50" fillId="15" borderId="52" xfId="0" applyFont="1" applyFill="1" applyBorder="1" applyAlignment="1" applyProtection="1">
      <alignment horizontal="left" vertical="center"/>
      <protection hidden="1"/>
    </xf>
    <xf numFmtId="0" fontId="40" fillId="0" borderId="0" xfId="0" applyFont="1" applyBorder="1" applyProtection="1">
      <protection locked="0"/>
    </xf>
    <xf numFmtId="0" fontId="40" fillId="0" borderId="145" xfId="0" applyFont="1" applyBorder="1" applyProtection="1">
      <protection locked="0"/>
    </xf>
    <xf numFmtId="0" fontId="53" fillId="22" borderId="134" xfId="0" applyFont="1" applyFill="1" applyBorder="1" applyAlignment="1" applyProtection="1">
      <alignment horizontal="left" vertical="center"/>
      <protection hidden="1"/>
    </xf>
    <xf numFmtId="0" fontId="71" fillId="22" borderId="52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0" fontId="48" fillId="4" borderId="0" xfId="0" applyFont="1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30" fillId="2" borderId="1" xfId="0" applyFont="1" applyFill="1" applyBorder="1" applyAlignment="1" applyProtection="1">
      <alignment vertical="center"/>
      <protection hidden="1"/>
    </xf>
    <xf numFmtId="178" fontId="11" fillId="0" borderId="52" xfId="0" applyNumberFormat="1" applyFont="1" applyFill="1" applyBorder="1" applyAlignment="1" applyProtection="1">
      <alignment horizontal="right" vertical="center"/>
      <protection locked="0"/>
    </xf>
    <xf numFmtId="0" fontId="11" fillId="0" borderId="61" xfId="0" applyFont="1" applyFill="1" applyBorder="1" applyAlignment="1" applyProtection="1">
      <alignment vertical="center"/>
      <protection locked="0"/>
    </xf>
    <xf numFmtId="0" fontId="76" fillId="15" borderId="0" xfId="0" applyFont="1" applyFill="1" applyBorder="1" applyAlignment="1" applyProtection="1">
      <alignment horizontal="left" vertical="center"/>
      <protection hidden="1"/>
    </xf>
    <xf numFmtId="0" fontId="78" fillId="15" borderId="0" xfId="0" applyFont="1" applyFill="1" applyBorder="1" applyAlignment="1" applyProtection="1">
      <alignment horizontal="left" vertical="center"/>
      <protection hidden="1"/>
    </xf>
    <xf numFmtId="0" fontId="0" fillId="10" borderId="0" xfId="0" applyFill="1" applyAlignment="1" applyProtection="1">
      <alignment vertical="center"/>
      <protection hidden="1"/>
    </xf>
    <xf numFmtId="0" fontId="0" fillId="10" borderId="0" xfId="0" applyFill="1" applyAlignment="1" applyProtection="1">
      <alignment vertical="center" shrinkToFit="1"/>
      <protection hidden="1"/>
    </xf>
    <xf numFmtId="0" fontId="26" fillId="10" borderId="0" xfId="0" applyFont="1" applyFill="1" applyAlignment="1" applyProtection="1">
      <alignment horizontal="left" vertical="center" shrinkToFit="1"/>
      <protection hidden="1"/>
    </xf>
    <xf numFmtId="0" fontId="26" fillId="10" borderId="0" xfId="0" applyFont="1" applyFill="1" applyAlignment="1" applyProtection="1">
      <alignment horizontal="left" vertical="center"/>
      <protection hidden="1"/>
    </xf>
    <xf numFmtId="0" fontId="55" fillId="10" borderId="0" xfId="0" applyFont="1" applyFill="1" applyAlignment="1" applyProtection="1">
      <alignment horizontal="left" vertical="center"/>
      <protection hidden="1"/>
    </xf>
    <xf numFmtId="0" fontId="23" fillId="10" borderId="0" xfId="0" applyFont="1" applyFill="1" applyAlignment="1" applyProtection="1">
      <alignment horizontal="left" vertical="center" shrinkToFit="1"/>
      <protection hidden="1"/>
    </xf>
    <xf numFmtId="0" fontId="23" fillId="10" borderId="0" xfId="0" applyFont="1" applyFill="1" applyAlignment="1" applyProtection="1">
      <alignment horizontal="left" vertical="center"/>
      <protection hidden="1"/>
    </xf>
    <xf numFmtId="0" fontId="55" fillId="10" borderId="0" xfId="0" applyFont="1" applyFill="1" applyAlignment="1" applyProtection="1">
      <alignment horizontal="left" vertical="center" shrinkToFit="1"/>
      <protection hidden="1"/>
    </xf>
    <xf numFmtId="0" fontId="55" fillId="10" borderId="0" xfId="0" applyFont="1" applyFill="1" applyBorder="1" applyAlignment="1" applyProtection="1">
      <alignment horizontal="center" vertical="center" shrinkToFit="1"/>
      <protection hidden="1"/>
    </xf>
    <xf numFmtId="0" fontId="55" fillId="10" borderId="0" xfId="0" applyFont="1" applyFill="1" applyBorder="1" applyAlignment="1" applyProtection="1">
      <alignment horizontal="left" vertical="center" shrinkToFit="1"/>
      <protection hidden="1"/>
    </xf>
    <xf numFmtId="0" fontId="26" fillId="10" borderId="0" xfId="0" applyFont="1" applyFill="1" applyBorder="1" applyAlignment="1" applyProtection="1">
      <alignment horizontal="left" vertical="center" shrinkToFit="1"/>
      <protection hidden="1"/>
    </xf>
    <xf numFmtId="0" fontId="26" fillId="10" borderId="0" xfId="0" applyFont="1" applyFill="1" applyBorder="1" applyAlignment="1" applyProtection="1">
      <alignment horizontal="left" vertical="center"/>
      <protection hidden="1"/>
    </xf>
    <xf numFmtId="0" fontId="55" fillId="10" borderId="0" xfId="0" applyFont="1" applyFill="1" applyBorder="1" applyAlignment="1" applyProtection="1">
      <alignment horizontal="left" vertical="center"/>
      <protection hidden="1"/>
    </xf>
    <xf numFmtId="0" fontId="32" fillId="10" borderId="0" xfId="0" applyFont="1" applyFill="1" applyAlignment="1" applyProtection="1">
      <alignment vertical="center" shrinkToFit="1"/>
      <protection hidden="1"/>
    </xf>
    <xf numFmtId="0" fontId="53" fillId="10" borderId="0" xfId="0" applyFont="1" applyFill="1" applyAlignment="1" applyProtection="1">
      <alignment horizontal="left" vertical="center" shrinkToFit="1"/>
      <protection hidden="1"/>
    </xf>
    <xf numFmtId="0" fontId="40" fillId="0" borderId="0" xfId="0" applyFont="1" applyBorder="1" applyAlignment="1" applyProtection="1">
      <alignment vertical="center" shrinkToFit="1"/>
      <protection locked="0"/>
    </xf>
    <xf numFmtId="0" fontId="40" fillId="10" borderId="0" xfId="0" applyFont="1" applyFill="1" applyBorder="1" applyAlignment="1" applyProtection="1">
      <alignment vertical="center" shrinkToFit="1"/>
      <protection hidden="1"/>
    </xf>
    <xf numFmtId="172" fontId="40" fillId="13" borderId="52" xfId="0" applyNumberFormat="1" applyFont="1" applyFill="1" applyBorder="1" applyAlignment="1" applyProtection="1">
      <alignment horizontal="right" vertical="center" shrinkToFit="1"/>
      <protection hidden="1"/>
    </xf>
    <xf numFmtId="172" fontId="50" fillId="16" borderId="28" xfId="0" applyNumberFormat="1" applyFont="1" applyFill="1" applyBorder="1" applyAlignment="1" applyProtection="1">
      <alignment horizontal="right" vertical="center" shrinkToFit="1"/>
      <protection hidden="1"/>
    </xf>
    <xf numFmtId="172" fontId="40" fillId="13" borderId="84" xfId="0" applyNumberFormat="1" applyFont="1" applyFill="1" applyBorder="1" applyAlignment="1" applyProtection="1">
      <alignment horizontal="right" vertical="center" shrinkToFit="1"/>
      <protection hidden="1"/>
    </xf>
    <xf numFmtId="172" fontId="50" fillId="16" borderId="29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86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30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52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28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80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88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31" xfId="0" applyNumberFormat="1" applyFont="1" applyFill="1" applyBorder="1" applyAlignment="1" applyProtection="1">
      <alignment horizontal="right" vertical="center" shrinkToFit="1"/>
      <protection hidden="1"/>
    </xf>
    <xf numFmtId="172" fontId="40" fillId="10" borderId="0" xfId="0" applyNumberFormat="1" applyFont="1" applyFill="1" applyBorder="1" applyAlignment="1" applyProtection="1">
      <alignment horizontal="right" vertical="center" shrinkToFit="1"/>
      <protection hidden="1"/>
    </xf>
    <xf numFmtId="172" fontId="40" fillId="13" borderId="93" xfId="0" applyNumberFormat="1" applyFont="1" applyFill="1" applyBorder="1" applyAlignment="1" applyProtection="1">
      <alignment horizontal="right" vertical="center" shrinkToFit="1"/>
      <protection hidden="1"/>
    </xf>
    <xf numFmtId="172" fontId="40" fillId="13" borderId="94" xfId="0" applyNumberFormat="1" applyFont="1" applyFill="1" applyBorder="1" applyAlignment="1" applyProtection="1">
      <alignment horizontal="right" vertical="center" shrinkToFit="1"/>
      <protection hidden="1"/>
    </xf>
    <xf numFmtId="172" fontId="40" fillId="13" borderId="61" xfId="0" applyNumberFormat="1" applyFont="1" applyFill="1" applyBorder="1" applyAlignment="1" applyProtection="1">
      <alignment horizontal="right" vertical="center" shrinkToFit="1"/>
      <protection hidden="1"/>
    </xf>
    <xf numFmtId="172" fontId="40" fillId="13" borderId="95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87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61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57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62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0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0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>
      <alignment vertical="center"/>
    </xf>
    <xf numFmtId="179" fontId="0" fillId="0" borderId="0" xfId="0" applyNumberFormat="1" applyAlignment="1">
      <alignment vertical="center"/>
    </xf>
    <xf numFmtId="208" fontId="40" fillId="0" borderId="52" xfId="0" applyNumberFormat="1" applyFont="1" applyFill="1" applyBorder="1" applyAlignment="1" applyProtection="1">
      <alignment horizontal="right" vertical="center" shrinkToFit="1"/>
      <protection locked="0"/>
    </xf>
    <xf numFmtId="208" fontId="40" fillId="0" borderId="89" xfId="0" applyNumberFormat="1" applyFont="1" applyFill="1" applyBorder="1" applyAlignment="1" applyProtection="1">
      <alignment horizontal="right" vertical="center" shrinkToFit="1"/>
      <protection locked="0"/>
    </xf>
    <xf numFmtId="179" fontId="50" fillId="16" borderId="32" xfId="0" applyNumberFormat="1" applyFont="1" applyFill="1" applyBorder="1" applyAlignment="1" applyProtection="1">
      <alignment horizontal="right" vertical="center" shrinkToFit="1"/>
      <protection hidden="1"/>
    </xf>
    <xf numFmtId="172" fontId="30" fillId="16" borderId="172" xfId="0" applyNumberFormat="1" applyFont="1" applyFill="1" applyBorder="1" applyAlignment="1" applyProtection="1">
      <alignment vertical="center" shrinkToFit="1"/>
      <protection hidden="1"/>
    </xf>
    <xf numFmtId="208" fontId="40" fillId="5" borderId="52" xfId="0" applyNumberFormat="1" applyFont="1" applyFill="1" applyBorder="1" applyAlignment="1" applyProtection="1">
      <alignment horizontal="right" vertical="center" shrinkToFit="1"/>
      <protection hidden="1"/>
    </xf>
    <xf numFmtId="208" fontId="40" fillId="5" borderId="89" xfId="0" applyNumberFormat="1" applyFont="1" applyFill="1" applyBorder="1" applyAlignment="1" applyProtection="1">
      <alignment horizontal="right" vertical="center" shrinkToFit="1"/>
      <protection hidden="1"/>
    </xf>
    <xf numFmtId="179" fontId="0" fillId="13" borderId="32" xfId="0" applyNumberFormat="1" applyFill="1" applyBorder="1" applyAlignment="1" applyProtection="1">
      <alignment vertical="center" shrinkToFit="1"/>
      <protection hidden="1"/>
    </xf>
    <xf numFmtId="179" fontId="0" fillId="13" borderId="25" xfId="0" applyNumberFormat="1" applyFill="1" applyBorder="1" applyAlignment="1" applyProtection="1">
      <alignment vertical="center" shrinkToFit="1"/>
      <protection hidden="1"/>
    </xf>
    <xf numFmtId="194" fontId="0" fillId="13" borderId="1" xfId="0" applyNumberFormat="1" applyFill="1" applyBorder="1" applyAlignment="1" applyProtection="1">
      <alignment vertical="center" shrinkToFit="1"/>
      <protection hidden="1"/>
    </xf>
    <xf numFmtId="194" fontId="0" fillId="13" borderId="172" xfId="0" applyNumberFormat="1" applyFill="1" applyBorder="1" applyAlignment="1" applyProtection="1">
      <alignment vertical="center" shrinkToFit="1"/>
      <protection hidden="1"/>
    </xf>
    <xf numFmtId="179" fontId="50" fillId="16" borderId="33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99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34" xfId="0" applyNumberFormat="1" applyFont="1" applyFill="1" applyBorder="1" applyAlignment="1" applyProtection="1">
      <alignment horizontal="right" vertical="center" shrinkToFit="1"/>
      <protection hidden="1"/>
    </xf>
    <xf numFmtId="172" fontId="30" fillId="16" borderId="35" xfId="0" applyNumberFormat="1" applyFont="1" applyFill="1" applyBorder="1" applyAlignment="1" applyProtection="1">
      <alignment vertical="center" shrinkToFit="1"/>
      <protection hidden="1"/>
    </xf>
    <xf numFmtId="183" fontId="50" fillId="16" borderId="36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54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37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101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102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38" xfId="0" applyNumberFormat="1" applyFont="1" applyFill="1" applyBorder="1" applyAlignment="1" applyProtection="1">
      <alignment horizontal="right" vertical="center" shrinkToFit="1"/>
      <protection hidden="1"/>
    </xf>
    <xf numFmtId="0" fontId="69" fillId="16" borderId="39" xfId="0" applyFont="1" applyFill="1" applyBorder="1" applyAlignment="1" applyProtection="1">
      <alignment vertical="center" shrinkToFit="1"/>
      <protection hidden="1"/>
    </xf>
    <xf numFmtId="0" fontId="40" fillId="0" borderId="52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61" xfId="0" applyNumberFormat="1" applyFont="1" applyFill="1" applyBorder="1" applyAlignment="1" applyProtection="1">
      <alignment horizontal="right" vertical="center" shrinkToFit="1"/>
      <protection locked="0"/>
    </xf>
    <xf numFmtId="0" fontId="0" fillId="0" borderId="42" xfId="0" applyBorder="1" applyAlignment="1">
      <alignment vertical="center"/>
    </xf>
    <xf numFmtId="183" fontId="79" fillId="13" borderId="86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57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62" xfId="0" applyNumberFormat="1" applyFont="1" applyFill="1" applyBorder="1" applyAlignment="1" applyProtection="1">
      <alignment horizontal="right" vertical="center" shrinkToFit="1"/>
      <protection hidden="1"/>
    </xf>
    <xf numFmtId="179" fontId="50" fillId="16" borderId="105" xfId="0" applyNumberFormat="1" applyFont="1" applyFill="1" applyBorder="1" applyAlignment="1" applyProtection="1">
      <alignment horizontal="right" vertical="center" shrinkToFit="1"/>
      <protection hidden="1"/>
    </xf>
    <xf numFmtId="0" fontId="50" fillId="16" borderId="105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108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106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56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48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58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107" xfId="0" applyNumberFormat="1" applyFont="1" applyFill="1" applyBorder="1" applyAlignment="1" applyProtection="1">
      <alignment horizontal="right" vertical="center" shrinkToFit="1"/>
      <protection hidden="1"/>
    </xf>
    <xf numFmtId="179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3" fontId="40" fillId="0" borderId="52" xfId="0" applyNumberFormat="1" applyFont="1" applyFill="1" applyBorder="1" applyAlignment="1" applyProtection="1">
      <alignment horizontal="right" vertical="center" shrinkToFit="1"/>
      <protection locked="0"/>
    </xf>
    <xf numFmtId="183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179" fontId="40" fillId="0" borderId="52" xfId="0" applyNumberFormat="1" applyFont="1" applyFill="1" applyBorder="1" applyAlignment="1" applyProtection="1">
      <alignment horizontal="right" vertical="center" shrinkToFit="1"/>
      <protection locked="0"/>
    </xf>
    <xf numFmtId="179" fontId="40" fillId="0" borderId="89" xfId="0" applyNumberFormat="1" applyFont="1" applyFill="1" applyBorder="1" applyAlignment="1" applyProtection="1">
      <alignment horizontal="right" vertical="center" shrinkToFit="1"/>
      <protection locked="0"/>
    </xf>
    <xf numFmtId="172" fontId="50" fillId="16" borderId="28" xfId="0" applyNumberFormat="1" applyFont="1" applyFill="1" applyBorder="1" applyAlignment="1" applyProtection="1">
      <alignment vertical="center" shrinkToFit="1"/>
      <protection hidden="1"/>
    </xf>
    <xf numFmtId="1" fontId="40" fillId="0" borderId="52" xfId="0" applyNumberFormat="1" applyFont="1" applyFill="1" applyBorder="1" applyAlignment="1" applyProtection="1">
      <alignment horizontal="right" vertical="center" shrinkToFit="1"/>
      <protection locked="0"/>
    </xf>
    <xf numFmtId="1" fontId="40" fillId="0" borderId="89" xfId="0" applyNumberFormat="1" applyFont="1" applyFill="1" applyBorder="1" applyAlignment="1" applyProtection="1">
      <alignment horizontal="right" vertical="center" shrinkToFit="1"/>
      <protection locked="0"/>
    </xf>
    <xf numFmtId="1" fontId="40" fillId="11" borderId="0" xfId="0" applyNumberFormat="1" applyFont="1" applyFill="1" applyBorder="1" applyAlignment="1" applyProtection="1">
      <alignment horizontal="right" vertical="center" shrinkToFit="1"/>
    </xf>
    <xf numFmtId="0" fontId="0" fillId="10" borderId="0" xfId="0" applyFill="1" applyBorder="1" applyAlignment="1" applyProtection="1">
      <alignment vertical="center" shrinkToFit="1"/>
      <protection hidden="1"/>
    </xf>
    <xf numFmtId="183" fontId="50" fillId="16" borderId="41" xfId="0" applyNumberFormat="1" applyFont="1" applyFill="1" applyBorder="1" applyAlignment="1" applyProtection="1">
      <alignment horizontal="right" vertical="center" shrinkToFit="1"/>
      <protection hidden="1"/>
    </xf>
    <xf numFmtId="0" fontId="69" fillId="10" borderId="0" xfId="0" applyFont="1" applyFill="1" applyAlignment="1" applyProtection="1">
      <alignment vertical="center" shrinkToFit="1"/>
      <protection hidden="1"/>
    </xf>
    <xf numFmtId="0" fontId="40" fillId="5" borderId="52" xfId="0" applyNumberFormat="1" applyFont="1" applyFill="1" applyBorder="1" applyAlignment="1" applyProtection="1">
      <alignment horizontal="right" vertical="center" shrinkToFit="1"/>
      <protection hidden="1"/>
    </xf>
    <xf numFmtId="196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69" fillId="10" borderId="0" xfId="0" applyFont="1" applyFill="1" applyAlignment="1" applyProtection="1">
      <alignment vertical="center" shrinkToFit="1"/>
      <protection locked="0" hidden="1"/>
    </xf>
    <xf numFmtId="0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197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195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52" xfId="0" applyNumberFormat="1" applyFont="1" applyFill="1" applyBorder="1" applyAlignment="1" applyProtection="1">
      <alignment horizontal="right" vertical="center" shrinkToFit="1"/>
      <protection hidden="1"/>
    </xf>
    <xf numFmtId="183" fontId="79" fillId="5" borderId="52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52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42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90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114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115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43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175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40" fillId="0" borderId="0" xfId="0" applyNumberFormat="1" applyFont="1" applyFill="1" applyBorder="1" applyAlignment="1" applyProtection="1">
      <alignment horizontal="right" vertical="center" shrinkToFit="1"/>
      <protection locked="0"/>
    </xf>
    <xf numFmtId="205" fontId="30" fillId="10" borderId="0" xfId="0" applyNumberFormat="1" applyFont="1" applyFill="1" applyAlignment="1" applyProtection="1">
      <alignment vertical="center" shrinkToFit="1"/>
      <protection hidden="1"/>
    </xf>
    <xf numFmtId="206" fontId="69" fillId="10" borderId="0" xfId="0" applyNumberFormat="1" applyFont="1" applyFill="1" applyAlignment="1" applyProtection="1">
      <alignment vertical="center" shrinkToFit="1"/>
      <protection hidden="1"/>
    </xf>
    <xf numFmtId="204" fontId="71" fillId="10" borderId="0" xfId="0" applyNumberFormat="1" applyFont="1" applyFill="1" applyBorder="1" applyAlignment="1" applyProtection="1">
      <alignment horizontal="right" vertical="center" shrinkToFit="1"/>
    </xf>
    <xf numFmtId="0" fontId="69" fillId="10" borderId="0" xfId="0" applyFont="1" applyFill="1" applyAlignment="1" applyProtection="1">
      <alignment horizontal="right" vertical="center"/>
      <protection hidden="1"/>
    </xf>
    <xf numFmtId="0" fontId="69" fillId="10" borderId="0" xfId="0" applyFont="1" applyFill="1" applyAlignment="1" applyProtection="1">
      <alignment vertical="center"/>
      <protection hidden="1"/>
    </xf>
    <xf numFmtId="200" fontId="40" fillId="5" borderId="52" xfId="0" applyNumberFormat="1" applyFont="1" applyFill="1" applyBorder="1" applyAlignment="1" applyProtection="1">
      <alignment horizontal="right" vertical="center" shrinkToFit="1"/>
      <protection hidden="1"/>
    </xf>
    <xf numFmtId="201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184" fontId="56" fillId="0" borderId="40" xfId="0" applyNumberFormat="1" applyFont="1" applyFill="1" applyBorder="1" applyAlignment="1" applyProtection="1">
      <alignment horizontal="right" vertical="center" shrinkToFit="1"/>
      <protection locked="0"/>
    </xf>
    <xf numFmtId="0" fontId="56" fillId="0" borderId="40" xfId="0" applyNumberFormat="1" applyFont="1" applyFill="1" applyBorder="1" applyAlignment="1" applyProtection="1">
      <alignment horizontal="right" vertical="center" shrinkToFit="1"/>
    </xf>
    <xf numFmtId="202" fontId="69" fillId="10" borderId="0" xfId="0" applyNumberFormat="1" applyFont="1" applyFill="1" applyAlignment="1" applyProtection="1">
      <alignment vertical="center" shrinkToFit="1"/>
      <protection hidden="1"/>
    </xf>
    <xf numFmtId="203" fontId="69" fillId="10" borderId="0" xfId="0" applyNumberFormat="1" applyFont="1" applyFill="1" applyAlignment="1" applyProtection="1">
      <alignment horizontal="right" vertical="center"/>
      <protection hidden="1"/>
    </xf>
    <xf numFmtId="184" fontId="56" fillId="0" borderId="40" xfId="0" applyNumberFormat="1" applyFont="1" applyFill="1" applyBorder="1" applyAlignment="1" applyProtection="1">
      <alignment horizontal="right" vertical="center" shrinkToFit="1"/>
    </xf>
    <xf numFmtId="184" fontId="56" fillId="0" borderId="42" xfId="0" applyNumberFormat="1" applyFont="1" applyFill="1" applyBorder="1" applyAlignment="1" applyProtection="1">
      <alignment horizontal="right" vertical="center" shrinkToFit="1"/>
      <protection locked="0"/>
    </xf>
    <xf numFmtId="0" fontId="56" fillId="0" borderId="41" xfId="0" applyNumberFormat="1" applyFont="1" applyFill="1" applyBorder="1" applyAlignment="1" applyProtection="1">
      <alignment horizontal="right" vertical="center" shrinkToFit="1"/>
    </xf>
    <xf numFmtId="184" fontId="50" fillId="16" borderId="207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61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52" xfId="0" applyNumberFormat="1" applyFont="1" applyFill="1" applyBorder="1" applyAlignment="1" applyProtection="1">
      <alignment horizontal="right" vertical="center" shrinkToFit="1"/>
      <protection locked="0" hidden="1"/>
    </xf>
    <xf numFmtId="183" fontId="40" fillId="5" borderId="61" xfId="0" applyNumberFormat="1" applyFont="1" applyFill="1" applyBorder="1" applyAlignment="1" applyProtection="1">
      <alignment horizontal="right" vertical="center" shrinkToFit="1"/>
      <protection locked="0" hidden="1"/>
    </xf>
    <xf numFmtId="183" fontId="40" fillId="11" borderId="52" xfId="0" applyNumberFormat="1" applyFont="1" applyFill="1" applyBorder="1" applyAlignment="1" applyProtection="1">
      <alignment horizontal="right" vertical="center" shrinkToFit="1"/>
      <protection locked="0" hidden="1"/>
    </xf>
    <xf numFmtId="183" fontId="40" fillId="11" borderId="61" xfId="0" applyNumberFormat="1" applyFont="1" applyFill="1" applyBorder="1" applyAlignment="1" applyProtection="1">
      <alignment horizontal="right" vertical="center" shrinkToFit="1"/>
      <protection locked="0" hidden="1"/>
    </xf>
    <xf numFmtId="183" fontId="39" fillId="13" borderId="119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153" xfId="0" applyNumberFormat="1" applyFont="1" applyFill="1" applyBorder="1" applyAlignment="1" applyProtection="1">
      <alignment horizontal="right" vertical="center" shrinkToFit="1"/>
      <protection hidden="1"/>
    </xf>
    <xf numFmtId="10" fontId="50" fillId="16" borderId="28" xfId="0" applyNumberFormat="1" applyFont="1" applyFill="1" applyBorder="1" applyAlignment="1" applyProtection="1">
      <alignment horizontal="right" vertical="center" shrinkToFit="1"/>
      <protection hidden="1"/>
    </xf>
    <xf numFmtId="183" fontId="50" fillId="16" borderId="154" xfId="0" applyNumberFormat="1" applyFont="1" applyFill="1" applyBorder="1" applyAlignment="1" applyProtection="1">
      <alignment horizontal="right" vertical="center" shrinkToFit="1"/>
      <protection hidden="1"/>
    </xf>
    <xf numFmtId="179" fontId="50" fillId="16" borderId="154" xfId="0" applyNumberFormat="1" applyFont="1" applyFill="1" applyBorder="1" applyAlignment="1" applyProtection="1">
      <alignment horizontal="right" vertical="center" shrinkToFit="1"/>
      <protection hidden="1"/>
    </xf>
    <xf numFmtId="179" fontId="50" fillId="16" borderId="31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0" xfId="0" applyAlignment="1" applyProtection="1">
      <alignment vertical="center"/>
      <protection hidden="1"/>
    </xf>
    <xf numFmtId="0" fontId="40" fillId="11" borderId="0" xfId="0" applyFont="1" applyFill="1" applyBorder="1"/>
    <xf numFmtId="0" fontId="50" fillId="15" borderId="52" xfId="0" applyFont="1" applyFill="1" applyBorder="1" applyAlignment="1" applyProtection="1">
      <alignment horizontal="center" vertical="center"/>
      <protection hidden="1"/>
    </xf>
    <xf numFmtId="170" fontId="40" fillId="11" borderId="0" xfId="852" applyNumberFormat="1" applyFont="1" applyFill="1" applyBorder="1" applyAlignment="1">
      <alignment horizontal="center"/>
    </xf>
    <xf numFmtId="0" fontId="11" fillId="0" borderId="61" xfId="0" applyFont="1" applyFill="1" applyBorder="1" applyAlignment="1" applyProtection="1">
      <alignment horizontal="center" vertical="center"/>
      <protection locked="0"/>
    </xf>
    <xf numFmtId="0" fontId="10" fillId="0" borderId="62" xfId="0" applyFont="1" applyFill="1" applyBorder="1" applyAlignment="1" applyProtection="1">
      <alignment vertical="center"/>
      <protection locked="0"/>
    </xf>
    <xf numFmtId="0" fontId="30" fillId="2" borderId="12" xfId="0" applyFont="1" applyFill="1" applyBorder="1" applyAlignment="1" applyProtection="1">
      <alignment horizontal="left" vertical="center"/>
      <protection hidden="1"/>
    </xf>
    <xf numFmtId="0" fontId="30" fillId="2" borderId="13" xfId="0" applyFont="1" applyFill="1" applyBorder="1" applyAlignment="1" applyProtection="1">
      <alignment horizontal="left" vertical="center"/>
      <protection hidden="1"/>
    </xf>
    <xf numFmtId="0" fontId="55" fillId="0" borderId="1" xfId="0" applyFont="1" applyFill="1" applyBorder="1" applyAlignment="1" applyProtection="1">
      <alignment horizontal="right" vertical="center" wrapText="1"/>
      <protection hidden="1"/>
    </xf>
    <xf numFmtId="0" fontId="31" fillId="4" borderId="0" xfId="0" applyFont="1" applyFill="1" applyBorder="1" applyAlignment="1" applyProtection="1">
      <alignment vertical="center" wrapText="1"/>
      <protection hidden="1"/>
    </xf>
    <xf numFmtId="0" fontId="30" fillId="2" borderId="23" xfId="0" applyFont="1" applyFill="1" applyBorder="1" applyAlignment="1" applyProtection="1">
      <alignment horizontal="left" vertical="center"/>
      <protection hidden="1"/>
    </xf>
    <xf numFmtId="0" fontId="30" fillId="2" borderId="19" xfId="0" applyFont="1" applyFill="1" applyBorder="1" applyAlignment="1" applyProtection="1">
      <alignment horizontal="left" vertical="center"/>
      <protection hidden="1"/>
    </xf>
    <xf numFmtId="0" fontId="60" fillId="0" borderId="0" xfId="0" applyFont="1" applyFill="1" applyBorder="1" applyAlignment="1" applyProtection="1">
      <alignment horizontal="left" vertical="center" wrapText="1"/>
      <protection hidden="1"/>
    </xf>
    <xf numFmtId="0" fontId="51" fillId="0" borderId="128" xfId="0" applyFont="1" applyFill="1" applyBorder="1" applyAlignment="1" applyProtection="1">
      <alignment vertical="center" wrapText="1"/>
      <protection hidden="1"/>
    </xf>
    <xf numFmtId="0" fontId="0" fillId="4" borderId="0" xfId="0" applyFill="1" applyAlignment="1" applyProtection="1">
      <alignment vertical="center"/>
      <protection hidden="1"/>
    </xf>
    <xf numFmtId="0" fontId="40" fillId="0" borderId="0" xfId="0" applyFont="1" applyFill="1" applyProtection="1">
      <protection hidden="1"/>
    </xf>
    <xf numFmtId="0" fontId="19" fillId="0" borderId="0" xfId="0" applyFont="1" applyFill="1" applyAlignment="1" applyProtection="1">
      <alignment horizontal="left" vertical="top"/>
      <protection hidden="1"/>
    </xf>
    <xf numFmtId="0" fontId="19" fillId="0" borderId="0" xfId="0" applyFont="1" applyFill="1" applyBorder="1" applyAlignment="1" applyProtection="1">
      <alignment horizontal="left" vertical="top"/>
      <protection hidden="1"/>
    </xf>
    <xf numFmtId="0" fontId="40" fillId="10" borderId="0" xfId="0" applyFont="1" applyFill="1" applyAlignment="1" applyProtection="1">
      <alignment vertical="center" shrinkToFit="1"/>
      <protection hidden="1"/>
    </xf>
    <xf numFmtId="0" fontId="40" fillId="0" borderId="0" xfId="0" applyFont="1" applyAlignment="1" applyProtection="1">
      <alignment vertical="center" shrinkToFit="1"/>
      <protection hidden="1"/>
    </xf>
    <xf numFmtId="0" fontId="108" fillId="24" borderId="52" xfId="0" applyNumberFormat="1" applyFont="1" applyFill="1" applyBorder="1" applyAlignment="1" applyProtection="1">
      <alignment horizontal="center" vertical="center"/>
      <protection hidden="1"/>
    </xf>
    <xf numFmtId="3" fontId="50" fillId="16" borderId="40" xfId="0" applyNumberFormat="1" applyFont="1" applyFill="1" applyBorder="1" applyAlignment="1" applyProtection="1">
      <alignment horizontal="right" vertical="center" shrinkToFit="1"/>
      <protection hidden="1"/>
    </xf>
    <xf numFmtId="0" fontId="106" fillId="22" borderId="52" xfId="0" applyFont="1" applyFill="1" applyBorder="1" applyAlignment="1" applyProtection="1">
      <alignment horizontal="center" vertical="center" wrapText="1"/>
      <protection hidden="1"/>
    </xf>
    <xf numFmtId="0" fontId="55" fillId="0" borderId="1" xfId="0" applyFont="1" applyFill="1" applyBorder="1" applyAlignment="1" applyProtection="1">
      <alignment horizontal="center" vertical="center" wrapText="1"/>
      <protection hidden="1"/>
    </xf>
    <xf numFmtId="0" fontId="114" fillId="22" borderId="52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/>
    <xf numFmtId="179" fontId="0" fillId="0" borderId="1" xfId="0" applyNumberFormat="1" applyBorder="1"/>
    <xf numFmtId="0" fontId="72" fillId="7" borderId="184" xfId="0" applyFont="1" applyFill="1" applyBorder="1" applyAlignment="1" applyProtection="1">
      <alignment horizontal="left" vertical="center"/>
      <protection hidden="1"/>
    </xf>
    <xf numFmtId="209" fontId="116" fillId="0" borderId="52" xfId="0" applyNumberFormat="1" applyFont="1" applyBorder="1" applyAlignment="1" applyProtection="1">
      <alignment horizontal="center" vertical="center"/>
      <protection locked="0"/>
    </xf>
    <xf numFmtId="173" fontId="116" fillId="0" borderId="52" xfId="0" applyNumberFormat="1" applyFont="1" applyBorder="1" applyAlignment="1" applyProtection="1">
      <alignment horizontal="center" vertical="center"/>
      <protection locked="0"/>
    </xf>
    <xf numFmtId="0" fontId="116" fillId="7" borderId="53" xfId="0" applyFont="1" applyFill="1" applyBorder="1" applyAlignment="1" applyProtection="1">
      <alignment horizontal="center" vertical="center"/>
      <protection hidden="1"/>
    </xf>
    <xf numFmtId="0" fontId="72" fillId="7" borderId="50" xfId="0" applyFont="1" applyFill="1" applyBorder="1" applyAlignment="1" applyProtection="1">
      <alignment horizontal="left" vertical="center"/>
      <protection hidden="1"/>
    </xf>
    <xf numFmtId="169" fontId="72" fillId="0" borderId="52" xfId="0" applyNumberFormat="1" applyFont="1" applyBorder="1" applyAlignment="1" applyProtection="1">
      <alignment horizontal="center" vertical="center"/>
      <protection locked="0"/>
    </xf>
    <xf numFmtId="169" fontId="72" fillId="0" borderId="52" xfId="0" applyNumberFormat="1" applyFont="1" applyFill="1" applyBorder="1" applyAlignment="1" applyProtection="1">
      <alignment vertical="center"/>
      <protection locked="0"/>
    </xf>
    <xf numFmtId="169" fontId="72" fillId="0" borderId="52" xfId="0" applyNumberFormat="1" applyFont="1" applyFill="1" applyBorder="1" applyAlignment="1" applyProtection="1">
      <alignment horizontal="right" vertical="center"/>
      <protection locked="0"/>
    </xf>
    <xf numFmtId="9" fontId="72" fillId="0" borderId="52" xfId="0" applyNumberFormat="1" applyFont="1" applyBorder="1" applyAlignment="1" applyProtection="1">
      <alignment vertical="center"/>
      <protection locked="0"/>
    </xf>
    <xf numFmtId="9" fontId="72" fillId="0" borderId="52" xfId="0" applyNumberFormat="1" applyFont="1" applyBorder="1" applyAlignment="1" applyProtection="1">
      <alignment horizontal="right" vertical="center"/>
      <protection locked="0"/>
    </xf>
    <xf numFmtId="10" fontId="72" fillId="0" borderId="52" xfId="0" applyNumberFormat="1" applyFont="1" applyBorder="1" applyAlignment="1" applyProtection="1">
      <alignment horizontal="center" vertical="center"/>
      <protection locked="0"/>
    </xf>
    <xf numFmtId="10" fontId="72" fillId="0" borderId="52" xfId="0" applyNumberFormat="1" applyFont="1" applyBorder="1" applyAlignment="1" applyProtection="1">
      <alignment horizontal="right" vertical="center"/>
      <protection locked="0"/>
    </xf>
    <xf numFmtId="169" fontId="72" fillId="8" borderId="52" xfId="0" applyNumberFormat="1" applyFont="1" applyFill="1" applyBorder="1" applyAlignment="1" applyProtection="1">
      <alignment horizontal="right" vertical="center"/>
      <protection hidden="1"/>
    </xf>
    <xf numFmtId="3" fontId="72" fillId="0" borderId="52" xfId="2" applyNumberFormat="1" applyFont="1" applyBorder="1" applyAlignment="1" applyProtection="1">
      <alignment horizontal="right" vertical="center"/>
      <protection locked="0"/>
    </xf>
    <xf numFmtId="3" fontId="72" fillId="0" borderId="52" xfId="0" applyNumberFormat="1" applyFont="1" applyFill="1" applyBorder="1" applyAlignment="1" applyProtection="1">
      <alignment horizontal="right" vertical="center"/>
      <protection locked="0"/>
    </xf>
    <xf numFmtId="170" fontId="72" fillId="8" borderId="52" xfId="0" applyNumberFormat="1" applyFont="1" applyFill="1" applyBorder="1" applyAlignment="1" applyProtection="1">
      <alignment horizontal="right" vertical="center"/>
      <protection hidden="1"/>
    </xf>
    <xf numFmtId="171" fontId="72" fillId="8" borderId="52" xfId="0" applyNumberFormat="1" applyFont="1" applyFill="1" applyBorder="1" applyAlignment="1" applyProtection="1">
      <alignment horizontal="right" vertical="center"/>
      <protection hidden="1"/>
    </xf>
    <xf numFmtId="171" fontId="72" fillId="8" borderId="53" xfId="0" applyNumberFormat="1" applyFont="1" applyFill="1" applyBorder="1" applyAlignment="1" applyProtection="1">
      <alignment horizontal="right" vertical="center" shrinkToFit="1"/>
      <protection hidden="1"/>
    </xf>
    <xf numFmtId="171" fontId="72" fillId="8" borderId="52" xfId="2" applyNumberFormat="1" applyFont="1" applyFill="1" applyBorder="1" applyAlignment="1" applyProtection="1">
      <alignment horizontal="right" vertical="center"/>
      <protection hidden="1"/>
    </xf>
    <xf numFmtId="0" fontId="72" fillId="7" borderId="79" xfId="0" applyFont="1" applyFill="1" applyBorder="1" applyAlignment="1" applyProtection="1">
      <alignment horizontal="left" vertical="center"/>
      <protection hidden="1"/>
    </xf>
    <xf numFmtId="169" fontId="72" fillId="0" borderId="52" xfId="0" applyNumberFormat="1" applyFont="1" applyBorder="1" applyAlignment="1" applyProtection="1">
      <alignment horizontal="right" vertical="center"/>
      <protection locked="0"/>
    </xf>
    <xf numFmtId="0" fontId="72" fillId="0" borderId="0" xfId="0" applyFont="1" applyFill="1" applyAlignment="1" applyProtection="1">
      <alignment horizontal="left" vertical="top"/>
      <protection hidden="1"/>
    </xf>
    <xf numFmtId="169" fontId="72" fillId="0" borderId="53" xfId="0" applyNumberFormat="1" applyFont="1" applyFill="1" applyBorder="1" applyAlignment="1" applyProtection="1">
      <alignment horizontal="right" vertical="center"/>
      <protection locked="0"/>
    </xf>
    <xf numFmtId="9" fontId="72" fillId="0" borderId="53" xfId="0" applyNumberFormat="1" applyFont="1" applyBorder="1" applyAlignment="1" applyProtection="1">
      <alignment horizontal="right" vertical="center"/>
      <protection locked="0"/>
    </xf>
    <xf numFmtId="10" fontId="72" fillId="0" borderId="53" xfId="0" applyNumberFormat="1" applyFont="1" applyBorder="1" applyAlignment="1" applyProtection="1">
      <alignment horizontal="right" vertical="center"/>
      <protection locked="0"/>
    </xf>
    <xf numFmtId="169" fontId="72" fillId="8" borderId="53" xfId="0" applyNumberFormat="1" applyFont="1" applyFill="1" applyBorder="1" applyAlignment="1" applyProtection="1">
      <alignment horizontal="right" vertical="center"/>
      <protection hidden="1"/>
    </xf>
    <xf numFmtId="3" fontId="72" fillId="0" borderId="53" xfId="0" applyNumberFormat="1" applyFont="1" applyFill="1" applyBorder="1" applyAlignment="1" applyProtection="1">
      <alignment horizontal="right" vertical="center"/>
      <protection locked="0"/>
    </xf>
    <xf numFmtId="170" fontId="72" fillId="8" borderId="53" xfId="0" applyNumberFormat="1" applyFont="1" applyFill="1" applyBorder="1" applyAlignment="1" applyProtection="1">
      <alignment horizontal="right" vertical="center"/>
      <protection hidden="1"/>
    </xf>
    <xf numFmtId="171" fontId="72" fillId="8" borderId="80" xfId="2" applyNumberFormat="1" applyFont="1" applyFill="1" applyBorder="1" applyAlignment="1" applyProtection="1">
      <alignment horizontal="right" vertical="center"/>
      <protection hidden="1"/>
    </xf>
    <xf numFmtId="171" fontId="72" fillId="8" borderId="238" xfId="0" applyNumberFormat="1" applyFont="1" applyFill="1" applyBorder="1" applyAlignment="1" applyProtection="1">
      <alignment horizontal="right" vertical="center" shrinkToFit="1"/>
      <protection hidden="1"/>
    </xf>
    <xf numFmtId="0" fontId="72" fillId="7" borderId="242" xfId="0" applyFont="1" applyFill="1" applyBorder="1" applyAlignment="1" applyProtection="1">
      <alignment horizontal="left" vertical="center"/>
      <protection hidden="1"/>
    </xf>
    <xf numFmtId="209" fontId="116" fillId="0" borderId="66" xfId="0" applyNumberFormat="1" applyFont="1" applyBorder="1" applyAlignment="1" applyProtection="1">
      <alignment horizontal="center" vertical="center"/>
      <protection locked="0"/>
    </xf>
    <xf numFmtId="173" fontId="116" fillId="0" borderId="66" xfId="0" applyNumberFormat="1" applyFont="1" applyBorder="1" applyAlignment="1" applyProtection="1">
      <alignment horizontal="center" vertical="center"/>
      <protection locked="0"/>
    </xf>
    <xf numFmtId="210" fontId="118" fillId="0" borderId="0" xfId="0" applyNumberFormat="1" applyFont="1"/>
    <xf numFmtId="210" fontId="119" fillId="0" borderId="0" xfId="0" applyNumberFormat="1" applyFont="1"/>
    <xf numFmtId="0" fontId="119" fillId="0" borderId="0" xfId="0" applyFont="1"/>
    <xf numFmtId="183" fontId="39" fillId="13" borderId="0" xfId="0" applyNumberFormat="1" applyFont="1" applyFill="1" applyBorder="1" applyAlignment="1" applyProtection="1">
      <alignment horizontal="right" vertical="center" shrinkToFit="1"/>
      <protection hidden="1"/>
    </xf>
    <xf numFmtId="179" fontId="56" fillId="0" borderId="174" xfId="0" applyNumberFormat="1" applyFont="1" applyFill="1" applyBorder="1" applyAlignment="1" applyProtection="1">
      <alignment vertical="center" shrinkToFit="1"/>
      <protection locked="0"/>
    </xf>
    <xf numFmtId="0" fontId="53" fillId="7" borderId="77" xfId="0" applyFont="1" applyFill="1" applyBorder="1" applyAlignment="1" applyProtection="1">
      <alignment vertical="center"/>
      <protection hidden="1"/>
    </xf>
    <xf numFmtId="172" fontId="72" fillId="8" borderId="52" xfId="2" applyNumberFormat="1" applyFont="1" applyFill="1" applyBorder="1" applyAlignment="1" applyProtection="1">
      <alignment horizontal="right" vertical="center"/>
      <protection hidden="1"/>
    </xf>
    <xf numFmtId="172" fontId="72" fillId="8" borderId="52" xfId="0" applyNumberFormat="1" applyFont="1" applyFill="1" applyBorder="1" applyAlignment="1" applyProtection="1">
      <alignment horizontal="right" vertical="center"/>
      <protection hidden="1"/>
    </xf>
    <xf numFmtId="0" fontId="53" fillId="7" borderId="248" xfId="0" applyFont="1" applyFill="1" applyBorder="1" applyAlignment="1" applyProtection="1">
      <alignment horizontal="left" vertical="center"/>
      <protection hidden="1"/>
    </xf>
    <xf numFmtId="0" fontId="9" fillId="0" borderId="56" xfId="0" applyFont="1" applyFill="1" applyBorder="1" applyAlignment="1" applyProtection="1">
      <alignment vertical="center"/>
      <protection locked="0"/>
    </xf>
    <xf numFmtId="0" fontId="22" fillId="0" borderId="73" xfId="0" applyFont="1" applyFill="1" applyBorder="1" applyAlignment="1" applyProtection="1">
      <alignment vertical="center" shrinkToFit="1"/>
      <protection locked="0"/>
    </xf>
    <xf numFmtId="186" fontId="39" fillId="0" borderId="258" xfId="0" applyNumberFormat="1" applyFont="1" applyFill="1" applyBorder="1" applyAlignment="1" applyProtection="1">
      <alignment horizontal="right" vertical="center" shrinkToFit="1"/>
      <protection hidden="1"/>
    </xf>
    <xf numFmtId="186" fontId="39" fillId="0" borderId="257" xfId="0" applyNumberFormat="1" applyFont="1" applyFill="1" applyBorder="1" applyAlignment="1" applyProtection="1">
      <alignment horizontal="right" vertical="center" shrinkToFit="1"/>
      <protection hidden="1"/>
    </xf>
    <xf numFmtId="170" fontId="40" fillId="0" borderId="52" xfId="852" applyNumberFormat="1" applyFont="1" applyBorder="1" applyAlignment="1" applyProtection="1">
      <alignment vertical="center" shrinkToFit="1"/>
      <protection locked="0"/>
    </xf>
    <xf numFmtId="170" fontId="40" fillId="0" borderId="57" xfId="852" applyNumberFormat="1" applyFont="1" applyBorder="1" applyAlignment="1" applyProtection="1">
      <alignment vertical="center" shrinkToFit="1"/>
      <protection locked="0"/>
    </xf>
    <xf numFmtId="170" fontId="40" fillId="0" borderId="56" xfId="852" applyNumberFormat="1" applyFont="1" applyBorder="1" applyAlignment="1" applyProtection="1">
      <alignment vertical="center" shrinkToFit="1"/>
      <protection locked="0"/>
    </xf>
    <xf numFmtId="170" fontId="40" fillId="0" borderId="58" xfId="852" applyNumberFormat="1" applyFont="1" applyBorder="1" applyAlignment="1" applyProtection="1">
      <alignment vertical="center" shrinkToFit="1"/>
      <protection locked="0"/>
    </xf>
    <xf numFmtId="0" fontId="74" fillId="16" borderId="118" xfId="0" applyFont="1" applyFill="1" applyBorder="1" applyAlignment="1" applyProtection="1">
      <alignment vertical="center"/>
      <protection hidden="1"/>
    </xf>
    <xf numFmtId="0" fontId="53" fillId="15" borderId="61" xfId="0" applyFont="1" applyFill="1" applyBorder="1" applyAlignment="1" applyProtection="1">
      <alignment horizontal="left" vertical="center"/>
      <protection locked="0" hidden="1"/>
    </xf>
    <xf numFmtId="0" fontId="40" fillId="0" borderId="86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62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63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64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65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90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66" xfId="0" applyNumberFormat="1" applyFont="1" applyFill="1" applyBorder="1" applyAlignment="1" applyProtection="1">
      <alignment horizontal="right" vertical="center" shrinkToFit="1"/>
      <protection locked="0"/>
    </xf>
    <xf numFmtId="2" fontId="40" fillId="0" borderId="261" xfId="0" applyNumberFormat="1" applyFont="1" applyFill="1" applyBorder="1" applyAlignment="1" applyProtection="1">
      <alignment horizontal="right" vertical="center" shrinkToFit="1"/>
      <protection locked="0"/>
    </xf>
    <xf numFmtId="0" fontId="78" fillId="15" borderId="147" xfId="0" applyFont="1" applyFill="1" applyBorder="1" applyAlignment="1" applyProtection="1">
      <alignment horizontal="left" vertical="center"/>
      <protection hidden="1"/>
    </xf>
    <xf numFmtId="0" fontId="78" fillId="15" borderId="61" xfId="0" applyFont="1" applyFill="1" applyBorder="1" applyAlignment="1" applyProtection="1">
      <alignment horizontal="left" vertical="center"/>
      <protection hidden="1"/>
    </xf>
    <xf numFmtId="0" fontId="78" fillId="15" borderId="62" xfId="0" applyFont="1" applyFill="1" applyBorder="1" applyAlignment="1" applyProtection="1">
      <alignment horizontal="left" vertical="center"/>
      <protection hidden="1"/>
    </xf>
    <xf numFmtId="183" fontId="40" fillId="13" borderId="268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77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48" xfId="0" applyNumberFormat="1" applyFont="1" applyFill="1" applyBorder="1" applyAlignment="1" applyProtection="1">
      <alignment horizontal="right" vertical="center" shrinkToFit="1"/>
      <protection hidden="1"/>
    </xf>
    <xf numFmtId="183" fontId="79" fillId="13" borderId="269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0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71" xfId="0" applyNumberFormat="1" applyFont="1" applyFill="1" applyBorder="1" applyAlignment="1" applyProtection="1">
      <alignment horizontal="right" vertical="center" shrinkToFit="1"/>
      <protection hidden="1"/>
    </xf>
    <xf numFmtId="0" fontId="53" fillId="15" borderId="61" xfId="0" applyFont="1" applyFill="1" applyBorder="1" applyAlignment="1" applyProtection="1">
      <alignment horizontal="left" vertical="center"/>
      <protection locked="0"/>
    </xf>
    <xf numFmtId="183" fontId="50" fillId="16" borderId="105" xfId="0" applyNumberFormat="1" applyFont="1" applyFill="1" applyBorder="1" applyAlignment="1" applyProtection="1">
      <alignment horizontal="right" vertical="center" shrinkToFit="1"/>
      <protection hidden="1"/>
    </xf>
    <xf numFmtId="3" fontId="40" fillId="0" borderId="86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62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63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64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65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90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66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2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3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4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5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89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6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58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277" xfId="0" applyNumberFormat="1" applyFont="1" applyFill="1" applyBorder="1" applyAlignment="1" applyProtection="1">
      <alignment horizontal="right" vertical="center" shrinkToFit="1"/>
      <protection locked="0"/>
    </xf>
    <xf numFmtId="3" fontId="40" fillId="0" borderId="54" xfId="0" applyNumberFormat="1" applyFont="1" applyFill="1" applyBorder="1" applyAlignment="1" applyProtection="1">
      <alignment horizontal="right" vertical="center" shrinkToFit="1"/>
      <protection locked="0"/>
    </xf>
    <xf numFmtId="183" fontId="39" fillId="13" borderId="278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2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3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4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5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89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6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58" xfId="0" applyNumberFormat="1" applyFont="1" applyFill="1" applyBorder="1" applyAlignment="1" applyProtection="1">
      <alignment horizontal="right" vertical="center" shrinkToFit="1"/>
      <protection hidden="1"/>
    </xf>
    <xf numFmtId="183" fontId="40" fillId="13" borderId="277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79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80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81" xfId="0" applyNumberFormat="1" applyFont="1" applyFill="1" applyBorder="1" applyAlignment="1" applyProtection="1">
      <alignment horizontal="right" vertical="center" shrinkToFit="1"/>
      <protection hidden="1"/>
    </xf>
    <xf numFmtId="179" fontId="40" fillId="0" borderId="273" xfId="0" applyNumberFormat="1" applyFont="1" applyFill="1" applyBorder="1" applyAlignment="1" applyProtection="1">
      <alignment horizontal="right" vertical="center" shrinkToFit="1"/>
      <protection locked="0"/>
    </xf>
    <xf numFmtId="179" fontId="40" fillId="0" borderId="274" xfId="0" applyNumberFormat="1" applyFont="1" applyFill="1" applyBorder="1" applyAlignment="1" applyProtection="1">
      <alignment horizontal="right" vertical="center" shrinkToFit="1"/>
      <protection locked="0"/>
    </xf>
    <xf numFmtId="1" fontId="40" fillId="0" borderId="275" xfId="0" applyNumberFormat="1" applyFont="1" applyFill="1" applyBorder="1" applyAlignment="1" applyProtection="1">
      <alignment horizontal="right" vertical="center" shrinkToFit="1"/>
      <protection locked="0"/>
    </xf>
    <xf numFmtId="1" fontId="40" fillId="11" borderId="275" xfId="0" applyNumberFormat="1" applyFont="1" applyFill="1" applyBorder="1" applyAlignment="1" applyProtection="1">
      <alignment horizontal="right" vertical="center" shrinkToFit="1"/>
    </xf>
    <xf numFmtId="1" fontId="40" fillId="11" borderId="52" xfId="0" applyNumberFormat="1" applyFont="1" applyFill="1" applyBorder="1" applyAlignment="1" applyProtection="1">
      <alignment horizontal="right" vertical="center" shrinkToFit="1"/>
    </xf>
    <xf numFmtId="1" fontId="40" fillId="11" borderId="89" xfId="0" applyNumberFormat="1" applyFont="1" applyFill="1" applyBorder="1" applyAlignment="1" applyProtection="1">
      <alignment horizontal="right" vertical="center" shrinkToFit="1"/>
    </xf>
    <xf numFmtId="1" fontId="40" fillId="0" borderId="276" xfId="0" applyNumberFormat="1" applyFont="1" applyFill="1" applyBorder="1" applyAlignment="1" applyProtection="1">
      <alignment horizontal="right" vertical="center" shrinkToFit="1"/>
      <protection locked="0"/>
    </xf>
    <xf numFmtId="1" fontId="40" fillId="0" borderId="258" xfId="0" applyNumberFormat="1" applyFont="1" applyFill="1" applyBorder="1" applyAlignment="1" applyProtection="1">
      <alignment horizontal="right" vertical="center" shrinkToFit="1"/>
      <protection locked="0"/>
    </xf>
    <xf numFmtId="1" fontId="40" fillId="0" borderId="277" xfId="0" applyNumberFormat="1" applyFont="1" applyFill="1" applyBorder="1" applyAlignment="1" applyProtection="1">
      <alignment horizontal="right" vertical="center" shrinkToFit="1"/>
      <protection locked="0"/>
    </xf>
    <xf numFmtId="0" fontId="75" fillId="15" borderId="88" xfId="0" applyFont="1" applyFill="1" applyBorder="1" applyAlignment="1" applyProtection="1">
      <alignment horizontal="left" vertical="center"/>
      <protection hidden="1"/>
    </xf>
    <xf numFmtId="0" fontId="53" fillId="15" borderId="61" xfId="0" applyFont="1" applyFill="1" applyBorder="1" applyAlignment="1" applyProtection="1">
      <alignment horizontal="left" vertical="center"/>
      <protection hidden="1"/>
    </xf>
    <xf numFmtId="179" fontId="40" fillId="5" borderId="73" xfId="0" applyNumberFormat="1" applyFont="1" applyFill="1" applyBorder="1" applyAlignment="1" applyProtection="1">
      <alignment horizontal="right" vertical="center" shrinkToFit="1"/>
      <protection hidden="1"/>
    </xf>
    <xf numFmtId="179" fontId="40" fillId="5" borderId="285" xfId="0" applyNumberFormat="1" applyFont="1" applyFill="1" applyBorder="1" applyAlignment="1" applyProtection="1">
      <alignment horizontal="right" vertical="center" shrinkToFit="1"/>
      <protection hidden="1"/>
    </xf>
    <xf numFmtId="0" fontId="40" fillId="5" borderId="272" xfId="0" applyNumberFormat="1" applyFont="1" applyFill="1" applyBorder="1" applyAlignment="1" applyProtection="1">
      <alignment horizontal="right" vertical="center" shrinkToFit="1"/>
      <protection hidden="1"/>
    </xf>
    <xf numFmtId="0" fontId="40" fillId="5" borderId="273" xfId="0" applyNumberFormat="1" applyFont="1" applyFill="1" applyBorder="1" applyAlignment="1" applyProtection="1">
      <alignment horizontal="right" vertical="center" shrinkToFit="1"/>
      <protection hidden="1"/>
    </xf>
    <xf numFmtId="0" fontId="40" fillId="5" borderId="274" xfId="0" applyNumberFormat="1" applyFont="1" applyFill="1" applyBorder="1" applyAlignment="1" applyProtection="1">
      <alignment horizontal="right" vertical="center" shrinkToFit="1"/>
      <protection hidden="1"/>
    </xf>
    <xf numFmtId="0" fontId="40" fillId="5" borderId="275" xfId="0" applyNumberFormat="1" applyFont="1" applyFill="1" applyBorder="1" applyAlignment="1" applyProtection="1">
      <alignment horizontal="right" vertical="center" shrinkToFit="1"/>
      <protection hidden="1"/>
    </xf>
    <xf numFmtId="0" fontId="40" fillId="5" borderId="89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5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89" xfId="0" applyNumberFormat="1" applyFont="1" applyFill="1" applyBorder="1" applyAlignment="1" applyProtection="1">
      <alignment horizontal="right" vertical="center" shrinkToFit="1"/>
      <protection hidden="1"/>
    </xf>
    <xf numFmtId="183" fontId="79" fillId="5" borderId="275" xfId="0" applyNumberFormat="1" applyFont="1" applyFill="1" applyBorder="1" applyAlignment="1" applyProtection="1">
      <alignment horizontal="right" vertical="center" shrinkToFit="1"/>
      <protection hidden="1"/>
    </xf>
    <xf numFmtId="183" fontId="79" fillId="5" borderId="89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6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58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7" xfId="0" applyNumberFormat="1" applyFont="1" applyFill="1" applyBorder="1" applyAlignment="1" applyProtection="1">
      <alignment horizontal="right" vertical="center" shrinkToFit="1"/>
      <protection hidden="1"/>
    </xf>
    <xf numFmtId="179" fontId="40" fillId="5" borderId="249" xfId="0" applyNumberFormat="1" applyFont="1" applyFill="1" applyBorder="1" applyAlignment="1" applyProtection="1">
      <alignment horizontal="right" vertical="center" shrinkToFit="1"/>
      <protection hidden="1"/>
    </xf>
    <xf numFmtId="179" fontId="40" fillId="5" borderId="286" xfId="0" applyNumberFormat="1" applyFont="1" applyFill="1" applyBorder="1" applyAlignment="1" applyProtection="1">
      <alignment horizontal="right" vertical="center" shrinkToFit="1"/>
      <protection hidden="1"/>
    </xf>
    <xf numFmtId="0" fontId="53" fillId="15" borderId="61" xfId="0" applyFont="1" applyFill="1" applyBorder="1" applyAlignment="1" applyProtection="1">
      <alignment horizontal="right" vertical="center"/>
      <protection locked="0" hidden="1"/>
    </xf>
    <xf numFmtId="183" fontId="39" fillId="13" borderId="73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85" xfId="0" applyNumberFormat="1" applyFont="1" applyFill="1" applyBorder="1" applyAlignment="1" applyProtection="1">
      <alignment horizontal="right" vertical="center" shrinkToFit="1"/>
      <protection hidden="1"/>
    </xf>
    <xf numFmtId="0" fontId="40" fillId="0" borderId="272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73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74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75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89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76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58" xfId="0" applyNumberFormat="1" applyFont="1" applyFill="1" applyBorder="1" applyAlignment="1" applyProtection="1">
      <alignment horizontal="right" vertical="center" shrinkToFit="1"/>
      <protection locked="0"/>
    </xf>
    <xf numFmtId="0" fontId="40" fillId="0" borderId="277" xfId="0" applyNumberFormat="1" applyFont="1" applyFill="1" applyBorder="1" applyAlignment="1" applyProtection="1">
      <alignment horizontal="right" vertical="center" shrinkToFit="1"/>
      <protection locked="0"/>
    </xf>
    <xf numFmtId="183" fontId="82" fillId="13" borderId="287" xfId="0" applyNumberFormat="1" applyFont="1" applyFill="1" applyBorder="1" applyAlignment="1" applyProtection="1">
      <alignment horizontal="right" vertical="center" shrinkToFit="1"/>
      <protection hidden="1"/>
    </xf>
    <xf numFmtId="183" fontId="82" fillId="13" borderId="288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90" xfId="0" applyNumberFormat="1" applyFont="1" applyFill="1" applyBorder="1" applyAlignment="1" applyProtection="1">
      <alignment horizontal="right" vertical="center" shrinkToFit="1"/>
      <protection hidden="1"/>
    </xf>
    <xf numFmtId="183" fontId="39" fillId="13" borderId="291" xfId="0" applyNumberFormat="1" applyFont="1" applyFill="1" applyBorder="1" applyAlignment="1" applyProtection="1">
      <alignment horizontal="right" vertical="center" shrinkToFit="1"/>
      <protection hidden="1"/>
    </xf>
    <xf numFmtId="0" fontId="0" fillId="0" borderId="272" xfId="0" applyBorder="1" applyAlignment="1" applyProtection="1">
      <alignment vertical="center" shrinkToFit="1"/>
      <protection hidden="1"/>
    </xf>
    <xf numFmtId="179" fontId="40" fillId="0" borderId="275" xfId="0" applyNumberFormat="1" applyFont="1" applyFill="1" applyBorder="1" applyAlignment="1" applyProtection="1">
      <alignment horizontal="right" vertical="center" shrinkToFit="1"/>
      <protection locked="0"/>
    </xf>
    <xf numFmtId="179" fontId="40" fillId="0" borderId="276" xfId="0" applyNumberFormat="1" applyFont="1" applyFill="1" applyBorder="1" applyAlignment="1" applyProtection="1">
      <alignment horizontal="right" vertical="center" shrinkToFit="1"/>
      <protection locked="0"/>
    </xf>
    <xf numFmtId="179" fontId="40" fillId="0" borderId="258" xfId="0" applyNumberFormat="1" applyFont="1" applyFill="1" applyBorder="1" applyAlignment="1" applyProtection="1">
      <alignment horizontal="right" vertical="center" shrinkToFit="1"/>
      <protection locked="0"/>
    </xf>
    <xf numFmtId="179" fontId="40" fillId="0" borderId="277" xfId="0" applyNumberFormat="1" applyFont="1" applyFill="1" applyBorder="1" applyAlignment="1" applyProtection="1">
      <alignment horizontal="right" vertical="center" shrinkToFit="1"/>
      <protection locked="0"/>
    </xf>
    <xf numFmtId="0" fontId="74" fillId="16" borderId="292" xfId="0" applyFont="1" applyFill="1" applyBorder="1" applyAlignment="1" applyProtection="1">
      <alignment vertical="center"/>
      <protection hidden="1"/>
    </xf>
    <xf numFmtId="179" fontId="56" fillId="0" borderId="295" xfId="0" applyNumberFormat="1" applyFont="1" applyFill="1" applyBorder="1" applyAlignment="1" applyProtection="1">
      <alignment vertical="center" shrinkToFit="1"/>
      <protection hidden="1"/>
    </xf>
    <xf numFmtId="182" fontId="40" fillId="0" borderId="272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273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274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276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258" xfId="0" applyNumberFormat="1" applyFont="1" applyFill="1" applyBorder="1" applyAlignment="1" applyProtection="1">
      <alignment horizontal="right" vertical="center" shrinkToFit="1"/>
      <protection locked="0"/>
    </xf>
    <xf numFmtId="182" fontId="40" fillId="0" borderId="277" xfId="0" applyNumberFormat="1" applyFont="1" applyFill="1" applyBorder="1" applyAlignment="1" applyProtection="1">
      <alignment horizontal="right" vertical="center" shrinkToFit="1"/>
      <protection locked="0"/>
    </xf>
    <xf numFmtId="183" fontId="40" fillId="13" borderId="73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2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3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4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5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89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6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58" xfId="0" applyNumberFormat="1" applyFont="1" applyFill="1" applyBorder="1" applyAlignment="1" applyProtection="1">
      <alignment horizontal="right" vertical="center" shrinkToFit="1"/>
      <protection hidden="1"/>
    </xf>
    <xf numFmtId="200" fontId="40" fillId="5" borderId="277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2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3" xfId="0" applyNumberFormat="1" applyFont="1" applyFill="1" applyBorder="1" applyAlignment="1" applyProtection="1">
      <alignment horizontal="right" vertical="center" shrinkToFit="1"/>
      <protection hidden="1"/>
    </xf>
    <xf numFmtId="183" fontId="40" fillId="5" borderId="274" xfId="0" applyNumberFormat="1" applyFont="1" applyFill="1" applyBorder="1" applyAlignment="1" applyProtection="1">
      <alignment horizontal="right" vertical="center" shrinkToFi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38" fillId="4" borderId="0" xfId="0" applyFont="1" applyFill="1" applyBorder="1" applyAlignment="1" applyProtection="1">
      <alignment horizontal="center" vertical="center"/>
      <protection hidden="1"/>
    </xf>
    <xf numFmtId="0" fontId="53" fillId="7" borderId="319" xfId="0" applyFont="1" applyFill="1" applyBorder="1" applyAlignment="1" applyProtection="1">
      <alignment horizontal="left" vertical="center"/>
      <protection hidden="1"/>
    </xf>
    <xf numFmtId="0" fontId="53" fillId="7" borderId="247" xfId="0" applyFont="1" applyFill="1" applyBorder="1" applyAlignment="1" applyProtection="1">
      <alignment vertical="center"/>
      <protection hidden="1"/>
    </xf>
    <xf numFmtId="0" fontId="69" fillId="0" borderId="1" xfId="0" applyNumberFormat="1" applyFont="1" applyFill="1" applyBorder="1" applyAlignment="1" applyProtection="1">
      <alignment horizontal="center" vertical="center"/>
      <protection hidden="1"/>
    </xf>
    <xf numFmtId="0" fontId="53" fillId="0" borderId="0" xfId="0" applyFont="1" applyFill="1" applyBorder="1" applyAlignment="1" applyProtection="1">
      <alignment vertical="center"/>
      <protection locked="0" hidden="1"/>
    </xf>
    <xf numFmtId="188" fontId="0" fillId="0" borderId="8" xfId="0" applyNumberFormat="1" applyFill="1" applyBorder="1" applyAlignment="1" applyProtection="1">
      <alignment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188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vertical="center" wrapText="1"/>
      <protection hidden="1"/>
    </xf>
    <xf numFmtId="188" fontId="0" fillId="0" borderId="14" xfId="0" applyNumberFormat="1" applyFill="1" applyBorder="1" applyAlignment="1" applyProtection="1">
      <alignment vertical="center"/>
      <protection hidden="1"/>
    </xf>
    <xf numFmtId="0" fontId="69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/>
      <protection hidden="1"/>
    </xf>
    <xf numFmtId="0" fontId="0" fillId="0" borderId="0" xfId="0" applyNumberForma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Alignment="1" applyProtection="1">
      <alignment vertical="center" wrapText="1"/>
      <protection hidden="1"/>
    </xf>
    <xf numFmtId="0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 wrapText="1"/>
      <protection hidden="1"/>
    </xf>
    <xf numFmtId="174" fontId="0" fillId="0" borderId="0" xfId="0" applyNumberFormat="1" applyFill="1" applyBorder="1" applyAlignment="1" applyProtection="1">
      <alignment horizontal="center" vertical="center"/>
      <protection hidden="1"/>
    </xf>
    <xf numFmtId="178" fontId="8" fillId="0" borderId="52" xfId="0" quotePrefix="1" applyNumberFormat="1" applyFont="1" applyFill="1" applyBorder="1" applyAlignment="1" applyProtection="1">
      <alignment horizontal="right" vertical="center"/>
      <protection locked="0"/>
    </xf>
    <xf numFmtId="0" fontId="8" fillId="0" borderId="56" xfId="0" applyFont="1" applyFill="1" applyBorder="1" applyAlignment="1" applyProtection="1">
      <alignment vertical="center"/>
      <protection locked="0"/>
    </xf>
    <xf numFmtId="189" fontId="0" fillId="0" borderId="1" xfId="0" applyNumberFormat="1" applyFill="1" applyBorder="1" applyAlignment="1" applyProtection="1">
      <alignment horizontal="center" vertical="center"/>
      <protection hidden="1"/>
    </xf>
    <xf numFmtId="189" fontId="0" fillId="0" borderId="16" xfId="0" applyNumberFormat="1" applyFill="1" applyBorder="1" applyAlignment="1" applyProtection="1">
      <alignment horizontal="center" vertical="center"/>
      <protection hidden="1"/>
    </xf>
    <xf numFmtId="0" fontId="7" fillId="0" borderId="58" xfId="0" applyFont="1" applyFill="1" applyBorder="1" applyAlignment="1" applyProtection="1">
      <alignment vertical="center"/>
      <protection locked="0"/>
    </xf>
    <xf numFmtId="0" fontId="23" fillId="0" borderId="73" xfId="0" applyFont="1" applyFill="1" applyBorder="1" applyAlignment="1" applyProtection="1">
      <alignment horizontal="left" vertical="center"/>
    </xf>
    <xf numFmtId="0" fontId="23" fillId="0" borderId="57" xfId="0" applyFont="1" applyFill="1" applyBorder="1" applyAlignment="1" applyProtection="1">
      <alignment vertical="center"/>
    </xf>
    <xf numFmtId="0" fontId="13" fillId="0" borderId="320" xfId="0" applyFont="1" applyFill="1" applyBorder="1" applyAlignment="1" applyProtection="1">
      <alignment vertical="center"/>
    </xf>
    <xf numFmtId="0" fontId="6" fillId="0" borderId="1" xfId="0" applyFont="1" applyFill="1" applyBorder="1" applyAlignment="1" applyProtection="1">
      <alignment vertical="center"/>
      <protection locked="0"/>
    </xf>
    <xf numFmtId="212" fontId="52" fillId="0" borderId="52" xfId="0" applyNumberFormat="1" applyFont="1" applyBorder="1" applyAlignment="1" applyProtection="1">
      <alignment horizontal="center" vertical="center"/>
      <protection locked="0"/>
    </xf>
    <xf numFmtId="209" fontId="52" fillId="0" borderId="52" xfId="0" applyNumberFormat="1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left" vertical="center"/>
      <protection locked="0"/>
    </xf>
    <xf numFmtId="15" fontId="123" fillId="0" borderId="0" xfId="0" applyNumberFormat="1" applyFont="1" applyBorder="1" applyProtection="1">
      <protection locked="0"/>
    </xf>
    <xf numFmtId="0" fontId="123" fillId="0" borderId="0" xfId="0" applyFont="1" applyBorder="1" applyProtection="1">
      <protection locked="0"/>
    </xf>
    <xf numFmtId="0" fontId="124" fillId="22" borderId="141" xfId="0" applyFont="1" applyFill="1" applyBorder="1" applyAlignment="1" applyProtection="1">
      <alignment horizontal="right" vertical="center"/>
      <protection hidden="1"/>
    </xf>
    <xf numFmtId="0" fontId="125" fillId="33" borderId="1" xfId="0" applyFont="1" applyFill="1" applyBorder="1" applyAlignment="1" applyProtection="1">
      <alignment horizontal="left" vertical="top"/>
      <protection hidden="1"/>
    </xf>
    <xf numFmtId="0" fontId="125" fillId="33" borderId="1" xfId="0" applyFont="1" applyFill="1" applyBorder="1" applyAlignment="1" applyProtection="1">
      <alignment horizontal="left" vertical="top"/>
      <protection locked="0"/>
    </xf>
    <xf numFmtId="15" fontId="125" fillId="33" borderId="1" xfId="0" applyNumberFormat="1" applyFont="1" applyFill="1" applyBorder="1" applyAlignment="1" applyProtection="1">
      <alignment horizontal="left" vertical="top"/>
      <protection locked="0"/>
    </xf>
    <xf numFmtId="0" fontId="125" fillId="35" borderId="1" xfId="0" applyFont="1" applyFill="1" applyBorder="1" applyAlignment="1" applyProtection="1">
      <alignment horizontal="left" vertical="top"/>
      <protection hidden="1"/>
    </xf>
    <xf numFmtId="0" fontId="125" fillId="35" borderId="1" xfId="0" applyFont="1" applyFill="1" applyBorder="1" applyAlignment="1" applyProtection="1">
      <alignment horizontal="left" vertical="top" wrapText="1"/>
      <protection locked="0"/>
    </xf>
    <xf numFmtId="0" fontId="125" fillId="35" borderId="1" xfId="0" applyFont="1" applyFill="1" applyBorder="1" applyAlignment="1" applyProtection="1">
      <alignment horizontal="left" vertical="top"/>
      <protection locked="0"/>
    </xf>
    <xf numFmtId="15" fontId="125" fillId="35" borderId="1" xfId="0" applyNumberFormat="1" applyFont="1" applyFill="1" applyBorder="1" applyAlignment="1" applyProtection="1">
      <alignment horizontal="left" vertical="top"/>
      <protection locked="0"/>
    </xf>
    <xf numFmtId="0" fontId="126" fillId="24" borderId="52" xfId="0" applyNumberFormat="1" applyFont="1" applyFill="1" applyBorder="1" applyAlignment="1" applyProtection="1">
      <alignment horizontal="center" vertical="center"/>
      <protection hidden="1"/>
    </xf>
    <xf numFmtId="0" fontId="127" fillId="24" borderId="52" xfId="0" applyNumberFormat="1" applyFont="1" applyFill="1" applyBorder="1" applyAlignment="1" applyProtection="1">
      <alignment horizontal="center" vertical="center"/>
      <protection hidden="1"/>
    </xf>
    <xf numFmtId="186" fontId="128" fillId="0" borderId="137" xfId="0" applyNumberFormat="1" applyFont="1" applyBorder="1" applyAlignment="1" applyProtection="1">
      <alignment vertical="center" shrinkToFit="1"/>
      <protection locked="0"/>
    </xf>
    <xf numFmtId="15" fontId="125" fillId="13" borderId="1" xfId="0" applyNumberFormat="1" applyFont="1" applyFill="1" applyBorder="1" applyAlignment="1" applyProtection="1">
      <alignment horizontal="left" vertical="top"/>
      <protection locked="0"/>
    </xf>
    <xf numFmtId="0" fontId="125" fillId="13" borderId="1" xfId="0" applyFont="1" applyFill="1" applyBorder="1" applyAlignment="1" applyProtection="1">
      <alignment horizontal="left" vertical="top" wrapText="1"/>
      <protection locked="0"/>
    </xf>
    <xf numFmtId="0" fontId="125" fillId="13" borderId="1" xfId="0" applyFont="1" applyFill="1" applyBorder="1" applyAlignment="1" applyProtection="1">
      <alignment horizontal="left" vertical="top"/>
      <protection locked="0"/>
    </xf>
    <xf numFmtId="15" fontId="123" fillId="0" borderId="145" xfId="0" applyNumberFormat="1" applyFont="1" applyBorder="1" applyProtection="1">
      <protection locked="0"/>
    </xf>
    <xf numFmtId="0" fontId="123" fillId="0" borderId="145" xfId="0" applyFont="1" applyBorder="1" applyProtection="1">
      <protection locked="0"/>
    </xf>
    <xf numFmtId="0" fontId="124" fillId="22" borderId="134" xfId="0" applyFont="1" applyFill="1" applyBorder="1" applyAlignment="1" applyProtection="1">
      <alignment horizontal="left" vertical="center"/>
      <protection hidden="1"/>
    </xf>
    <xf numFmtId="0" fontId="124" fillId="22" borderId="61" xfId="0" applyFont="1" applyFill="1" applyBorder="1" applyAlignment="1" applyProtection="1">
      <alignment horizontal="left" vertical="center"/>
      <protection hidden="1"/>
    </xf>
    <xf numFmtId="0" fontId="124" fillId="22" borderId="61" xfId="0" applyFont="1" applyFill="1" applyBorder="1" applyAlignment="1" applyProtection="1">
      <alignment vertical="center" shrinkToFit="1"/>
      <protection hidden="1"/>
    </xf>
    <xf numFmtId="0" fontId="125" fillId="24" borderId="73" xfId="0" applyFont="1" applyFill="1" applyBorder="1" applyAlignment="1" applyProtection="1">
      <alignment horizontal="center" vertical="center" shrinkToFit="1"/>
      <protection hidden="1"/>
    </xf>
    <xf numFmtId="0" fontId="124" fillId="22" borderId="73" xfId="0" applyFont="1" applyFill="1" applyBorder="1" applyAlignment="1" applyProtection="1">
      <alignment vertical="center"/>
      <protection hidden="1"/>
    </xf>
    <xf numFmtId="0" fontId="123" fillId="24" borderId="73" xfId="0" applyFont="1" applyFill="1" applyBorder="1" applyAlignment="1" applyProtection="1">
      <alignment horizontal="right" vertical="center" shrinkToFit="1"/>
      <protection hidden="1"/>
    </xf>
    <xf numFmtId="180" fontId="128" fillId="0" borderId="52" xfId="0" applyNumberFormat="1" applyFont="1" applyBorder="1" applyAlignment="1" applyProtection="1">
      <alignment vertical="center" shrinkToFit="1"/>
      <protection locked="0"/>
    </xf>
    <xf numFmtId="0" fontId="125" fillId="0" borderId="137" xfId="0" applyFont="1" applyFill="1" applyBorder="1" applyAlignment="1" applyProtection="1">
      <alignment horizontal="center" vertical="center" shrinkToFit="1"/>
      <protection locked="0"/>
    </xf>
    <xf numFmtId="0" fontId="124" fillId="22" borderId="137" xfId="0" applyFont="1" applyFill="1" applyBorder="1" applyAlignment="1" applyProtection="1">
      <alignment vertical="center"/>
      <protection hidden="1"/>
    </xf>
    <xf numFmtId="176" fontId="123" fillId="24" borderId="137" xfId="0" applyNumberFormat="1" applyFont="1" applyFill="1" applyBorder="1" applyAlignment="1" applyProtection="1">
      <alignment horizontal="right" vertical="center" shrinkToFit="1"/>
      <protection hidden="1"/>
    </xf>
    <xf numFmtId="0" fontId="124" fillId="10" borderId="0" xfId="0" applyFont="1" applyFill="1" applyBorder="1" applyAlignment="1" applyProtection="1">
      <alignment horizontal="left" vertical="center"/>
      <protection hidden="1"/>
    </xf>
    <xf numFmtId="0" fontId="123" fillId="10" borderId="0" xfId="0" applyFont="1" applyFill="1" applyBorder="1" applyAlignment="1" applyProtection="1">
      <alignment vertical="center" shrinkToFit="1"/>
      <protection hidden="1"/>
    </xf>
    <xf numFmtId="0" fontId="124" fillId="10" borderId="0" xfId="0" applyFont="1" applyFill="1" applyBorder="1" applyAlignment="1" applyProtection="1">
      <alignment horizontal="left" vertical="center" shrinkToFit="1"/>
      <protection hidden="1"/>
    </xf>
    <xf numFmtId="177" fontId="123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124" fillId="10" borderId="0" xfId="0" applyFont="1" applyFill="1" applyBorder="1" applyAlignment="1" applyProtection="1">
      <alignment horizontal="left" vertical="top" shrinkToFit="1"/>
      <protection hidden="1"/>
    </xf>
    <xf numFmtId="0" fontId="123" fillId="10" borderId="0" xfId="0" applyFont="1" applyFill="1" applyBorder="1" applyAlignment="1" applyProtection="1">
      <alignment horizontal="center" vertical="top" shrinkToFit="1"/>
      <protection hidden="1"/>
    </xf>
    <xf numFmtId="176" fontId="123" fillId="10" borderId="0" xfId="0" applyNumberFormat="1" applyFont="1" applyFill="1" applyBorder="1" applyAlignment="1" applyProtection="1">
      <alignment horizontal="left" vertical="center" shrinkToFit="1"/>
      <protection hidden="1"/>
    </xf>
    <xf numFmtId="0" fontId="131" fillId="22" borderId="54" xfId="0" applyFont="1" applyFill="1" applyBorder="1" applyAlignment="1" applyProtection="1">
      <alignment horizontal="center" vertical="center" wrapText="1"/>
      <protection hidden="1"/>
    </xf>
    <xf numFmtId="0" fontId="125" fillId="13" borderId="1" xfId="0" applyFont="1" applyFill="1" applyBorder="1" applyAlignment="1" applyProtection="1">
      <alignment horizontal="left" vertical="top"/>
      <protection hidden="1"/>
    </xf>
    <xf numFmtId="0" fontId="124" fillId="22" borderId="326" xfId="0" applyFont="1" applyFill="1" applyBorder="1" applyAlignment="1" applyProtection="1">
      <alignment horizontal="right" vertical="center"/>
      <protection hidden="1"/>
    </xf>
    <xf numFmtId="0" fontId="124" fillId="22" borderId="327" xfId="0" applyFont="1" applyFill="1" applyBorder="1" applyAlignment="1" applyProtection="1">
      <alignment horizontal="left" vertical="center"/>
      <protection locked="0"/>
    </xf>
    <xf numFmtId="0" fontId="124" fillId="22" borderId="77" xfId="0" applyFont="1" applyFill="1" applyBorder="1" applyAlignment="1" applyProtection="1">
      <alignment vertical="center"/>
      <protection locked="0"/>
    </xf>
    <xf numFmtId="0" fontId="124" fillId="22" borderId="64" xfId="0" applyFont="1" applyFill="1" applyBorder="1" applyAlignment="1" applyProtection="1">
      <alignment vertical="center"/>
      <protection locked="0"/>
    </xf>
    <xf numFmtId="0" fontId="124" fillId="22" borderId="140" xfId="0" applyFont="1" applyFill="1" applyBorder="1" applyAlignment="1" applyProtection="1">
      <alignment vertical="center"/>
      <protection locked="0"/>
    </xf>
    <xf numFmtId="0" fontId="131" fillId="22" borderId="52" xfId="0" applyFont="1" applyFill="1" applyBorder="1" applyAlignment="1" applyProtection="1">
      <alignment horizontal="center" vertical="center" wrapText="1"/>
      <protection hidden="1"/>
    </xf>
    <xf numFmtId="0" fontId="124" fillId="22" borderId="77" xfId="0" applyFont="1" applyFill="1" applyBorder="1" applyAlignment="1" applyProtection="1">
      <alignment horizontal="left" vertical="center"/>
      <protection locked="0"/>
    </xf>
    <xf numFmtId="0" fontId="124" fillId="22" borderId="144" xfId="0" applyFont="1" applyFill="1" applyBorder="1" applyAlignment="1" applyProtection="1">
      <alignment horizontal="right" vertical="center"/>
      <protection hidden="1"/>
    </xf>
    <xf numFmtId="0" fontId="40" fillId="35" borderId="0" xfId="0" applyFont="1" applyFill="1" applyProtection="1">
      <protection hidden="1"/>
    </xf>
    <xf numFmtId="15" fontId="125" fillId="33" borderId="1" xfId="0" applyNumberFormat="1" applyFont="1" applyFill="1" applyBorder="1" applyAlignment="1" applyProtection="1">
      <alignment horizontal="left" vertical="top" wrapText="1"/>
      <protection locked="0"/>
    </xf>
    <xf numFmtId="0" fontId="123" fillId="35" borderId="1" xfId="0" applyFont="1" applyFill="1" applyBorder="1" applyAlignment="1" applyProtection="1">
      <alignment horizontal="left" vertical="top"/>
      <protection locked="0"/>
    </xf>
    <xf numFmtId="15" fontId="123" fillId="35" borderId="1" xfId="0" applyNumberFormat="1" applyFont="1" applyFill="1" applyBorder="1" applyAlignment="1" applyProtection="1">
      <alignment horizontal="left" vertical="top"/>
      <protection locked="0"/>
    </xf>
    <xf numFmtId="0" fontId="123" fillId="0" borderId="1" xfId="0" applyFont="1" applyBorder="1" applyAlignment="1" applyProtection="1">
      <alignment vertical="center"/>
      <protection locked="0"/>
    </xf>
    <xf numFmtId="15" fontId="123" fillId="0" borderId="1" xfId="0" applyNumberFormat="1" applyFont="1" applyBorder="1" applyAlignment="1" applyProtection="1">
      <alignment horizontal="center" vertical="center"/>
      <protection locked="0"/>
    </xf>
    <xf numFmtId="0" fontId="125" fillId="33" borderId="1" xfId="0" applyFont="1" applyFill="1" applyBorder="1" applyAlignment="1" applyProtection="1">
      <alignment horizontal="left" vertical="top" wrapText="1"/>
      <protection locked="0"/>
    </xf>
    <xf numFmtId="0" fontId="124" fillId="22" borderId="52" xfId="0" applyFont="1" applyFill="1" applyBorder="1" applyAlignment="1" applyProtection="1">
      <alignment horizontal="center" vertical="center" wrapText="1"/>
      <protection hidden="1"/>
    </xf>
    <xf numFmtId="0" fontId="124" fillId="22" borderId="54" xfId="0" applyFont="1" applyFill="1" applyBorder="1" applyAlignment="1" applyProtection="1">
      <alignment horizontal="center" vertical="center" wrapText="1"/>
      <protection hidden="1"/>
    </xf>
    <xf numFmtId="15" fontId="125" fillId="4" borderId="1" xfId="0" applyNumberFormat="1" applyFont="1" applyFill="1" applyBorder="1" applyAlignment="1" applyProtection="1">
      <alignment horizontal="left" vertical="top"/>
      <protection locked="0"/>
    </xf>
    <xf numFmtId="0" fontId="128" fillId="0" borderId="52" xfId="0" applyNumberFormat="1" applyFont="1" applyBorder="1" applyAlignment="1" applyProtection="1">
      <alignment vertical="center" shrinkToFit="1"/>
      <protection locked="0"/>
    </xf>
    <xf numFmtId="0" fontId="124" fillId="22" borderId="327" xfId="0" applyFont="1" applyFill="1" applyBorder="1" applyAlignment="1" applyProtection="1">
      <alignment vertical="center"/>
      <protection locked="0"/>
    </xf>
    <xf numFmtId="0" fontId="125" fillId="4" borderId="1" xfId="0" applyFont="1" applyFill="1" applyBorder="1" applyAlignment="1" applyProtection="1">
      <alignment horizontal="left" vertical="top"/>
      <protection hidden="1"/>
    </xf>
    <xf numFmtId="0" fontId="125" fillId="4" borderId="1" xfId="0" applyFont="1" applyFill="1" applyBorder="1" applyAlignment="1" applyProtection="1">
      <alignment horizontal="left" vertical="top" wrapText="1"/>
      <protection locked="0"/>
    </xf>
    <xf numFmtId="0" fontId="125" fillId="4" borderId="1" xfId="0" applyFont="1" applyFill="1" applyBorder="1" applyAlignment="1" applyProtection="1">
      <alignment horizontal="left" vertical="top"/>
      <protection locked="0"/>
    </xf>
    <xf numFmtId="0" fontId="125" fillId="4" borderId="141" xfId="0" applyFont="1" applyFill="1" applyBorder="1" applyAlignment="1" applyProtection="1">
      <alignment horizontal="right" vertical="center"/>
      <protection hidden="1"/>
    </xf>
    <xf numFmtId="0" fontId="125" fillId="4" borderId="77" xfId="0" applyFont="1" applyFill="1" applyBorder="1" applyAlignment="1" applyProtection="1">
      <alignment vertical="center"/>
      <protection locked="0"/>
    </xf>
    <xf numFmtId="15" fontId="125" fillId="4" borderId="0" xfId="0" applyNumberFormat="1" applyFont="1" applyFill="1" applyBorder="1" applyProtection="1">
      <protection locked="0"/>
    </xf>
    <xf numFmtId="0" fontId="132" fillId="13" borderId="1" xfId="0" applyFont="1" applyFill="1" applyBorder="1" applyAlignment="1" applyProtection="1">
      <alignment horizontal="left" vertical="top" wrapText="1"/>
      <protection locked="0"/>
    </xf>
    <xf numFmtId="188" fontId="0" fillId="0" borderId="1" xfId="0" applyNumberFormat="1" applyFill="1" applyBorder="1" applyAlignment="1" applyProtection="1">
      <alignment horizontal="left" vertical="center" indent="1"/>
      <protection hidden="1"/>
    </xf>
    <xf numFmtId="183" fontId="40" fillId="0" borderId="273" xfId="0" applyNumberFormat="1" applyFont="1" applyFill="1" applyBorder="1" applyAlignment="1" applyProtection="1">
      <alignment horizontal="righ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3" fontId="40" fillId="0" borderId="261" xfId="0" applyNumberFormat="1" applyFont="1" applyFill="1" applyBorder="1" applyAlignment="1" applyProtection="1">
      <alignment horizontal="right" vertical="center" shrinkToFit="1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1" fillId="0" borderId="61" xfId="0" applyFont="1" applyFill="1" applyBorder="1" applyAlignment="1" applyProtection="1">
      <alignment horizontal="left" vertical="center"/>
      <protection locked="0"/>
    </xf>
    <xf numFmtId="0" fontId="1" fillId="0" borderId="62" xfId="0" applyFont="1" applyFill="1" applyBorder="1" applyAlignment="1" applyProtection="1">
      <alignment vertical="center"/>
      <protection locked="0"/>
    </xf>
    <xf numFmtId="0" fontId="134" fillId="4" borderId="0" xfId="0" applyFont="1" applyFill="1" applyProtection="1">
      <protection hidden="1"/>
    </xf>
    <xf numFmtId="0" fontId="135" fillId="4" borderId="0" xfId="0" applyFont="1" applyFill="1" applyProtection="1">
      <protection hidden="1"/>
    </xf>
    <xf numFmtId="0" fontId="136" fillId="4" borderId="6" xfId="0" applyFont="1" applyFill="1" applyBorder="1" applyAlignment="1" applyProtection="1">
      <alignment vertical="center"/>
      <protection hidden="1"/>
    </xf>
    <xf numFmtId="0" fontId="136" fillId="4" borderId="21" xfId="0" applyFont="1" applyFill="1" applyBorder="1" applyAlignment="1" applyProtection="1">
      <alignment vertical="center"/>
      <protection hidden="1"/>
    </xf>
    <xf numFmtId="0" fontId="136" fillId="4" borderId="4" xfId="0" applyFont="1" applyFill="1" applyBorder="1" applyAlignment="1" applyProtection="1">
      <alignment vertical="center"/>
      <protection hidden="1"/>
    </xf>
    <xf numFmtId="0" fontId="136" fillId="4" borderId="0" xfId="0" applyFont="1" applyFill="1" applyBorder="1" applyAlignment="1" applyProtection="1">
      <alignment horizontal="center" vertical="center"/>
      <protection hidden="1"/>
    </xf>
    <xf numFmtId="0" fontId="68" fillId="2" borderId="226" xfId="0" applyFont="1" applyFill="1" applyBorder="1" applyAlignment="1" applyProtection="1">
      <alignment vertical="top"/>
      <protection hidden="1"/>
    </xf>
    <xf numFmtId="0" fontId="68" fillId="2" borderId="234" xfId="0" applyFont="1" applyFill="1" applyBorder="1" applyAlignment="1" applyProtection="1">
      <alignment vertical="top" wrapText="1"/>
      <protection hidden="1"/>
    </xf>
    <xf numFmtId="181" fontId="136" fillId="0" borderId="1" xfId="0" applyNumberFormat="1" applyFont="1" applyFill="1" applyBorder="1" applyAlignment="1" applyProtection="1">
      <alignment horizontal="center" vertical="center" wrapText="1"/>
      <protection hidden="1"/>
    </xf>
    <xf numFmtId="181" fontId="136" fillId="0" borderId="1" xfId="0" applyNumberFormat="1" applyFont="1" applyFill="1" applyBorder="1" applyAlignment="1" applyProtection="1">
      <alignment horizontal="left" vertical="top" wrapText="1"/>
      <protection hidden="1"/>
    </xf>
    <xf numFmtId="181" fontId="136" fillId="0" borderId="235" xfId="0" applyNumberFormat="1" applyFont="1" applyFill="1" applyBorder="1" applyAlignment="1" applyProtection="1">
      <alignment horizontal="left" vertical="top" wrapText="1"/>
      <protection hidden="1"/>
    </xf>
    <xf numFmtId="0" fontId="68" fillId="2" borderId="236" xfId="0" applyFont="1" applyFill="1" applyBorder="1" applyAlignment="1" applyProtection="1">
      <alignment vertical="top" wrapText="1"/>
      <protection hidden="1"/>
    </xf>
    <xf numFmtId="181" fontId="136" fillId="0" borderId="229" xfId="0" applyNumberFormat="1" applyFont="1" applyFill="1" applyBorder="1" applyAlignment="1" applyProtection="1">
      <alignment horizontal="left" vertical="top" wrapText="1"/>
      <protection hidden="1"/>
    </xf>
    <xf numFmtId="181" fontId="136" fillId="0" borderId="230" xfId="0" applyNumberFormat="1" applyFont="1" applyFill="1" applyBorder="1" applyAlignment="1" applyProtection="1">
      <alignment horizontal="left" vertical="top" wrapText="1"/>
      <protection hidden="1"/>
    </xf>
    <xf numFmtId="0" fontId="68" fillId="0" borderId="0" xfId="0" applyFont="1" applyFill="1" applyBorder="1" applyAlignment="1" applyProtection="1">
      <alignment vertical="top" wrapText="1"/>
      <protection hidden="1"/>
    </xf>
    <xf numFmtId="181" fontId="136" fillId="0" borderId="0" xfId="0" applyNumberFormat="1" applyFont="1" applyFill="1" applyBorder="1" applyAlignment="1" applyProtection="1">
      <alignment horizontal="left" vertical="top" wrapText="1"/>
      <protection hidden="1"/>
    </xf>
    <xf numFmtId="0" fontId="68" fillId="2" borderId="206" xfId="0" applyFont="1" applyFill="1" applyBorder="1" applyAlignment="1" applyProtection="1">
      <alignment horizontal="center" vertical="center"/>
      <protection hidden="1"/>
    </xf>
    <xf numFmtId="0" fontId="68" fillId="2" borderId="8" xfId="0" applyFont="1" applyFill="1" applyBorder="1" applyAlignment="1" applyProtection="1">
      <alignment horizontal="center" vertical="center"/>
      <protection hidden="1"/>
    </xf>
    <xf numFmtId="0" fontId="68" fillId="2" borderId="1" xfId="0" applyFont="1" applyFill="1" applyBorder="1" applyAlignment="1" applyProtection="1">
      <alignment horizontal="center" vertical="center"/>
      <protection hidden="1"/>
    </xf>
    <xf numFmtId="0" fontId="68" fillId="2" borderId="235" xfId="0" applyFont="1" applyFill="1" applyBorder="1" applyAlignment="1" applyProtection="1">
      <alignment horizontal="center" vertical="center"/>
      <protection hidden="1"/>
    </xf>
    <xf numFmtId="0" fontId="137" fillId="0" borderId="217" xfId="0" applyNumberFormat="1" applyFont="1" applyFill="1" applyBorder="1" applyAlignment="1" applyProtection="1">
      <alignment horizontal="center" vertical="center"/>
      <protection hidden="1"/>
    </xf>
    <xf numFmtId="0" fontId="137" fillId="0" borderId="218" xfId="0" applyNumberFormat="1" applyFont="1" applyFill="1" applyBorder="1" applyAlignment="1" applyProtection="1">
      <alignment horizontal="center" vertical="center"/>
      <protection hidden="1"/>
    </xf>
    <xf numFmtId="0" fontId="137" fillId="0" borderId="237" xfId="0" applyNumberFormat="1" applyFont="1" applyFill="1" applyBorder="1" applyAlignment="1" applyProtection="1">
      <alignment horizontal="center" vertical="center"/>
      <protection hidden="1"/>
    </xf>
    <xf numFmtId="0" fontId="136" fillId="0" borderId="206" xfId="0" applyFont="1" applyFill="1" applyBorder="1" applyAlignment="1" applyProtection="1">
      <alignment horizontal="left" vertical="center" indent="1"/>
      <protection hidden="1"/>
    </xf>
    <xf numFmtId="0" fontId="136" fillId="0" borderId="8" xfId="0" applyFont="1" applyFill="1" applyBorder="1" applyAlignment="1" applyProtection="1">
      <alignment horizontal="left" vertical="center" indent="1"/>
      <protection hidden="1"/>
    </xf>
    <xf numFmtId="211" fontId="136" fillId="0" borderId="1" xfId="0" applyNumberFormat="1" applyFont="1" applyFill="1" applyBorder="1" applyAlignment="1" applyProtection="1">
      <alignment vertical="center"/>
      <protection hidden="1"/>
    </xf>
    <xf numFmtId="211" fontId="134" fillId="0" borderId="235" xfId="0" applyNumberFormat="1" applyFont="1" applyFill="1" applyBorder="1" applyAlignment="1" applyProtection="1">
      <alignment vertical="center"/>
      <protection hidden="1"/>
    </xf>
    <xf numFmtId="0" fontId="136" fillId="0" borderId="16" xfId="0" applyNumberFormat="1" applyFont="1" applyFill="1" applyBorder="1" applyAlignment="1" applyProtection="1">
      <alignment horizontal="center" vertical="center"/>
      <protection hidden="1"/>
    </xf>
    <xf numFmtId="0" fontId="138" fillId="0" borderId="18" xfId="0" applyNumberFormat="1" applyFont="1" applyFill="1" applyBorder="1" applyAlignment="1" applyProtection="1">
      <alignment vertical="center"/>
      <protection hidden="1"/>
    </xf>
    <xf numFmtId="0" fontId="136" fillId="0" borderId="18" xfId="0" applyFont="1" applyFill="1" applyBorder="1" applyAlignment="1" applyProtection="1">
      <alignment vertical="center"/>
      <protection hidden="1"/>
    </xf>
    <xf numFmtId="0" fontId="136" fillId="0" borderId="200" xfId="0" applyFont="1" applyFill="1" applyBorder="1" applyAlignment="1" applyProtection="1">
      <alignment vertical="center"/>
      <protection hidden="1"/>
    </xf>
    <xf numFmtId="184" fontId="136" fillId="0" borderId="12" xfId="0" applyNumberFormat="1" applyFont="1" applyFill="1" applyBorder="1" applyAlignment="1" applyProtection="1">
      <alignment vertical="center"/>
      <protection hidden="1"/>
    </xf>
    <xf numFmtId="184" fontId="136" fillId="0" borderId="13" xfId="0" applyNumberFormat="1" applyFont="1" applyFill="1" applyBorder="1" applyAlignment="1" applyProtection="1">
      <alignment vertical="center"/>
      <protection hidden="1"/>
    </xf>
    <xf numFmtId="184" fontId="136" fillId="0" borderId="308" xfId="0" applyNumberFormat="1" applyFont="1" applyFill="1" applyBorder="1" applyAlignment="1" applyProtection="1">
      <alignment vertical="center"/>
      <protection hidden="1"/>
    </xf>
    <xf numFmtId="0" fontId="136" fillId="0" borderId="304" xfId="0" applyNumberFormat="1" applyFont="1" applyFill="1" applyBorder="1" applyAlignment="1" applyProtection="1">
      <alignment vertical="center"/>
      <protection hidden="1"/>
    </xf>
    <xf numFmtId="0" fontId="136" fillId="0" borderId="305" xfId="0" applyNumberFormat="1" applyFont="1" applyFill="1" applyBorder="1" applyAlignment="1" applyProtection="1">
      <alignment vertical="center"/>
      <protection hidden="1"/>
    </xf>
    <xf numFmtId="0" fontId="136" fillId="4" borderId="227" xfId="0" applyFont="1" applyFill="1" applyBorder="1" applyProtection="1">
      <protection hidden="1"/>
    </xf>
    <xf numFmtId="0" fontId="136" fillId="0" borderId="1" xfId="0" applyNumberFormat="1" applyFont="1" applyFill="1" applyBorder="1" applyAlignment="1" applyProtection="1">
      <alignment vertical="center" wrapText="1"/>
      <protection hidden="1"/>
    </xf>
    <xf numFmtId="0" fontId="136" fillId="0" borderId="1" xfId="0" applyNumberFormat="1" applyFont="1" applyFill="1" applyBorder="1" applyAlignment="1" applyProtection="1">
      <alignment vertical="center"/>
      <protection hidden="1"/>
    </xf>
    <xf numFmtId="0" fontId="136" fillId="4" borderId="1" xfId="0" applyFont="1" applyFill="1" applyBorder="1" applyProtection="1">
      <protection hidden="1"/>
    </xf>
    <xf numFmtId="0" fontId="136" fillId="0" borderId="1" xfId="0" applyNumberFormat="1" applyFont="1" applyFill="1" applyBorder="1" applyAlignment="1" applyProtection="1">
      <alignment horizontal="center" vertical="center"/>
      <protection hidden="1"/>
    </xf>
    <xf numFmtId="211" fontId="136" fillId="0" borderId="217" xfId="0" applyNumberFormat="1" applyFont="1" applyFill="1" applyBorder="1" applyAlignment="1" applyProtection="1">
      <alignment vertical="center"/>
      <protection hidden="1"/>
    </xf>
    <xf numFmtId="211" fontId="134" fillId="0" borderId="309" xfId="0" applyNumberFormat="1" applyFont="1" applyFill="1" applyBorder="1" applyAlignment="1" applyProtection="1">
      <alignment vertical="center"/>
      <protection hidden="1"/>
    </xf>
    <xf numFmtId="0" fontId="136" fillId="0" borderId="16" xfId="0" applyFont="1" applyFill="1" applyBorder="1" applyAlignment="1" applyProtection="1">
      <alignment vertical="center"/>
      <protection hidden="1"/>
    </xf>
    <xf numFmtId="0" fontId="136" fillId="0" borderId="8" xfId="0" applyFont="1" applyFill="1" applyBorder="1" applyAlignment="1" applyProtection="1">
      <alignment vertical="center"/>
      <protection hidden="1"/>
    </xf>
    <xf numFmtId="0" fontId="136" fillId="0" borderId="1" xfId="0" applyFont="1" applyFill="1" applyBorder="1" applyAlignment="1" applyProtection="1">
      <alignment vertical="center" wrapText="1"/>
      <protection hidden="1"/>
    </xf>
    <xf numFmtId="0" fontId="136" fillId="0" borderId="1" xfId="0" applyFont="1" applyFill="1" applyBorder="1" applyAlignment="1" applyProtection="1">
      <alignment vertical="center"/>
      <protection hidden="1"/>
    </xf>
    <xf numFmtId="189" fontId="136" fillId="0" borderId="1" xfId="0" applyNumberFormat="1" applyFont="1" applyFill="1" applyBorder="1" applyAlignment="1" applyProtection="1">
      <alignment vertical="center"/>
      <protection hidden="1"/>
    </xf>
    <xf numFmtId="0" fontId="134" fillId="0" borderId="0" xfId="0" applyFont="1" applyFill="1" applyBorder="1" applyAlignment="1" applyProtection="1">
      <alignment horizontal="left" vertical="center" wrapText="1"/>
      <protection hidden="1"/>
    </xf>
    <xf numFmtId="44" fontId="134" fillId="0" borderId="0" xfId="0" applyNumberFormat="1" applyFont="1" applyFill="1" applyBorder="1" applyAlignment="1" applyProtection="1">
      <alignment horizontal="center" vertical="center"/>
      <protection hidden="1"/>
    </xf>
    <xf numFmtId="0" fontId="136" fillId="0" borderId="229" xfId="0" applyFont="1" applyFill="1" applyBorder="1" applyAlignment="1" applyProtection="1">
      <alignment vertical="center"/>
      <protection hidden="1"/>
    </xf>
    <xf numFmtId="0" fontId="138" fillId="0" borderId="229" xfId="0" applyNumberFormat="1" applyFont="1" applyFill="1" applyBorder="1" applyAlignment="1" applyProtection="1">
      <alignment vertical="center"/>
      <protection hidden="1"/>
    </xf>
    <xf numFmtId="0" fontId="136" fillId="0" borderId="0" xfId="0" applyFont="1" applyFill="1" applyProtection="1">
      <protection hidden="1"/>
    </xf>
    <xf numFmtId="0" fontId="136" fillId="4" borderId="0" xfId="0" applyFont="1" applyFill="1" applyProtection="1">
      <protection hidden="1"/>
    </xf>
    <xf numFmtId="0" fontId="136" fillId="0" borderId="201" xfId="0" applyFont="1" applyFill="1" applyBorder="1" applyAlignment="1" applyProtection="1">
      <alignment horizontal="left" vertical="center" indent="1"/>
      <protection hidden="1"/>
    </xf>
    <xf numFmtId="0" fontId="136" fillId="0" borderId="305" xfId="0" applyFont="1" applyFill="1" applyBorder="1" applyAlignment="1" applyProtection="1">
      <alignment horizontal="left" vertical="center" indent="1"/>
      <protection hidden="1"/>
    </xf>
    <xf numFmtId="0" fontId="136" fillId="0" borderId="234" xfId="0" applyFont="1" applyFill="1" applyBorder="1" applyAlignment="1" applyProtection="1">
      <alignment vertical="center"/>
      <protection hidden="1"/>
    </xf>
    <xf numFmtId="186" fontId="136" fillId="0" borderId="1" xfId="0" applyNumberFormat="1" applyFont="1" applyFill="1" applyBorder="1" applyAlignment="1" applyProtection="1">
      <alignment vertical="center"/>
      <protection hidden="1"/>
    </xf>
    <xf numFmtId="186" fontId="136" fillId="0" borderId="235" xfId="0" applyNumberFormat="1" applyFont="1" applyFill="1" applyBorder="1" applyAlignment="1" applyProtection="1">
      <alignment vertical="center"/>
      <protection hidden="1"/>
    </xf>
    <xf numFmtId="0" fontId="136" fillId="0" borderId="204" xfId="0" applyFont="1" applyFill="1" applyBorder="1" applyAlignment="1" applyProtection="1">
      <alignment horizontal="left" vertical="center"/>
      <protection hidden="1"/>
    </xf>
    <xf numFmtId="0" fontId="136" fillId="0" borderId="205" xfId="0" applyFont="1" applyFill="1" applyBorder="1" applyAlignment="1" applyProtection="1">
      <alignment horizontal="left" vertical="center"/>
      <protection hidden="1"/>
    </xf>
    <xf numFmtId="0" fontId="136" fillId="0" borderId="197" xfId="0" applyNumberFormat="1" applyFont="1" applyFill="1" applyBorder="1" applyAlignment="1" applyProtection="1">
      <alignment horizontal="left" vertical="center" indent="2"/>
      <protection hidden="1"/>
    </xf>
    <xf numFmtId="0" fontId="136" fillId="0" borderId="198" xfId="0" applyNumberFormat="1" applyFont="1" applyFill="1" applyBorder="1" applyAlignment="1" applyProtection="1">
      <alignment horizontal="left" vertical="center" indent="2"/>
      <protection hidden="1"/>
    </xf>
    <xf numFmtId="0" fontId="136" fillId="0" borderId="199" xfId="0" applyNumberFormat="1" applyFont="1" applyFill="1" applyBorder="1" applyAlignment="1" applyProtection="1">
      <alignment horizontal="left" vertical="center" indent="2"/>
      <protection hidden="1"/>
    </xf>
    <xf numFmtId="0" fontId="136" fillId="0" borderId="204" xfId="0" applyFont="1" applyFill="1" applyBorder="1" applyAlignment="1" applyProtection="1">
      <alignment horizontal="left" vertical="center" indent="1"/>
      <protection hidden="1"/>
    </xf>
    <xf numFmtId="0" fontId="136" fillId="0" borderId="205" xfId="0" applyFont="1" applyFill="1" applyBorder="1" applyAlignment="1" applyProtection="1">
      <alignment horizontal="left" vertical="center" indent="1"/>
      <protection hidden="1"/>
    </xf>
    <xf numFmtId="0" fontId="136" fillId="0" borderId="206" xfId="0" applyFont="1" applyFill="1" applyBorder="1" applyAlignment="1" applyProtection="1">
      <alignment vertical="center"/>
      <protection hidden="1"/>
    </xf>
    <xf numFmtId="0" fontId="136" fillId="0" borderId="224" xfId="0" applyFont="1" applyFill="1" applyBorder="1" applyAlignment="1" applyProtection="1">
      <alignment horizontal="left" vertical="center" indent="1"/>
      <protection hidden="1"/>
    </xf>
    <xf numFmtId="0" fontId="136" fillId="0" borderId="17" xfId="0" applyFont="1" applyFill="1" applyBorder="1" applyAlignment="1" applyProtection="1">
      <alignment vertical="center"/>
      <protection hidden="1"/>
    </xf>
    <xf numFmtId="0" fontId="134" fillId="0" borderId="204" xfId="0" applyFont="1" applyFill="1" applyBorder="1" applyAlignment="1" applyProtection="1">
      <alignment vertical="center"/>
      <protection hidden="1"/>
    </xf>
    <xf numFmtId="0" fontId="134" fillId="0" borderId="205" xfId="0" applyFont="1" applyFill="1" applyBorder="1" applyAlignment="1" applyProtection="1">
      <alignment vertical="center"/>
      <protection hidden="1"/>
    </xf>
    <xf numFmtId="0" fontId="136" fillId="0" borderId="311" xfId="0" applyFont="1" applyFill="1" applyBorder="1" applyAlignment="1" applyProtection="1">
      <alignment horizontal="left" vertical="center" indent="1"/>
      <protection hidden="1"/>
    </xf>
    <xf numFmtId="0" fontId="136" fillId="0" borderId="14" xfId="0" applyFont="1" applyFill="1" applyBorder="1" applyAlignment="1" applyProtection="1">
      <alignment vertical="center"/>
      <protection hidden="1"/>
    </xf>
    <xf numFmtId="0" fontId="136" fillId="4" borderId="0" xfId="0" applyFont="1" applyFill="1" applyBorder="1" applyAlignment="1" applyProtection="1">
      <alignment vertical="center"/>
      <protection hidden="1"/>
    </xf>
    <xf numFmtId="0" fontId="136" fillId="0" borderId="0" xfId="0" applyFont="1" applyFill="1" applyBorder="1" applyAlignment="1" applyProtection="1">
      <alignment vertical="center"/>
      <protection hidden="1"/>
    </xf>
    <xf numFmtId="0" fontId="136" fillId="4" borderId="5" xfId="0" applyFont="1" applyFill="1" applyBorder="1" applyAlignment="1" applyProtection="1">
      <alignment vertical="center"/>
      <protection hidden="1"/>
    </xf>
    <xf numFmtId="0" fontId="136" fillId="0" borderId="5" xfId="0" applyFont="1" applyFill="1" applyBorder="1" applyAlignment="1" applyProtection="1">
      <alignment vertical="center"/>
      <protection hidden="1"/>
    </xf>
    <xf numFmtId="0" fontId="136" fillId="4" borderId="15" xfId="0" applyFont="1" applyFill="1" applyBorder="1" applyAlignment="1" applyProtection="1">
      <alignment vertical="center"/>
      <protection hidden="1"/>
    </xf>
    <xf numFmtId="0" fontId="117" fillId="6" borderId="78" xfId="0" applyFont="1" applyFill="1" applyBorder="1" applyAlignment="1" applyProtection="1">
      <alignment horizontal="left" vertical="center"/>
      <protection hidden="1"/>
    </xf>
    <xf numFmtId="0" fontId="117" fillId="6" borderId="66" xfId="0" applyFont="1" applyFill="1" applyBorder="1" applyAlignment="1" applyProtection="1">
      <alignment horizontal="left" vertical="center"/>
      <protection hidden="1"/>
    </xf>
    <xf numFmtId="0" fontId="117" fillId="6" borderId="74" xfId="0" applyFont="1" applyFill="1" applyBorder="1" applyAlignment="1" applyProtection="1">
      <alignment horizontal="left" vertical="center"/>
      <protection hidden="1"/>
    </xf>
    <xf numFmtId="0" fontId="116" fillId="7" borderId="53" xfId="0" applyFont="1" applyFill="1" applyBorder="1" applyAlignment="1" applyProtection="1">
      <alignment horizontal="center" vertical="center"/>
      <protection hidden="1"/>
    </xf>
    <xf numFmtId="0" fontId="96" fillId="0" borderId="46" xfId="0" applyFont="1" applyFill="1" applyBorder="1" applyAlignment="1" applyProtection="1">
      <alignment horizontal="center" vertical="center" shrinkToFit="1"/>
      <protection locked="0"/>
    </xf>
    <xf numFmtId="0" fontId="96" fillId="0" borderId="174" xfId="0" applyFont="1" applyFill="1" applyBorder="1" applyAlignment="1" applyProtection="1">
      <alignment horizontal="center" vertical="center" shrinkToFit="1"/>
      <protection locked="0"/>
    </xf>
    <xf numFmtId="0" fontId="53" fillId="7" borderId="77" xfId="0" applyFont="1" applyFill="1" applyBorder="1" applyAlignment="1" applyProtection="1">
      <alignment vertical="center"/>
      <protection hidden="1"/>
    </xf>
    <xf numFmtId="0" fontId="53" fillId="7" borderId="52" xfId="0" applyFont="1" applyFill="1" applyBorder="1" applyAlignment="1" applyProtection="1">
      <alignment vertical="center"/>
      <protection hidden="1"/>
    </xf>
    <xf numFmtId="0" fontId="1" fillId="0" borderId="52" xfId="0" applyFont="1" applyFill="1" applyBorder="1" applyAlignment="1" applyProtection="1">
      <alignment horizontal="left" vertical="center" wrapText="1"/>
      <protection locked="0"/>
    </xf>
    <xf numFmtId="0" fontId="4" fillId="0" borderId="52" xfId="0" applyFont="1" applyFill="1" applyBorder="1" applyAlignment="1" applyProtection="1">
      <alignment horizontal="left" vertical="center" wrapText="1"/>
      <protection locked="0"/>
    </xf>
    <xf numFmtId="0" fontId="4" fillId="0" borderId="73" xfId="0" applyFont="1" applyFill="1" applyBorder="1" applyAlignment="1" applyProtection="1">
      <alignment horizontal="left" vertical="center" wrapText="1"/>
      <protection locked="0"/>
    </xf>
    <xf numFmtId="0" fontId="73" fillId="6" borderId="70" xfId="0" applyFont="1" applyFill="1" applyBorder="1" applyAlignment="1" applyProtection="1">
      <alignment vertical="center"/>
      <protection hidden="1"/>
    </xf>
    <xf numFmtId="0" fontId="73" fillId="6" borderId="71" xfId="0" applyFont="1" applyFill="1" applyBorder="1" applyAlignment="1" applyProtection="1">
      <alignment vertical="center"/>
      <protection hidden="1"/>
    </xf>
    <xf numFmtId="0" fontId="50" fillId="7" borderId="74" xfId="0" applyFont="1" applyFill="1" applyBorder="1" applyAlignment="1" applyProtection="1">
      <alignment horizontal="center" vertical="center"/>
      <protection hidden="1"/>
    </xf>
    <xf numFmtId="0" fontId="50" fillId="7" borderId="53" xfId="0" applyFont="1" applyFill="1" applyBorder="1" applyAlignment="1" applyProtection="1">
      <alignment horizontal="center" vertical="center"/>
      <protection hidden="1"/>
    </xf>
    <xf numFmtId="0" fontId="53" fillId="7" borderId="77" xfId="0" applyFont="1" applyFill="1" applyBorder="1" applyAlignment="1" applyProtection="1">
      <alignment horizontal="left" vertical="center"/>
      <protection hidden="1"/>
    </xf>
    <xf numFmtId="0" fontId="53" fillId="7" borderId="52" xfId="0" applyFont="1" applyFill="1" applyBorder="1" applyAlignment="1" applyProtection="1">
      <alignment horizontal="left" vertical="center"/>
      <protection hidden="1"/>
    </xf>
    <xf numFmtId="0" fontId="73" fillId="6" borderId="215" xfId="0" applyFont="1" applyFill="1" applyBorder="1" applyAlignment="1" applyProtection="1">
      <alignment horizontal="center" vertical="center"/>
      <protection hidden="1"/>
    </xf>
    <xf numFmtId="0" fontId="73" fillId="6" borderId="0" xfId="0" applyFont="1" applyFill="1" applyBorder="1" applyAlignment="1" applyProtection="1">
      <alignment horizontal="center" vertical="center"/>
      <protection hidden="1"/>
    </xf>
    <xf numFmtId="0" fontId="73" fillId="6" borderId="213" xfId="0" applyFont="1" applyFill="1" applyBorder="1" applyAlignment="1" applyProtection="1">
      <alignment horizontal="center" vertical="center"/>
      <protection hidden="1"/>
    </xf>
    <xf numFmtId="0" fontId="53" fillId="7" borderId="246" xfId="0" applyFont="1" applyFill="1" applyBorder="1" applyAlignment="1" applyProtection="1">
      <alignment horizontal="left" vertical="center"/>
      <protection hidden="1"/>
    </xf>
    <xf numFmtId="0" fontId="53" fillId="7" borderId="247" xfId="0" applyFont="1" applyFill="1" applyBorder="1" applyAlignment="1" applyProtection="1">
      <alignment horizontal="left" vertical="center"/>
      <protection hidden="1"/>
    </xf>
    <xf numFmtId="0" fontId="8" fillId="0" borderId="116" xfId="0" applyFont="1" applyFill="1" applyBorder="1" applyAlignment="1" applyProtection="1">
      <alignment vertical="center" wrapText="1"/>
      <protection locked="0"/>
    </xf>
    <xf numFmtId="0" fontId="9" fillId="0" borderId="130" xfId="0" applyFont="1" applyFill="1" applyBorder="1" applyAlignment="1" applyProtection="1">
      <alignment vertical="center" wrapText="1"/>
      <protection locked="0"/>
    </xf>
    <xf numFmtId="0" fontId="9" fillId="0" borderId="216" xfId="0" applyFont="1" applyFill="1" applyBorder="1" applyAlignment="1" applyProtection="1">
      <alignment vertical="center" wrapText="1"/>
      <protection locked="0"/>
    </xf>
    <xf numFmtId="0" fontId="9" fillId="0" borderId="214" xfId="0" applyFont="1" applyFill="1" applyBorder="1" applyAlignment="1" applyProtection="1">
      <alignment vertical="center" wrapText="1"/>
      <protection locked="0"/>
    </xf>
    <xf numFmtId="0" fontId="9" fillId="0" borderId="0" xfId="0" applyFont="1" applyFill="1" applyBorder="1" applyAlignment="1" applyProtection="1">
      <alignment vertical="center" wrapText="1"/>
      <protection locked="0"/>
    </xf>
    <xf numFmtId="0" fontId="9" fillId="0" borderId="213" xfId="0" applyFont="1" applyFill="1" applyBorder="1" applyAlignment="1" applyProtection="1">
      <alignment vertical="center" wrapText="1"/>
      <protection locked="0"/>
    </xf>
    <xf numFmtId="0" fontId="9" fillId="0" borderId="253" xfId="0" applyFont="1" applyFill="1" applyBorder="1" applyAlignment="1" applyProtection="1">
      <alignment vertical="center" wrapText="1"/>
      <protection locked="0"/>
    </xf>
    <xf numFmtId="0" fontId="9" fillId="0" borderId="254" xfId="0" applyFont="1" applyFill="1" applyBorder="1" applyAlignment="1" applyProtection="1">
      <alignment vertical="center" wrapText="1"/>
      <protection locked="0"/>
    </xf>
    <xf numFmtId="0" fontId="9" fillId="0" borderId="255" xfId="0" applyFont="1" applyFill="1" applyBorder="1" applyAlignment="1" applyProtection="1">
      <alignment vertical="center" wrapText="1"/>
      <protection locked="0"/>
    </xf>
    <xf numFmtId="0" fontId="53" fillId="7" borderId="317" xfId="0" applyFont="1" applyFill="1" applyBorder="1" applyAlignment="1" applyProtection="1">
      <alignment horizontal="left" vertical="center"/>
      <protection hidden="1"/>
    </xf>
    <xf numFmtId="0" fontId="53" fillId="7" borderId="318" xfId="0" applyFont="1" applyFill="1" applyBorder="1" applyAlignment="1" applyProtection="1">
      <alignment horizontal="left" vertical="center"/>
      <protection hidden="1"/>
    </xf>
    <xf numFmtId="179" fontId="23" fillId="0" borderId="61" xfId="0" applyNumberFormat="1" applyFont="1" applyFill="1" applyBorder="1" applyAlignment="1" applyProtection="1">
      <alignment horizontal="right" vertical="top"/>
      <protection hidden="1"/>
    </xf>
    <xf numFmtId="179" fontId="23" fillId="0" borderId="159" xfId="0" applyNumberFormat="1" applyFont="1" applyFill="1" applyBorder="1" applyAlignment="1" applyProtection="1">
      <alignment horizontal="right" vertical="top"/>
      <protection hidden="1"/>
    </xf>
    <xf numFmtId="0" fontId="23" fillId="0" borderId="161" xfId="0" applyFont="1" applyFill="1" applyBorder="1" applyAlignment="1" applyProtection="1">
      <alignment horizontal="right" vertical="top"/>
      <protection hidden="1"/>
    </xf>
    <xf numFmtId="0" fontId="23" fillId="0" borderId="162" xfId="0" applyFont="1" applyFill="1" applyBorder="1" applyAlignment="1" applyProtection="1">
      <alignment horizontal="right" vertical="top"/>
      <protection hidden="1"/>
    </xf>
    <xf numFmtId="0" fontId="76" fillId="6" borderId="155" xfId="0" applyFont="1" applyFill="1" applyBorder="1" applyAlignment="1" applyProtection="1">
      <alignment horizontal="left" vertical="top"/>
      <protection hidden="1"/>
    </xf>
    <xf numFmtId="0" fontId="76" fillId="6" borderId="156" xfId="0" applyFont="1" applyFill="1" applyBorder="1" applyAlignment="1" applyProtection="1">
      <alignment horizontal="left" vertical="top"/>
      <protection hidden="1"/>
    </xf>
    <xf numFmtId="0" fontId="76" fillId="6" borderId="175" xfId="0" applyFont="1" applyFill="1" applyBorder="1" applyAlignment="1" applyProtection="1">
      <alignment horizontal="left" vertical="top"/>
      <protection hidden="1"/>
    </xf>
    <xf numFmtId="0" fontId="117" fillId="6" borderId="239" xfId="0" applyFont="1" applyFill="1" applyBorder="1" applyAlignment="1" applyProtection="1">
      <alignment horizontal="left" vertical="center"/>
      <protection hidden="1"/>
    </xf>
    <xf numFmtId="0" fontId="117" fillId="6" borderId="240" xfId="0" applyFont="1" applyFill="1" applyBorder="1" applyAlignment="1" applyProtection="1">
      <alignment horizontal="left" vertical="center"/>
      <protection hidden="1"/>
    </xf>
    <xf numFmtId="0" fontId="117" fillId="6" borderId="249" xfId="0" applyFont="1" applyFill="1" applyBorder="1" applyAlignment="1" applyProtection="1">
      <alignment horizontal="left" vertical="center"/>
      <protection hidden="1"/>
    </xf>
    <xf numFmtId="0" fontId="117" fillId="6" borderId="241" xfId="0" applyFont="1" applyFill="1" applyBorder="1" applyAlignment="1" applyProtection="1">
      <alignment horizontal="left" vertical="center"/>
      <protection hidden="1"/>
    </xf>
    <xf numFmtId="0" fontId="53" fillId="7" borderId="248" xfId="0" applyFont="1" applyFill="1" applyBorder="1" applyAlignment="1" applyProtection="1">
      <alignment vertical="center"/>
      <protection hidden="1"/>
    </xf>
    <xf numFmtId="0" fontId="53" fillId="7" borderId="57" xfId="0" applyFont="1" applyFill="1" applyBorder="1" applyAlignment="1" applyProtection="1">
      <alignment vertical="center"/>
      <protection hidden="1"/>
    </xf>
    <xf numFmtId="0" fontId="73" fillId="6" borderId="75" xfId="0" applyFont="1" applyFill="1" applyBorder="1" applyAlignment="1" applyProtection="1">
      <alignment horizontal="left" vertical="center"/>
      <protection hidden="1"/>
    </xf>
    <xf numFmtId="0" fontId="73" fillId="6" borderId="66" xfId="0" applyFont="1" applyFill="1" applyBorder="1" applyAlignment="1" applyProtection="1">
      <alignment horizontal="left" vertical="center"/>
      <protection hidden="1"/>
    </xf>
    <xf numFmtId="0" fontId="73" fillId="6" borderId="67" xfId="0" applyFont="1" applyFill="1" applyBorder="1" applyAlignment="1" applyProtection="1">
      <alignment horizontal="left" vertical="center"/>
      <protection hidden="1"/>
    </xf>
    <xf numFmtId="0" fontId="53" fillId="7" borderId="73" xfId="0" applyFont="1" applyFill="1" applyBorder="1" applyAlignment="1" applyProtection="1">
      <alignment horizontal="left" vertical="center"/>
      <protection hidden="1"/>
    </xf>
    <xf numFmtId="0" fontId="5" fillId="0" borderId="57" xfId="0" applyFont="1" applyFill="1" applyBorder="1" applyAlignment="1" applyProtection="1">
      <alignment horizontal="left" vertical="top"/>
      <protection hidden="1"/>
    </xf>
    <xf numFmtId="0" fontId="23" fillId="0" borderId="62" xfId="0" applyFont="1" applyFill="1" applyBorder="1" applyAlignment="1" applyProtection="1">
      <alignment horizontal="left" vertical="top"/>
      <protection hidden="1"/>
    </xf>
    <xf numFmtId="0" fontId="23" fillId="0" borderId="52" xfId="0" applyFont="1" applyFill="1" applyBorder="1" applyAlignment="1" applyProtection="1">
      <alignment horizontal="left" vertical="top"/>
      <protection hidden="1"/>
    </xf>
    <xf numFmtId="0" fontId="23" fillId="0" borderId="61" xfId="0" applyFont="1" applyFill="1" applyBorder="1" applyAlignment="1" applyProtection="1">
      <alignment horizontal="left" vertical="top"/>
      <protection hidden="1"/>
    </xf>
    <xf numFmtId="0" fontId="53" fillId="7" borderId="314" xfId="0" applyFont="1" applyFill="1" applyBorder="1" applyAlignment="1" applyProtection="1">
      <alignment horizontal="left" vertical="center"/>
      <protection hidden="1"/>
    </xf>
    <xf numFmtId="0" fontId="53" fillId="7" borderId="315" xfId="0" applyFont="1" applyFill="1" applyBorder="1" applyAlignment="1" applyProtection="1">
      <alignment horizontal="left" vertical="center"/>
      <protection hidden="1"/>
    </xf>
    <xf numFmtId="0" fontId="53" fillId="7" borderId="316" xfId="0" applyFont="1" applyFill="1" applyBorder="1" applyAlignment="1" applyProtection="1">
      <alignment horizontal="left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2" fillId="0" borderId="12" xfId="0" applyFont="1" applyFill="1" applyBorder="1" applyAlignment="1" applyProtection="1">
      <alignment horizontal="left" vertical="center" wrapText="1"/>
      <protection locked="0"/>
    </xf>
    <xf numFmtId="0" fontId="4" fillId="0" borderId="14" xfId="0" applyFont="1" applyFill="1" applyBorder="1" applyAlignment="1" applyProtection="1">
      <alignment horizontal="left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256" xfId="0" applyFont="1" applyFill="1" applyBorder="1" applyAlignment="1" applyProtection="1">
      <alignment horizontal="left" vertical="center" wrapText="1"/>
      <protection locked="0"/>
    </xf>
    <xf numFmtId="0" fontId="4" fillId="0" borderId="23" xfId="0" applyFont="1" applyFill="1" applyBorder="1" applyAlignment="1" applyProtection="1">
      <alignment horizontal="left" vertical="center" wrapText="1"/>
      <protection locked="0"/>
    </xf>
    <xf numFmtId="0" fontId="4" fillId="0" borderId="17" xfId="0" applyFont="1" applyFill="1" applyBorder="1" applyAlignment="1" applyProtection="1">
      <alignment horizontal="left" vertical="center" wrapText="1"/>
      <protection locked="0"/>
    </xf>
    <xf numFmtId="0" fontId="66" fillId="0" borderId="250" xfId="0" applyFont="1" applyFill="1" applyBorder="1" applyAlignment="1" applyProtection="1">
      <alignment horizontal="left" vertical="center" wrapText="1"/>
      <protection hidden="1"/>
    </xf>
    <xf numFmtId="0" fontId="72" fillId="0" borderId="251" xfId="0" applyFont="1" applyFill="1" applyBorder="1" applyAlignment="1" applyProtection="1">
      <alignment horizontal="left" vertical="center" wrapText="1"/>
      <protection hidden="1"/>
    </xf>
    <xf numFmtId="0" fontId="72" fillId="0" borderId="252" xfId="0" applyFont="1" applyFill="1" applyBorder="1" applyAlignment="1" applyProtection="1">
      <alignment horizontal="left" vertical="center" wrapText="1"/>
      <protection hidden="1"/>
    </xf>
    <xf numFmtId="0" fontId="72" fillId="0" borderId="214" xfId="0" applyFont="1" applyFill="1" applyBorder="1" applyAlignment="1" applyProtection="1">
      <alignment horizontal="left" vertical="center" wrapText="1"/>
      <protection hidden="1"/>
    </xf>
    <xf numFmtId="0" fontId="72" fillId="0" borderId="0" xfId="0" applyFont="1" applyFill="1" applyBorder="1" applyAlignment="1" applyProtection="1">
      <alignment horizontal="left" vertical="center" wrapText="1"/>
      <protection hidden="1"/>
    </xf>
    <xf numFmtId="0" fontId="72" fillId="0" borderId="213" xfId="0" applyFont="1" applyFill="1" applyBorder="1" applyAlignment="1" applyProtection="1">
      <alignment horizontal="left" vertical="center" wrapText="1"/>
      <protection hidden="1"/>
    </xf>
    <xf numFmtId="0" fontId="66" fillId="0" borderId="321" xfId="0" applyFont="1" applyFill="1" applyBorder="1" applyAlignment="1" applyProtection="1">
      <alignment horizontal="center" vertical="center"/>
      <protection hidden="1"/>
    </xf>
    <xf numFmtId="0" fontId="66" fillId="0" borderId="322" xfId="0" applyFont="1" applyFill="1" applyBorder="1" applyAlignment="1" applyProtection="1">
      <alignment horizontal="center" vertical="center"/>
      <protection hidden="1"/>
    </xf>
    <xf numFmtId="0" fontId="66" fillId="0" borderId="323" xfId="0" applyFont="1" applyFill="1" applyBorder="1" applyAlignment="1" applyProtection="1">
      <alignment horizontal="center" vertical="center"/>
      <protection hidden="1"/>
    </xf>
    <xf numFmtId="0" fontId="81" fillId="0" borderId="121" xfId="0" applyFont="1" applyFill="1" applyBorder="1" applyAlignment="1" applyProtection="1">
      <alignment horizontal="center" vertical="center" wrapText="1" shrinkToFit="1"/>
      <protection hidden="1"/>
    </xf>
    <xf numFmtId="0" fontId="81" fillId="0" borderId="122" xfId="0" applyFont="1" applyFill="1" applyBorder="1" applyAlignment="1" applyProtection="1">
      <alignment horizontal="center" vertical="center" wrapText="1" shrinkToFit="1"/>
      <protection hidden="1"/>
    </xf>
    <xf numFmtId="0" fontId="81" fillId="0" borderId="123" xfId="0" applyFont="1" applyFill="1" applyBorder="1" applyAlignment="1" applyProtection="1">
      <alignment horizontal="center" vertical="center" wrapText="1" shrinkToFit="1"/>
      <protection hidden="1"/>
    </xf>
    <xf numFmtId="0" fontId="53" fillId="10" borderId="0" xfId="0" applyFont="1" applyFill="1" applyBorder="1" applyAlignment="1" applyProtection="1">
      <alignment horizontal="right" vertical="center" shrinkToFit="1"/>
      <protection hidden="1"/>
    </xf>
    <xf numFmtId="186" fontId="92" fillId="10" borderId="163" xfId="0" applyNumberFormat="1" applyFont="1" applyFill="1" applyBorder="1" applyAlignment="1" applyProtection="1">
      <alignment horizontal="center" vertical="center"/>
      <protection hidden="1"/>
    </xf>
    <xf numFmtId="186" fontId="92" fillId="10" borderId="164" xfId="0" applyNumberFormat="1" applyFont="1" applyFill="1" applyBorder="1" applyAlignment="1" applyProtection="1">
      <alignment horizontal="center" vertical="center"/>
      <protection hidden="1"/>
    </xf>
    <xf numFmtId="186" fontId="92" fillId="10" borderId="165" xfId="0" applyNumberFormat="1" applyFont="1" applyFill="1" applyBorder="1" applyAlignment="1" applyProtection="1">
      <alignment horizontal="center" vertical="center"/>
      <protection hidden="1"/>
    </xf>
    <xf numFmtId="186" fontId="92" fillId="10" borderId="166" xfId="0" applyNumberFormat="1" applyFont="1" applyFill="1" applyBorder="1" applyAlignment="1" applyProtection="1">
      <alignment horizontal="center" vertical="center"/>
      <protection hidden="1"/>
    </xf>
    <xf numFmtId="0" fontId="93" fillId="10" borderId="165" xfId="0" applyFont="1" applyFill="1" applyBorder="1" applyAlignment="1" applyProtection="1">
      <alignment horizontal="center" vertical="center" wrapText="1" shrinkToFit="1"/>
      <protection hidden="1"/>
    </xf>
    <xf numFmtId="0" fontId="93" fillId="10" borderId="166" xfId="0" applyFont="1" applyFill="1" applyBorder="1" applyAlignment="1" applyProtection="1">
      <alignment horizontal="center" vertical="center" wrapText="1" shrinkToFit="1"/>
      <protection hidden="1"/>
    </xf>
    <xf numFmtId="0" fontId="93" fillId="10" borderId="167" xfId="0" applyFont="1" applyFill="1" applyBorder="1" applyAlignment="1" applyProtection="1">
      <alignment horizontal="center" vertical="center" wrapText="1" shrinkToFit="1"/>
      <protection hidden="1"/>
    </xf>
    <xf numFmtId="0" fontId="93" fillId="10" borderId="168" xfId="0" applyFont="1" applyFill="1" applyBorder="1" applyAlignment="1" applyProtection="1">
      <alignment horizontal="center" vertical="center" wrapText="1" shrinkToFit="1"/>
      <protection hidden="1"/>
    </xf>
    <xf numFmtId="0" fontId="94" fillId="10" borderId="164" xfId="0" applyFont="1" applyFill="1" applyBorder="1" applyAlignment="1" applyProtection="1">
      <alignment horizontal="center" vertical="center" wrapText="1"/>
      <protection hidden="1"/>
    </xf>
    <xf numFmtId="0" fontId="94" fillId="10" borderId="166" xfId="0" applyFont="1" applyFill="1" applyBorder="1" applyAlignment="1" applyProtection="1">
      <alignment horizontal="center" vertical="center" wrapText="1"/>
      <protection hidden="1"/>
    </xf>
    <xf numFmtId="0" fontId="94" fillId="10" borderId="168" xfId="0" applyFont="1" applyFill="1" applyBorder="1" applyAlignment="1" applyProtection="1">
      <alignment horizontal="center" vertical="center" wrapText="1"/>
      <protection hidden="1"/>
    </xf>
    <xf numFmtId="179" fontId="69" fillId="10" borderId="170" xfId="0" applyNumberFormat="1" applyFont="1" applyFill="1" applyBorder="1" applyAlignment="1" applyProtection="1">
      <alignment horizontal="right" vertical="center" shrinkToFit="1"/>
      <protection hidden="1"/>
    </xf>
    <xf numFmtId="0" fontId="56" fillId="0" borderId="302" xfId="0" applyFont="1" applyFill="1" applyBorder="1" applyAlignment="1" applyProtection="1">
      <alignment horizontal="center" vertical="center" shrinkToFit="1"/>
      <protection hidden="1"/>
    </xf>
    <xf numFmtId="0" fontId="74" fillId="16" borderId="65" xfId="0" applyFont="1" applyFill="1" applyBorder="1" applyAlignment="1" applyProtection="1">
      <alignment vertical="center"/>
      <protection hidden="1"/>
    </xf>
    <xf numFmtId="0" fontId="74" fillId="16" borderId="66" xfId="0" applyFont="1" applyFill="1" applyBorder="1" applyAlignment="1" applyProtection="1">
      <alignment vertical="center"/>
      <protection hidden="1"/>
    </xf>
    <xf numFmtId="0" fontId="74" fillId="16" borderId="120" xfId="0" applyFont="1" applyFill="1" applyBorder="1" applyAlignment="1" applyProtection="1">
      <alignment vertical="center"/>
      <protection hidden="1"/>
    </xf>
    <xf numFmtId="0" fontId="53" fillId="15" borderId="68" xfId="0" applyFont="1" applyFill="1" applyBorder="1" applyAlignment="1" applyProtection="1">
      <alignment horizontal="left" vertical="center"/>
      <protection hidden="1"/>
    </xf>
    <xf numFmtId="0" fontId="53" fillId="15" borderId="52" xfId="0" applyFont="1" applyFill="1" applyBorder="1" applyAlignment="1" applyProtection="1">
      <alignment horizontal="left" vertical="center"/>
      <protection hidden="1"/>
    </xf>
    <xf numFmtId="0" fontId="53" fillId="15" borderId="69" xfId="0" applyFont="1" applyFill="1" applyBorder="1" applyAlignment="1" applyProtection="1">
      <alignment horizontal="left" vertical="center"/>
      <protection hidden="1"/>
    </xf>
    <xf numFmtId="0" fontId="53" fillId="15" borderId="57" xfId="0" applyFont="1" applyFill="1" applyBorder="1" applyAlignment="1" applyProtection="1">
      <alignment horizontal="left" vertical="center"/>
      <protection hidden="1"/>
    </xf>
    <xf numFmtId="0" fontId="24" fillId="13" borderId="52" xfId="0" applyFont="1" applyFill="1" applyBorder="1" applyAlignment="1" applyProtection="1">
      <alignment horizontal="left" vertical="center" shrinkToFit="1"/>
      <protection hidden="1"/>
    </xf>
    <xf numFmtId="0" fontId="24" fillId="13" borderId="61" xfId="0" applyFont="1" applyFill="1" applyBorder="1" applyAlignment="1" applyProtection="1">
      <alignment horizontal="left" vertical="center" shrinkToFit="1"/>
      <protection hidden="1"/>
    </xf>
    <xf numFmtId="0" fontId="83" fillId="17" borderId="124" xfId="0" applyFont="1" applyFill="1" applyBorder="1" applyAlignment="1" applyProtection="1">
      <alignment horizontal="left" vertical="center"/>
      <protection hidden="1"/>
    </xf>
    <xf numFmtId="0" fontId="83" fillId="17" borderId="125" xfId="0" applyFont="1" applyFill="1" applyBorder="1" applyAlignment="1" applyProtection="1">
      <alignment horizontal="left" vertical="center"/>
      <protection hidden="1"/>
    </xf>
    <xf numFmtId="0" fontId="53" fillId="15" borderId="73" xfId="0" applyFont="1" applyFill="1" applyBorder="1" applyAlignment="1" applyProtection="1">
      <alignment horizontal="center" vertical="center" shrinkToFit="1"/>
      <protection hidden="1"/>
    </xf>
    <xf numFmtId="0" fontId="53" fillId="15" borderId="0" xfId="0" applyFont="1" applyFill="1" applyBorder="1" applyAlignment="1" applyProtection="1">
      <alignment horizontal="center" vertical="center" wrapText="1" shrinkToFit="1"/>
      <protection hidden="1"/>
    </xf>
    <xf numFmtId="0" fontId="53" fillId="15" borderId="298" xfId="0" applyFont="1" applyFill="1" applyBorder="1" applyAlignment="1" applyProtection="1">
      <alignment horizontal="center" vertical="center" wrapText="1" shrinkToFit="1"/>
      <protection hidden="1"/>
    </xf>
    <xf numFmtId="0" fontId="121" fillId="10" borderId="214" xfId="0" applyFont="1" applyFill="1" applyBorder="1" applyAlignment="1" applyProtection="1">
      <alignment horizontal="center" vertical="center" wrapText="1"/>
      <protection hidden="1"/>
    </xf>
    <xf numFmtId="0" fontId="121" fillId="10" borderId="243" xfId="0" applyFont="1" applyFill="1" applyBorder="1" applyAlignment="1" applyProtection="1">
      <alignment horizontal="center" vertical="center"/>
      <protection hidden="1"/>
    </xf>
    <xf numFmtId="180" fontId="70" fillId="0" borderId="299" xfId="0" applyNumberFormat="1" applyFont="1" applyBorder="1" applyAlignment="1" applyProtection="1">
      <alignment horizontal="center" vertical="center" shrinkToFit="1"/>
      <protection locked="0"/>
    </xf>
    <xf numFmtId="180" fontId="70" fillId="0" borderId="300" xfId="0" applyNumberFormat="1" applyFont="1" applyBorder="1" applyAlignment="1" applyProtection="1">
      <alignment horizontal="center" vertical="center" shrinkToFit="1"/>
      <protection locked="0"/>
    </xf>
    <xf numFmtId="186" fontId="89" fillId="0" borderId="121" xfId="0" applyNumberFormat="1" applyFont="1" applyFill="1" applyBorder="1" applyAlignment="1" applyProtection="1">
      <alignment horizontal="center" vertical="center" shrinkToFit="1"/>
      <protection hidden="1"/>
    </xf>
    <xf numFmtId="186" fontId="89" fillId="0" borderId="123" xfId="0" applyNumberFormat="1" applyFont="1" applyFill="1" applyBorder="1" applyAlignment="1" applyProtection="1">
      <alignment horizontal="center" vertical="center" shrinkToFit="1"/>
      <protection hidden="1"/>
    </xf>
    <xf numFmtId="176" fontId="122" fillId="0" borderId="279" xfId="0" applyNumberFormat="1" applyFont="1" applyFill="1" applyBorder="1" applyAlignment="1" applyProtection="1">
      <alignment horizontal="left" vertical="center" shrinkToFit="1"/>
      <protection locked="0"/>
    </xf>
    <xf numFmtId="176" fontId="122" fillId="0" borderId="280" xfId="0" applyNumberFormat="1" applyFont="1" applyFill="1" applyBorder="1" applyAlignment="1" applyProtection="1">
      <alignment horizontal="left" vertical="center" shrinkToFit="1"/>
      <protection locked="0"/>
    </xf>
    <xf numFmtId="176" fontId="122" fillId="0" borderId="303" xfId="0" applyNumberFormat="1" applyFont="1" applyFill="1" applyBorder="1" applyAlignment="1" applyProtection="1">
      <alignment horizontal="left" vertical="center" shrinkToFit="1"/>
      <protection locked="0"/>
    </xf>
    <xf numFmtId="0" fontId="53" fillId="15" borderId="76" xfId="0" applyFont="1" applyFill="1" applyBorder="1" applyAlignment="1" applyProtection="1">
      <alignment horizontal="left" vertical="center"/>
      <protection hidden="1"/>
    </xf>
    <xf numFmtId="0" fontId="53" fillId="15" borderId="111" xfId="0" applyFont="1" applyFill="1" applyBorder="1" applyAlignment="1" applyProtection="1">
      <alignment horizontal="left" vertical="center"/>
      <protection hidden="1"/>
    </xf>
    <xf numFmtId="0" fontId="53" fillId="15" borderId="151" xfId="0" applyFont="1" applyFill="1" applyBorder="1" applyAlignment="1" applyProtection="1">
      <alignment horizontal="left" vertical="center"/>
      <protection hidden="1"/>
    </xf>
    <xf numFmtId="0" fontId="53" fillId="15" borderId="289" xfId="0" applyFont="1" applyFill="1" applyBorder="1" applyAlignment="1" applyProtection="1">
      <alignment horizontal="left" vertical="center"/>
      <protection hidden="1"/>
    </xf>
    <xf numFmtId="0" fontId="74" fillId="16" borderId="149" xfId="0" applyFont="1" applyFill="1" applyBorder="1" applyAlignment="1" applyProtection="1">
      <alignment vertical="center"/>
      <protection hidden="1"/>
    </xf>
    <xf numFmtId="0" fontId="74" fillId="16" borderId="150" xfId="0" applyFont="1" applyFill="1" applyBorder="1" applyAlignment="1" applyProtection="1">
      <alignment vertical="center"/>
      <protection hidden="1"/>
    </xf>
    <xf numFmtId="0" fontId="74" fillId="16" borderId="296" xfId="0" applyFont="1" applyFill="1" applyBorder="1" applyAlignment="1" applyProtection="1">
      <alignment vertical="center"/>
      <protection hidden="1"/>
    </xf>
    <xf numFmtId="0" fontId="74" fillId="16" borderId="297" xfId="0" applyFont="1" applyFill="1" applyBorder="1" applyAlignment="1" applyProtection="1">
      <alignment vertical="center"/>
      <protection hidden="1"/>
    </xf>
    <xf numFmtId="0" fontId="74" fillId="16" borderId="117" xfId="0" applyFont="1" applyFill="1" applyBorder="1" applyAlignment="1" applyProtection="1">
      <alignment vertical="center"/>
      <protection hidden="1"/>
    </xf>
    <xf numFmtId="0" fontId="74" fillId="16" borderId="118" xfId="0" applyFont="1" applyFill="1" applyBorder="1" applyAlignment="1" applyProtection="1">
      <alignment vertical="center"/>
      <protection hidden="1"/>
    </xf>
    <xf numFmtId="185" fontId="53" fillId="15" borderId="76" xfId="0" applyNumberFormat="1" applyFont="1" applyFill="1" applyBorder="1" applyAlignment="1" applyProtection="1">
      <alignment vertical="center" shrinkToFit="1"/>
      <protection hidden="1"/>
    </xf>
    <xf numFmtId="185" fontId="53" fillId="15" borderId="77" xfId="0" applyNumberFormat="1" applyFont="1" applyFill="1" applyBorder="1" applyAlignment="1" applyProtection="1">
      <alignment vertical="center" shrinkToFit="1"/>
      <protection hidden="1"/>
    </xf>
    <xf numFmtId="0" fontId="74" fillId="16" borderId="71" xfId="0" applyFont="1" applyFill="1" applyBorder="1" applyAlignment="1" applyProtection="1">
      <alignment vertical="center"/>
      <protection hidden="1"/>
    </xf>
    <xf numFmtId="0" fontId="74" fillId="16" borderId="72" xfId="0" applyFont="1" applyFill="1" applyBorder="1" applyAlignment="1" applyProtection="1">
      <alignment vertical="center"/>
      <protection hidden="1"/>
    </xf>
    <xf numFmtId="0" fontId="30" fillId="16" borderId="49" xfId="0" applyFont="1" applyFill="1" applyBorder="1" applyAlignment="1" applyProtection="1">
      <alignment horizontal="center" vertical="center" shrinkToFit="1"/>
      <protection hidden="1"/>
    </xf>
    <xf numFmtId="0" fontId="30" fillId="16" borderId="45" xfId="0" applyFont="1" applyFill="1" applyBorder="1" applyAlignment="1" applyProtection="1">
      <alignment horizontal="center" vertical="center" shrinkToFit="1"/>
      <protection hidden="1"/>
    </xf>
    <xf numFmtId="0" fontId="30" fillId="16" borderId="44" xfId="0" applyFont="1" applyFill="1" applyBorder="1" applyAlignment="1" applyProtection="1">
      <alignment horizontal="center" vertical="center" shrinkToFit="1"/>
      <protection hidden="1"/>
    </xf>
    <xf numFmtId="0" fontId="53" fillId="15" borderId="52" xfId="0" applyFont="1" applyFill="1" applyBorder="1" applyAlignment="1" applyProtection="1">
      <alignment horizontal="left" vertical="center" shrinkToFit="1"/>
      <protection hidden="1"/>
    </xf>
    <xf numFmtId="0" fontId="53" fillId="15" borderId="89" xfId="0" applyFont="1" applyFill="1" applyBorder="1" applyAlignment="1" applyProtection="1">
      <alignment horizontal="left" vertical="center" shrinkToFit="1"/>
      <protection hidden="1"/>
    </xf>
    <xf numFmtId="0" fontId="74" fillId="16" borderId="81" xfId="0" applyFont="1" applyFill="1" applyBorder="1" applyAlignment="1" applyProtection="1">
      <alignment horizontal="left" vertical="center"/>
      <protection hidden="1"/>
    </xf>
    <xf numFmtId="0" fontId="74" fillId="16" borderId="82" xfId="0" applyFont="1" applyFill="1" applyBorder="1" applyAlignment="1" applyProtection="1">
      <alignment horizontal="left" vertical="center"/>
      <protection hidden="1"/>
    </xf>
    <xf numFmtId="0" fontId="74" fillId="16" borderId="96" xfId="0" applyFont="1" applyFill="1" applyBorder="1" applyAlignment="1" applyProtection="1">
      <alignment horizontal="left" vertical="center"/>
      <protection hidden="1"/>
    </xf>
    <xf numFmtId="0" fontId="53" fillId="15" borderId="279" xfId="0" applyFont="1" applyFill="1" applyBorder="1" applyAlignment="1" applyProtection="1">
      <alignment horizontal="left" vertical="center" shrinkToFit="1"/>
      <protection hidden="1"/>
    </xf>
    <xf numFmtId="0" fontId="53" fillId="15" borderId="301" xfId="0" applyFont="1" applyFill="1" applyBorder="1" applyAlignment="1" applyProtection="1">
      <alignment horizontal="left" vertical="center" shrinkToFit="1"/>
      <protection hidden="1"/>
    </xf>
    <xf numFmtId="0" fontId="53" fillId="14" borderId="46" xfId="0" applyFont="1" applyFill="1" applyBorder="1" applyAlignment="1" applyProtection="1">
      <alignment horizontal="left" vertical="center" shrinkToFit="1"/>
      <protection hidden="1"/>
    </xf>
    <xf numFmtId="0" fontId="53" fillId="14" borderId="47" xfId="0" applyFont="1" applyFill="1" applyBorder="1" applyAlignment="1" applyProtection="1">
      <alignment horizontal="left" vertical="center" shrinkToFit="1"/>
      <protection hidden="1"/>
    </xf>
    <xf numFmtId="0" fontId="74" fillId="16" borderId="65" xfId="0" applyFont="1" applyFill="1" applyBorder="1" applyAlignment="1" applyProtection="1">
      <alignment horizontal="left" vertical="center"/>
      <protection hidden="1"/>
    </xf>
    <xf numFmtId="0" fontId="74" fillId="16" borderId="66" xfId="0" applyFont="1" applyFill="1" applyBorder="1" applyAlignment="1" applyProtection="1">
      <alignment horizontal="left" vertical="center"/>
      <protection hidden="1"/>
    </xf>
    <xf numFmtId="0" fontId="74" fillId="16" borderId="70" xfId="0" applyFont="1" applyFill="1" applyBorder="1" applyAlignment="1" applyProtection="1">
      <alignment vertical="center"/>
      <protection hidden="1"/>
    </xf>
    <xf numFmtId="0" fontId="74" fillId="16" borderId="292" xfId="0" applyFont="1" applyFill="1" applyBorder="1" applyAlignment="1" applyProtection="1">
      <alignment vertical="center"/>
      <protection hidden="1"/>
    </xf>
    <xf numFmtId="0" fontId="53" fillId="15" borderId="184" xfId="0" applyFont="1" applyFill="1" applyBorder="1" applyAlignment="1" applyProtection="1">
      <alignment horizontal="left" vertical="center"/>
      <protection locked="0" hidden="1"/>
    </xf>
    <xf numFmtId="0" fontId="53" fillId="15" borderId="111" xfId="0" applyFont="1" applyFill="1" applyBorder="1" applyAlignment="1" applyProtection="1">
      <alignment horizontal="left" vertical="center"/>
      <protection locked="0" hidden="1"/>
    </xf>
    <xf numFmtId="0" fontId="50" fillId="15" borderId="76" xfId="0" applyFont="1" applyFill="1" applyBorder="1" applyAlignment="1" applyProtection="1">
      <alignment horizontal="left" vertical="center"/>
      <protection hidden="1"/>
    </xf>
    <xf numFmtId="0" fontId="50" fillId="15" borderId="111" xfId="0" applyFont="1" applyFill="1" applyBorder="1" applyAlignment="1" applyProtection="1">
      <alignment horizontal="left" vertical="center"/>
      <protection hidden="1"/>
    </xf>
    <xf numFmtId="0" fontId="50" fillId="15" borderId="130" xfId="0" applyFont="1" applyFill="1" applyBorder="1" applyAlignment="1" applyProtection="1">
      <alignment horizontal="left" vertical="center"/>
      <protection hidden="1"/>
    </xf>
    <xf numFmtId="0" fontId="50" fillId="15" borderId="284" xfId="0" applyFont="1" applyFill="1" applyBorder="1" applyAlignment="1" applyProtection="1">
      <alignment horizontal="left" vertical="center"/>
      <protection hidden="1"/>
    </xf>
    <xf numFmtId="0" fontId="50" fillId="15" borderId="52" xfId="0" applyFont="1" applyFill="1" applyBorder="1" applyAlignment="1" applyProtection="1">
      <alignment vertical="center"/>
      <protection hidden="1"/>
    </xf>
    <xf numFmtId="0" fontId="50" fillId="15" borderId="73" xfId="0" applyFont="1" applyFill="1" applyBorder="1" applyAlignment="1" applyProtection="1">
      <alignment vertical="center"/>
      <protection hidden="1"/>
    </xf>
    <xf numFmtId="0" fontId="50" fillId="15" borderId="147" xfId="0" applyFont="1" applyFill="1" applyBorder="1" applyAlignment="1" applyProtection="1">
      <alignment vertical="center"/>
      <protection hidden="1"/>
    </xf>
    <xf numFmtId="0" fontId="120" fillId="16" borderId="70" xfId="0" applyFont="1" applyFill="1" applyBorder="1" applyAlignment="1" applyProtection="1">
      <alignment horizontal="left" vertical="center"/>
      <protection hidden="1"/>
    </xf>
    <xf numFmtId="0" fontId="120" fillId="16" borderId="71" xfId="0" applyFont="1" applyFill="1" applyBorder="1" applyAlignment="1" applyProtection="1">
      <alignment horizontal="left" vertical="center"/>
      <protection hidden="1"/>
    </xf>
    <xf numFmtId="0" fontId="121" fillId="16" borderId="117" xfId="0" applyFont="1" applyFill="1" applyBorder="1" applyAlignment="1" applyProtection="1">
      <alignment horizontal="left" vertical="center"/>
      <protection hidden="1"/>
    </xf>
    <xf numFmtId="0" fontId="121" fillId="16" borderId="118" xfId="0" applyFont="1" applyFill="1" applyBorder="1" applyAlignment="1" applyProtection="1">
      <alignment horizontal="left" vertical="center"/>
      <protection hidden="1"/>
    </xf>
    <xf numFmtId="0" fontId="74" fillId="16" borderId="176" xfId="0" applyFont="1" applyFill="1" applyBorder="1" applyAlignment="1" applyProtection="1">
      <alignment vertical="center"/>
      <protection hidden="1"/>
    </xf>
    <xf numFmtId="0" fontId="53" fillId="15" borderId="185" xfId="0" applyFont="1" applyFill="1" applyBorder="1" applyAlignment="1" applyProtection="1">
      <alignment horizontal="left" vertical="center"/>
      <protection locked="0" hidden="1"/>
    </xf>
    <xf numFmtId="0" fontId="53" fillId="15" borderId="289" xfId="0" applyFont="1" applyFill="1" applyBorder="1" applyAlignment="1" applyProtection="1">
      <alignment horizontal="left" vertical="center"/>
      <protection locked="0" hidden="1"/>
    </xf>
    <xf numFmtId="0" fontId="53" fillId="14" borderId="293" xfId="0" applyFont="1" applyFill="1" applyBorder="1" applyAlignment="1" applyProtection="1">
      <alignment horizontal="left" vertical="center" shrinkToFit="1"/>
      <protection hidden="1"/>
    </xf>
    <xf numFmtId="0" fontId="53" fillId="14" borderId="294" xfId="0" applyFont="1" applyFill="1" applyBorder="1" applyAlignment="1" applyProtection="1">
      <alignment horizontal="left" vertical="center" shrinkToFit="1"/>
      <protection hidden="1"/>
    </xf>
    <xf numFmtId="0" fontId="76" fillId="15" borderId="100" xfId="0" applyFont="1" applyFill="1" applyBorder="1" applyAlignment="1" applyProtection="1">
      <alignment horizontal="left" vertical="center"/>
      <protection hidden="1"/>
    </xf>
    <xf numFmtId="0" fontId="76" fillId="15" borderId="101" xfId="0" applyFont="1" applyFill="1" applyBorder="1" applyAlignment="1" applyProtection="1">
      <alignment horizontal="left" vertical="center"/>
      <protection hidden="1"/>
    </xf>
    <xf numFmtId="0" fontId="76" fillId="15" borderId="113" xfId="0" applyFont="1" applyFill="1" applyBorder="1" applyAlignment="1" applyProtection="1">
      <alignment horizontal="left" vertical="center"/>
      <protection hidden="1"/>
    </xf>
    <xf numFmtId="0" fontId="76" fillId="15" borderId="114" xfId="0" applyFont="1" applyFill="1" applyBorder="1" applyAlignment="1" applyProtection="1">
      <alignment horizontal="left" vertical="center"/>
      <protection hidden="1"/>
    </xf>
    <xf numFmtId="0" fontId="74" fillId="16" borderId="282" xfId="0" applyFont="1" applyFill="1" applyBorder="1" applyAlignment="1" applyProtection="1">
      <alignment horizontal="left" vertical="center"/>
      <protection hidden="1"/>
    </xf>
    <xf numFmtId="0" fontId="74" fillId="16" borderId="283" xfId="0" applyFont="1" applyFill="1" applyBorder="1" applyAlignment="1" applyProtection="1">
      <alignment horizontal="left" vertical="center"/>
      <protection hidden="1"/>
    </xf>
    <xf numFmtId="0" fontId="74" fillId="16" borderId="67" xfId="0" applyFont="1" applyFill="1" applyBorder="1" applyAlignment="1" applyProtection="1">
      <alignment horizontal="left" vertical="center"/>
      <protection hidden="1"/>
    </xf>
    <xf numFmtId="0" fontId="50" fillId="15" borderId="52" xfId="0" applyFont="1" applyFill="1" applyBorder="1" applyAlignment="1" applyProtection="1">
      <alignment horizontal="left" vertical="center"/>
      <protection hidden="1"/>
    </xf>
    <xf numFmtId="0" fontId="50" fillId="15" borderId="249" xfId="0" applyFont="1" applyFill="1" applyBorder="1" applyAlignment="1" applyProtection="1">
      <alignment horizontal="left" vertical="center"/>
      <protection hidden="1"/>
    </xf>
    <xf numFmtId="0" fontId="50" fillId="15" borderId="267" xfId="0" applyFont="1" applyFill="1" applyBorder="1" applyAlignment="1" applyProtection="1">
      <alignment horizontal="left" vertical="center"/>
      <protection hidden="1"/>
    </xf>
    <xf numFmtId="0" fontId="50" fillId="15" borderId="76" xfId="0" applyFont="1" applyFill="1" applyBorder="1" applyAlignment="1" applyProtection="1">
      <alignment vertical="center"/>
      <protection hidden="1"/>
    </xf>
    <xf numFmtId="0" fontId="50" fillId="15" borderId="111" xfId="0" applyFont="1" applyFill="1" applyBorder="1" applyAlignment="1" applyProtection="1">
      <alignment vertical="center"/>
      <protection hidden="1"/>
    </xf>
    <xf numFmtId="0" fontId="50" fillId="15" borderId="130" xfId="0" applyFont="1" applyFill="1" applyBorder="1" applyAlignment="1" applyProtection="1">
      <alignment vertical="center"/>
      <protection hidden="1"/>
    </xf>
    <xf numFmtId="0" fontId="50" fillId="15" borderId="284" xfId="0" applyFont="1" applyFill="1" applyBorder="1" applyAlignment="1" applyProtection="1">
      <alignment vertical="center"/>
      <protection hidden="1"/>
    </xf>
    <xf numFmtId="0" fontId="50" fillId="15" borderId="77" xfId="0" applyFont="1" applyFill="1" applyBorder="1" applyAlignment="1" applyProtection="1">
      <alignment vertical="center"/>
      <protection hidden="1"/>
    </xf>
    <xf numFmtId="0" fontId="53" fillId="15" borderId="184" xfId="0" applyFont="1" applyFill="1" applyBorder="1" applyAlignment="1" applyProtection="1">
      <alignment horizontal="left" vertical="center"/>
      <protection hidden="1"/>
    </xf>
    <xf numFmtId="0" fontId="53" fillId="15" borderId="116" xfId="0" applyFont="1" applyFill="1" applyBorder="1" applyAlignment="1" applyProtection="1">
      <alignment vertical="center"/>
      <protection hidden="1"/>
    </xf>
    <xf numFmtId="0" fontId="53" fillId="15" borderId="130" xfId="0" applyFont="1" applyFill="1" applyBorder="1" applyAlignment="1" applyProtection="1">
      <alignment vertical="center"/>
      <protection hidden="1"/>
    </xf>
    <xf numFmtId="0" fontId="53" fillId="15" borderId="284" xfId="0" applyFont="1" applyFill="1" applyBorder="1" applyAlignment="1" applyProtection="1">
      <alignment vertical="center"/>
      <protection hidden="1"/>
    </xf>
    <xf numFmtId="0" fontId="50" fillId="15" borderId="54" xfId="0" applyFont="1" applyFill="1" applyBorder="1" applyAlignment="1" applyProtection="1">
      <alignment vertical="center"/>
      <protection hidden="1"/>
    </xf>
    <xf numFmtId="0" fontId="50" fillId="15" borderId="260" xfId="0" applyFont="1" applyFill="1" applyBorder="1" applyAlignment="1" applyProtection="1">
      <alignment vertical="center"/>
      <protection hidden="1"/>
    </xf>
    <xf numFmtId="0" fontId="74" fillId="16" borderId="177" xfId="0" applyFont="1" applyFill="1" applyBorder="1" applyAlignment="1" applyProtection="1">
      <alignment horizontal="left" vertical="center"/>
      <protection hidden="1"/>
    </xf>
    <xf numFmtId="0" fontId="50" fillId="15" borderId="249" xfId="0" applyFont="1" applyFill="1" applyBorder="1" applyAlignment="1" applyProtection="1">
      <alignment vertical="center"/>
      <protection hidden="1"/>
    </xf>
    <xf numFmtId="0" fontId="50" fillId="15" borderId="214" xfId="0" applyFont="1" applyFill="1" applyBorder="1" applyAlignment="1" applyProtection="1">
      <alignment vertical="center"/>
      <protection hidden="1"/>
    </xf>
    <xf numFmtId="0" fontId="50" fillId="15" borderId="116" xfId="0" applyFont="1" applyFill="1" applyBorder="1" applyAlignment="1" applyProtection="1">
      <alignment vertical="center"/>
      <protection hidden="1"/>
    </xf>
    <xf numFmtId="0" fontId="74" fillId="16" borderId="103" xfId="0" applyFont="1" applyFill="1" applyBorder="1" applyAlignment="1" applyProtection="1">
      <alignment horizontal="left" vertical="center"/>
      <protection hidden="1"/>
    </xf>
    <xf numFmtId="201" fontId="94" fillId="16" borderId="189" xfId="0" applyNumberFormat="1" applyFont="1" applyFill="1" applyBorder="1" applyAlignment="1" applyProtection="1">
      <alignment horizontal="right" vertical="center" shrinkToFit="1"/>
      <protection hidden="1"/>
    </xf>
    <xf numFmtId="201" fontId="94" fillId="16" borderId="39" xfId="0" applyNumberFormat="1" applyFont="1" applyFill="1" applyBorder="1" applyAlignment="1" applyProtection="1">
      <alignment horizontal="right" vertical="center" shrinkToFit="1"/>
      <protection hidden="1"/>
    </xf>
    <xf numFmtId="0" fontId="53" fillId="15" borderId="191" xfId="0" applyFont="1" applyFill="1" applyBorder="1" applyAlignment="1" applyProtection="1">
      <alignment horizontal="left" vertical="center"/>
      <protection hidden="1"/>
    </xf>
    <xf numFmtId="0" fontId="53" fillId="15" borderId="192" xfId="0" applyFont="1" applyFill="1" applyBorder="1" applyAlignment="1" applyProtection="1">
      <alignment horizontal="left" vertical="center"/>
      <protection hidden="1"/>
    </xf>
    <xf numFmtId="0" fontId="77" fillId="16" borderId="188" xfId="0" applyFont="1" applyFill="1" applyBorder="1" applyAlignment="1" applyProtection="1">
      <alignment horizontal="center" vertical="center" shrinkToFit="1"/>
      <protection hidden="1"/>
    </xf>
    <xf numFmtId="0" fontId="77" fillId="16" borderId="189" xfId="0" applyFont="1" applyFill="1" applyBorder="1" applyAlignment="1" applyProtection="1">
      <alignment horizontal="center" vertical="center" shrinkToFit="1"/>
      <protection hidden="1"/>
    </xf>
    <xf numFmtId="199" fontId="50" fillId="16" borderId="193" xfId="0" applyNumberFormat="1" applyFont="1" applyFill="1" applyBorder="1" applyAlignment="1" applyProtection="1">
      <alignment horizontal="right" vertical="center" shrinkToFit="1"/>
      <protection hidden="1"/>
    </xf>
    <xf numFmtId="199" fontId="50" fillId="16" borderId="194" xfId="0" applyNumberFormat="1" applyFont="1" applyFill="1" applyBorder="1" applyAlignment="1" applyProtection="1">
      <alignment horizontal="right" vertical="center" shrinkToFit="1"/>
      <protection hidden="1"/>
    </xf>
    <xf numFmtId="0" fontId="53" fillId="15" borderId="190" xfId="0" applyFont="1" applyFill="1" applyBorder="1" applyAlignment="1" applyProtection="1">
      <alignment horizontal="left" vertical="center"/>
      <protection hidden="1"/>
    </xf>
    <xf numFmtId="0" fontId="53" fillId="15" borderId="112" xfId="0" applyFont="1" applyFill="1" applyBorder="1" applyAlignment="1" applyProtection="1">
      <alignment horizontal="left" vertical="center"/>
      <protection hidden="1"/>
    </xf>
    <xf numFmtId="0" fontId="53" fillId="15" borderId="77" xfId="0" applyFont="1" applyFill="1" applyBorder="1" applyAlignment="1" applyProtection="1">
      <alignment horizontal="left" vertical="center"/>
      <protection hidden="1"/>
    </xf>
    <xf numFmtId="199" fontId="94" fillId="16" borderId="188" xfId="0" applyNumberFormat="1" applyFont="1" applyFill="1" applyBorder="1" applyAlignment="1" applyProtection="1">
      <alignment horizontal="right" vertical="center" shrinkToFit="1"/>
      <protection hidden="1"/>
    </xf>
    <xf numFmtId="199" fontId="94" fillId="16" borderId="208" xfId="0" applyNumberFormat="1" applyFont="1" applyFill="1" applyBorder="1" applyAlignment="1" applyProtection="1">
      <alignment horizontal="right" vertical="center" shrinkToFit="1"/>
      <protection hidden="1"/>
    </xf>
    <xf numFmtId="199" fontId="94" fillId="16" borderId="209" xfId="0" applyNumberFormat="1" applyFont="1" applyFill="1" applyBorder="1" applyAlignment="1" applyProtection="1">
      <alignment horizontal="right" vertical="center" shrinkToFit="1"/>
      <protection hidden="1"/>
    </xf>
    <xf numFmtId="199" fontId="94" fillId="16" borderId="210" xfId="0" applyNumberFormat="1" applyFont="1" applyFill="1" applyBorder="1" applyAlignment="1" applyProtection="1">
      <alignment horizontal="right" vertical="center" shrinkToFit="1"/>
      <protection hidden="1"/>
    </xf>
    <xf numFmtId="0" fontId="77" fillId="16" borderId="183" xfId="0" applyFont="1" applyFill="1" applyBorder="1" applyAlignment="1" applyProtection="1">
      <alignment horizontal="center" vertical="center" shrinkToFit="1"/>
      <protection hidden="1"/>
    </xf>
    <xf numFmtId="0" fontId="77" fillId="16" borderId="40" xfId="0" applyFont="1" applyFill="1" applyBorder="1" applyAlignment="1" applyProtection="1">
      <alignment horizontal="center" vertical="center" shrinkToFit="1"/>
      <protection hidden="1"/>
    </xf>
    <xf numFmtId="0" fontId="67" fillId="16" borderId="66" xfId="0" applyFont="1" applyFill="1" applyBorder="1" applyAlignment="1" applyProtection="1">
      <alignment horizontal="left" vertical="center" shrinkToFit="1"/>
      <protection hidden="1"/>
    </xf>
    <xf numFmtId="0" fontId="67" fillId="16" borderId="91" xfId="0" applyFont="1" applyFill="1" applyBorder="1" applyAlignment="1" applyProtection="1">
      <alignment horizontal="left" vertical="center" shrinkToFit="1"/>
      <protection hidden="1"/>
    </xf>
    <xf numFmtId="0" fontId="53" fillId="14" borderId="244" xfId="0" applyFont="1" applyFill="1" applyBorder="1" applyAlignment="1" applyProtection="1">
      <alignment horizontal="center" vertical="center" shrinkToFit="1"/>
      <protection hidden="1"/>
    </xf>
    <xf numFmtId="0" fontId="53" fillId="14" borderId="245" xfId="0" applyFont="1" applyFill="1" applyBorder="1" applyAlignment="1" applyProtection="1">
      <alignment horizontal="center" vertical="center" shrinkToFit="1"/>
      <protection hidden="1"/>
    </xf>
    <xf numFmtId="0" fontId="67" fillId="16" borderId="147" xfId="0" applyFont="1" applyFill="1" applyBorder="1" applyAlignment="1" applyProtection="1">
      <alignment horizontal="left" vertical="center" shrinkToFit="1"/>
      <protection hidden="1"/>
    </xf>
    <xf numFmtId="0" fontId="67" fillId="16" borderId="212" xfId="0" applyFont="1" applyFill="1" applyBorder="1" applyAlignment="1" applyProtection="1">
      <alignment horizontal="left" vertical="center" shrinkToFit="1"/>
      <protection hidden="1"/>
    </xf>
    <xf numFmtId="0" fontId="77" fillId="16" borderId="44" xfId="0" applyFont="1" applyFill="1" applyBorder="1" applyAlignment="1" applyProtection="1">
      <alignment horizontal="left" vertical="center" shrinkToFit="1"/>
      <protection hidden="1"/>
    </xf>
    <xf numFmtId="0" fontId="77" fillId="16" borderId="45" xfId="0" applyFont="1" applyFill="1" applyBorder="1" applyAlignment="1" applyProtection="1">
      <alignment horizontal="left" vertical="center" shrinkToFit="1"/>
      <protection hidden="1"/>
    </xf>
    <xf numFmtId="207" fontId="53" fillId="15" borderId="52" xfId="0" applyNumberFormat="1" applyFont="1" applyFill="1" applyBorder="1" applyAlignment="1" applyProtection="1">
      <alignment horizontal="left" vertical="center" shrinkToFit="1"/>
      <protection hidden="1"/>
    </xf>
    <xf numFmtId="207" fontId="53" fillId="15" borderId="89" xfId="0" applyNumberFormat="1" applyFont="1" applyFill="1" applyBorder="1" applyAlignment="1" applyProtection="1">
      <alignment horizontal="left" vertical="center" shrinkToFit="1"/>
      <protection hidden="1"/>
    </xf>
    <xf numFmtId="42" fontId="53" fillId="15" borderId="76" xfId="0" applyNumberFormat="1" applyFont="1" applyFill="1" applyBorder="1" applyAlignment="1" applyProtection="1">
      <alignment horizontal="right" vertical="center" shrinkToFit="1"/>
      <protection hidden="1"/>
    </xf>
    <xf numFmtId="42" fontId="53" fillId="15" borderId="77" xfId="0" applyNumberFormat="1" applyFont="1" applyFill="1" applyBorder="1" applyAlignment="1" applyProtection="1">
      <alignment horizontal="right" vertical="center" shrinkToFit="1"/>
      <protection hidden="1"/>
    </xf>
    <xf numFmtId="0" fontId="53" fillId="11" borderId="184" xfId="0" applyFont="1" applyFill="1" applyBorder="1" applyAlignment="1" applyProtection="1">
      <alignment horizontal="left" vertical="center"/>
      <protection hidden="1"/>
    </xf>
    <xf numFmtId="0" fontId="53" fillId="11" borderId="77" xfId="0" applyFont="1" applyFill="1" applyBorder="1" applyAlignment="1" applyProtection="1">
      <alignment horizontal="left" vertical="center"/>
      <protection hidden="1"/>
    </xf>
    <xf numFmtId="0" fontId="74" fillId="30" borderId="65" xfId="0" applyFont="1" applyFill="1" applyBorder="1" applyAlignment="1" applyProtection="1">
      <alignment vertical="center"/>
      <protection hidden="1"/>
    </xf>
    <xf numFmtId="0" fontId="74" fillId="30" borderId="66" xfId="0" applyFont="1" applyFill="1" applyBorder="1" applyAlignment="1" applyProtection="1">
      <alignment vertical="center"/>
      <protection hidden="1"/>
    </xf>
    <xf numFmtId="0" fontId="74" fillId="30" borderId="120" xfId="0" applyFont="1" applyFill="1" applyBorder="1" applyAlignment="1" applyProtection="1">
      <alignment vertical="center"/>
      <protection hidden="1"/>
    </xf>
    <xf numFmtId="0" fontId="53" fillId="31" borderId="68" xfId="0" applyFont="1" applyFill="1" applyBorder="1" applyAlignment="1" applyProtection="1">
      <alignment horizontal="left" vertical="center"/>
      <protection hidden="1"/>
    </xf>
    <xf numFmtId="0" fontId="53" fillId="31" borderId="52" xfId="0" applyFont="1" applyFill="1" applyBorder="1" applyAlignment="1" applyProtection="1">
      <alignment horizontal="left" vertical="center"/>
      <protection hidden="1"/>
    </xf>
    <xf numFmtId="0" fontId="24" fillId="34" borderId="52" xfId="0" applyFont="1" applyFill="1" applyBorder="1" applyAlignment="1" applyProtection="1">
      <alignment horizontal="left" vertical="center" shrinkToFit="1"/>
      <protection hidden="1"/>
    </xf>
    <xf numFmtId="0" fontId="24" fillId="34" borderId="61" xfId="0" applyFont="1" applyFill="1" applyBorder="1" applyAlignment="1" applyProtection="1">
      <alignment horizontal="left" vertical="center" shrinkToFit="1"/>
      <protection hidden="1"/>
    </xf>
    <xf numFmtId="0" fontId="53" fillId="31" borderId="50" xfId="0" applyFont="1" applyFill="1" applyBorder="1" applyAlignment="1" applyProtection="1">
      <alignment horizontal="left" vertical="center"/>
      <protection hidden="1"/>
    </xf>
    <xf numFmtId="0" fontId="53" fillId="31" borderId="61" xfId="0" applyFont="1" applyFill="1" applyBorder="1" applyAlignment="1" applyProtection="1">
      <alignment horizontal="left" vertical="center"/>
      <protection hidden="1"/>
    </xf>
    <xf numFmtId="0" fontId="53" fillId="31" borderId="184" xfId="0" applyFont="1" applyFill="1" applyBorder="1" applyAlignment="1" applyProtection="1">
      <alignment horizontal="left" vertical="center"/>
      <protection locked="0" hidden="1"/>
    </xf>
    <xf numFmtId="0" fontId="53" fillId="31" borderId="77" xfId="0" applyFont="1" applyFill="1" applyBorder="1" applyAlignment="1" applyProtection="1">
      <alignment horizontal="left" vertical="center"/>
      <protection locked="0" hidden="1"/>
    </xf>
    <xf numFmtId="0" fontId="74" fillId="30" borderId="117" xfId="0" applyFont="1" applyFill="1" applyBorder="1" applyAlignment="1" applyProtection="1">
      <alignment vertical="center"/>
      <protection hidden="1"/>
    </xf>
    <xf numFmtId="0" fontId="74" fillId="30" borderId="118" xfId="0" applyFont="1" applyFill="1" applyBorder="1" applyAlignment="1" applyProtection="1">
      <alignment vertical="center"/>
      <protection hidden="1"/>
    </xf>
    <xf numFmtId="185" fontId="53" fillId="31" borderId="76" xfId="0" applyNumberFormat="1" applyFont="1" applyFill="1" applyBorder="1" applyAlignment="1" applyProtection="1">
      <alignment vertical="center" shrinkToFit="1"/>
      <protection hidden="1"/>
    </xf>
    <xf numFmtId="185" fontId="53" fillId="31" borderId="77" xfId="0" applyNumberFormat="1" applyFont="1" applyFill="1" applyBorder="1" applyAlignment="1" applyProtection="1">
      <alignment vertical="center" shrinkToFit="1"/>
      <protection hidden="1"/>
    </xf>
    <xf numFmtId="0" fontId="53" fillId="31" borderId="185" xfId="0" applyFont="1" applyFill="1" applyBorder="1" applyAlignment="1" applyProtection="1">
      <alignment horizontal="left" vertical="center"/>
      <protection locked="0" hidden="1"/>
    </xf>
    <xf numFmtId="0" fontId="53" fillId="31" borderId="152" xfId="0" applyFont="1" applyFill="1" applyBorder="1" applyAlignment="1" applyProtection="1">
      <alignment horizontal="left" vertical="center"/>
      <protection locked="0" hidden="1"/>
    </xf>
    <xf numFmtId="0" fontId="76" fillId="31" borderId="100" xfId="0" applyFont="1" applyFill="1" applyBorder="1" applyAlignment="1" applyProtection="1">
      <alignment horizontal="left" vertical="center"/>
      <protection hidden="1"/>
    </xf>
    <xf numFmtId="0" fontId="76" fillId="31" borderId="101" xfId="0" applyFont="1" applyFill="1" applyBorder="1" applyAlignment="1" applyProtection="1">
      <alignment horizontal="left" vertical="center"/>
      <protection hidden="1"/>
    </xf>
    <xf numFmtId="0" fontId="50" fillId="31" borderId="76" xfId="0" applyFont="1" applyFill="1" applyBorder="1" applyAlignment="1" applyProtection="1">
      <alignment vertical="center"/>
      <protection hidden="1"/>
    </xf>
    <xf numFmtId="0" fontId="50" fillId="31" borderId="111" xfId="0" applyFont="1" applyFill="1" applyBorder="1" applyAlignment="1" applyProtection="1">
      <alignment vertical="center"/>
      <protection hidden="1"/>
    </xf>
    <xf numFmtId="0" fontId="50" fillId="31" borderId="112" xfId="0" applyFont="1" applyFill="1" applyBorder="1" applyAlignment="1" applyProtection="1">
      <alignment vertical="center"/>
      <protection hidden="1"/>
    </xf>
    <xf numFmtId="0" fontId="74" fillId="30" borderId="81" xfId="0" applyFont="1" applyFill="1" applyBorder="1" applyAlignment="1" applyProtection="1">
      <alignment horizontal="left" vertical="center"/>
      <protection hidden="1"/>
    </xf>
    <xf numFmtId="0" fontId="74" fillId="30" borderId="82" xfId="0" applyFont="1" applyFill="1" applyBorder="1" applyAlignment="1" applyProtection="1">
      <alignment horizontal="left" vertical="center"/>
      <protection hidden="1"/>
    </xf>
    <xf numFmtId="0" fontId="74" fillId="30" borderId="96" xfId="0" applyFont="1" applyFill="1" applyBorder="1" applyAlignment="1" applyProtection="1">
      <alignment horizontal="left" vertical="center"/>
      <protection hidden="1"/>
    </xf>
    <xf numFmtId="0" fontId="74" fillId="30" borderId="70" xfId="0" applyFont="1" applyFill="1" applyBorder="1" applyAlignment="1" applyProtection="1">
      <alignment vertical="center"/>
      <protection hidden="1"/>
    </xf>
    <xf numFmtId="0" fontId="74" fillId="30" borderId="71" xfId="0" applyFont="1" applyFill="1" applyBorder="1" applyAlignment="1" applyProtection="1">
      <alignment vertical="center"/>
      <protection hidden="1"/>
    </xf>
    <xf numFmtId="0" fontId="74" fillId="30" borderId="176" xfId="0" applyFont="1" applyFill="1" applyBorder="1" applyAlignment="1" applyProtection="1">
      <alignment vertical="center"/>
      <protection hidden="1"/>
    </xf>
    <xf numFmtId="0" fontId="125" fillId="35" borderId="1" xfId="0" applyFont="1" applyFill="1" applyBorder="1" applyAlignment="1" applyProtection="1">
      <alignment horizontal="left" vertical="top" wrapText="1"/>
      <protection locked="0"/>
    </xf>
    <xf numFmtId="0" fontId="125" fillId="35" borderId="12" xfId="0" applyFont="1" applyFill="1" applyBorder="1" applyAlignment="1" applyProtection="1">
      <alignment horizontal="left" vertical="top"/>
      <protection locked="0"/>
    </xf>
    <xf numFmtId="0" fontId="125" fillId="35" borderId="13" xfId="0" applyFont="1" applyFill="1" applyBorder="1" applyAlignment="1" applyProtection="1">
      <alignment horizontal="left" vertical="top"/>
      <protection locked="0"/>
    </xf>
    <xf numFmtId="0" fontId="125" fillId="35" borderId="14" xfId="0" applyFont="1" applyFill="1" applyBorder="1" applyAlignment="1" applyProtection="1">
      <alignment horizontal="left" vertical="top"/>
      <protection locked="0"/>
    </xf>
    <xf numFmtId="0" fontId="125" fillId="35" borderId="23" xfId="0" applyFont="1" applyFill="1" applyBorder="1" applyAlignment="1" applyProtection="1">
      <alignment horizontal="left" vertical="top"/>
      <protection locked="0"/>
    </xf>
    <xf numFmtId="0" fontId="125" fillId="35" borderId="19" xfId="0" applyFont="1" applyFill="1" applyBorder="1" applyAlignment="1" applyProtection="1">
      <alignment horizontal="left" vertical="top"/>
      <protection locked="0"/>
    </xf>
    <xf numFmtId="0" fontId="125" fillId="35" borderId="17" xfId="0" applyFont="1" applyFill="1" applyBorder="1" applyAlignment="1" applyProtection="1">
      <alignment horizontal="left" vertical="top"/>
      <protection locked="0"/>
    </xf>
    <xf numFmtId="0" fontId="132" fillId="35" borderId="12" xfId="0" applyFont="1" applyFill="1" applyBorder="1" applyAlignment="1" applyProtection="1">
      <alignment horizontal="left" vertical="top"/>
      <protection locked="0"/>
    </xf>
    <xf numFmtId="0" fontId="132" fillId="35" borderId="13" xfId="0" applyFont="1" applyFill="1" applyBorder="1" applyAlignment="1" applyProtection="1">
      <alignment horizontal="left" vertical="top"/>
      <protection locked="0"/>
    </xf>
    <xf numFmtId="0" fontId="132" fillId="35" borderId="14" xfId="0" applyFont="1" applyFill="1" applyBorder="1" applyAlignment="1" applyProtection="1">
      <alignment horizontal="left" vertical="top"/>
      <protection locked="0"/>
    </xf>
    <xf numFmtId="0" fontId="132" fillId="35" borderId="23" xfId="0" applyFont="1" applyFill="1" applyBorder="1" applyAlignment="1" applyProtection="1">
      <alignment horizontal="left" vertical="top"/>
      <protection locked="0"/>
    </xf>
    <xf numFmtId="0" fontId="132" fillId="35" borderId="19" xfId="0" applyFont="1" applyFill="1" applyBorder="1" applyAlignment="1" applyProtection="1">
      <alignment horizontal="left" vertical="top"/>
      <protection locked="0"/>
    </xf>
    <xf numFmtId="0" fontId="132" fillId="35" borderId="17" xfId="0" applyFont="1" applyFill="1" applyBorder="1" applyAlignment="1" applyProtection="1">
      <alignment horizontal="left" vertical="top"/>
      <protection locked="0"/>
    </xf>
    <xf numFmtId="0" fontId="125" fillId="3" borderId="16" xfId="0" applyFont="1" applyFill="1" applyBorder="1" applyAlignment="1" applyProtection="1">
      <alignment horizontal="left" vertical="top"/>
      <protection hidden="1"/>
    </xf>
    <xf numFmtId="0" fontId="125" fillId="3" borderId="18" xfId="0" applyFont="1" applyFill="1" applyBorder="1" applyAlignment="1" applyProtection="1">
      <alignment horizontal="left" vertical="top"/>
      <protection hidden="1"/>
    </xf>
    <xf numFmtId="0" fontId="125" fillId="3" borderId="8" xfId="0" applyFont="1" applyFill="1" applyBorder="1" applyAlignment="1" applyProtection="1">
      <alignment horizontal="left" vertical="top"/>
      <protection hidden="1"/>
    </xf>
    <xf numFmtId="0" fontId="40" fillId="0" borderId="0" xfId="0" applyFont="1" applyBorder="1" applyAlignment="1" applyProtection="1">
      <alignment horizontal="center"/>
      <protection locked="0"/>
    </xf>
    <xf numFmtId="0" fontId="40" fillId="0" borderId="0" xfId="0" applyFont="1" applyBorder="1" applyProtection="1">
      <protection locked="0"/>
    </xf>
    <xf numFmtId="0" fontId="40" fillId="0" borderId="145" xfId="0" applyFont="1" applyBorder="1" applyProtection="1">
      <protection locked="0"/>
    </xf>
    <xf numFmtId="0" fontId="40" fillId="7" borderId="0" xfId="0" applyFont="1" applyFill="1" applyBorder="1" applyAlignment="1" applyProtection="1">
      <alignment horizontal="center"/>
      <protection hidden="1"/>
    </xf>
    <xf numFmtId="0" fontId="76" fillId="23" borderId="131" xfId="0" applyFont="1" applyFill="1" applyBorder="1" applyAlignment="1" applyProtection="1">
      <alignment horizontal="left" vertical="center"/>
      <protection hidden="1"/>
    </xf>
    <xf numFmtId="0" fontId="76" fillId="23" borderId="132" xfId="0" applyFont="1" applyFill="1" applyBorder="1" applyAlignment="1" applyProtection="1">
      <alignment horizontal="left" vertical="center"/>
      <protection hidden="1"/>
    </xf>
    <xf numFmtId="0" fontId="76" fillId="23" borderId="220" xfId="0" applyFont="1" applyFill="1" applyBorder="1" applyAlignment="1" applyProtection="1">
      <alignment horizontal="left" vertical="center"/>
      <protection hidden="1"/>
    </xf>
    <xf numFmtId="0" fontId="53" fillId="22" borderId="141" xfId="0" applyFont="1" applyFill="1" applyBorder="1" applyAlignment="1" applyProtection="1">
      <alignment horizontal="center" vertical="center"/>
      <protection hidden="1"/>
    </xf>
    <xf numFmtId="0" fontId="53" fillId="22" borderId="77" xfId="0" applyFont="1" applyFill="1" applyBorder="1" applyAlignment="1" applyProtection="1">
      <alignment horizontal="center" vertical="center"/>
      <protection hidden="1"/>
    </xf>
    <xf numFmtId="0" fontId="71" fillId="22" borderId="61" xfId="0" applyFont="1" applyFill="1" applyBorder="1" applyAlignment="1" applyProtection="1">
      <alignment horizontal="center" vertical="center" wrapText="1"/>
      <protection hidden="1"/>
    </xf>
    <xf numFmtId="0" fontId="71" fillId="22" borderId="111" xfId="0" applyFont="1" applyFill="1" applyBorder="1" applyAlignment="1" applyProtection="1">
      <alignment horizontal="center" vertical="center" wrapText="1"/>
      <protection hidden="1"/>
    </xf>
    <xf numFmtId="0" fontId="40" fillId="0" borderId="130" xfId="0" applyFont="1" applyBorder="1" applyProtection="1">
      <protection locked="0"/>
    </xf>
    <xf numFmtId="0" fontId="111" fillId="10" borderId="221" xfId="0" applyFont="1" applyFill="1" applyBorder="1" applyAlignment="1" applyProtection="1">
      <alignment horizontal="center" vertical="center" wrapText="1" shrinkToFit="1"/>
      <protection hidden="1"/>
    </xf>
    <xf numFmtId="0" fontId="111" fillId="10" borderId="222" xfId="0" applyFont="1" applyFill="1" applyBorder="1" applyAlignment="1" applyProtection="1">
      <alignment horizontal="center" vertical="center" wrapText="1" shrinkToFit="1"/>
      <protection hidden="1"/>
    </xf>
    <xf numFmtId="0" fontId="111" fillId="10" borderId="223" xfId="0" applyFont="1" applyFill="1" applyBorder="1" applyAlignment="1" applyProtection="1">
      <alignment horizontal="center" vertical="center" wrapText="1" shrinkToFit="1"/>
      <protection hidden="1"/>
    </xf>
    <xf numFmtId="0" fontId="124" fillId="22" borderId="141" xfId="0" applyFont="1" applyFill="1" applyBorder="1" applyAlignment="1" applyProtection="1">
      <alignment horizontal="left" vertical="center"/>
      <protection hidden="1"/>
    </xf>
    <xf numFmtId="0" fontId="124" fillId="22" borderId="77" xfId="0" applyFont="1" applyFill="1" applyBorder="1" applyAlignment="1" applyProtection="1">
      <alignment horizontal="left" vertical="center"/>
      <protection hidden="1"/>
    </xf>
    <xf numFmtId="0" fontId="40" fillId="0" borderId="145" xfId="0" applyFont="1" applyBorder="1" applyAlignment="1" applyProtection="1">
      <alignment horizontal="center"/>
      <protection locked="0"/>
    </xf>
    <xf numFmtId="0" fontId="76" fillId="23" borderId="131" xfId="0" applyFont="1" applyFill="1" applyBorder="1" applyAlignment="1" applyProtection="1">
      <alignment vertical="center"/>
      <protection hidden="1"/>
    </xf>
    <xf numFmtId="0" fontId="76" fillId="23" borderId="132" xfId="0" applyFont="1" applyFill="1" applyBorder="1" applyAlignment="1" applyProtection="1">
      <alignment vertical="center"/>
      <protection hidden="1"/>
    </xf>
    <xf numFmtId="0" fontId="76" fillId="23" borderId="220" xfId="0" applyFont="1" applyFill="1" applyBorder="1" applyAlignment="1" applyProtection="1">
      <alignment vertical="center"/>
      <protection hidden="1"/>
    </xf>
    <xf numFmtId="15" fontId="125" fillId="35" borderId="1" xfId="0" applyNumberFormat="1" applyFont="1" applyFill="1" applyBorder="1" applyAlignment="1" applyProtection="1">
      <alignment horizontal="left" vertical="top"/>
      <protection locked="0"/>
    </xf>
    <xf numFmtId="0" fontId="53" fillId="22" borderId="134" xfId="0" applyFont="1" applyFill="1" applyBorder="1" applyAlignment="1" applyProtection="1">
      <alignment horizontal="left" vertical="center"/>
      <protection hidden="1"/>
    </xf>
    <xf numFmtId="0" fontId="53" fillId="22" borderId="52" xfId="0" applyFont="1" applyFill="1" applyBorder="1" applyAlignment="1" applyProtection="1">
      <alignment horizontal="left" vertical="center"/>
      <protection hidden="1"/>
    </xf>
    <xf numFmtId="0" fontId="112" fillId="24" borderId="54" xfId="0" applyFont="1" applyFill="1" applyBorder="1" applyAlignment="1" applyProtection="1">
      <alignment horizontal="left" vertical="center" shrinkToFit="1"/>
      <protection hidden="1"/>
    </xf>
    <xf numFmtId="0" fontId="112" fillId="24" borderId="52" xfId="0" applyFont="1" applyFill="1" applyBorder="1" applyAlignment="1" applyProtection="1">
      <alignment horizontal="left" vertical="center" shrinkToFit="1"/>
      <protection hidden="1"/>
    </xf>
    <xf numFmtId="0" fontId="112" fillId="24" borderId="61" xfId="0" applyFont="1" applyFill="1" applyBorder="1" applyAlignment="1" applyProtection="1">
      <alignment horizontal="left" vertical="center" shrinkToFit="1"/>
      <protection hidden="1"/>
    </xf>
    <xf numFmtId="0" fontId="53" fillId="22" borderId="77" xfId="0" applyFont="1" applyFill="1" applyBorder="1" applyAlignment="1" applyProtection="1">
      <alignment horizontal="right" vertical="center" shrinkToFit="1"/>
      <protection hidden="1"/>
    </xf>
    <xf numFmtId="0" fontId="53" fillId="22" borderId="52" xfId="0" applyFont="1" applyFill="1" applyBorder="1" applyAlignment="1" applyProtection="1">
      <alignment horizontal="right" vertical="center" shrinkToFit="1"/>
      <protection hidden="1"/>
    </xf>
    <xf numFmtId="0" fontId="19" fillId="0" borderId="52" xfId="0" applyFont="1" applyFill="1" applyBorder="1" applyAlignment="1" applyProtection="1">
      <alignment horizontal="left" vertical="top"/>
      <protection locked="0"/>
    </xf>
    <xf numFmtId="0" fontId="19" fillId="0" borderId="61" xfId="0" applyFont="1" applyFill="1" applyBorder="1" applyAlignment="1" applyProtection="1">
      <alignment horizontal="left" vertical="top"/>
      <protection locked="0"/>
    </xf>
    <xf numFmtId="0" fontId="19" fillId="0" borderId="137" xfId="0" applyFont="1" applyFill="1" applyBorder="1" applyAlignment="1" applyProtection="1">
      <alignment horizontal="left" vertical="top"/>
      <protection locked="0"/>
    </xf>
    <xf numFmtId="0" fontId="19" fillId="0" borderId="139" xfId="0" applyFont="1" applyFill="1" applyBorder="1" applyAlignment="1" applyProtection="1">
      <alignment horizontal="left" vertical="top"/>
      <protection locked="0"/>
    </xf>
    <xf numFmtId="0" fontId="53" fillId="22" borderId="134" xfId="0" applyFont="1" applyFill="1" applyBorder="1" applyAlignment="1" applyProtection="1">
      <alignment horizontal="left" vertical="center" shrinkToFit="1"/>
      <protection hidden="1"/>
    </xf>
    <xf numFmtId="0" fontId="53" fillId="22" borderId="52" xfId="0" applyFont="1" applyFill="1" applyBorder="1" applyAlignment="1" applyProtection="1">
      <alignment horizontal="left" vertical="center" shrinkToFit="1"/>
      <protection hidden="1"/>
    </xf>
    <xf numFmtId="0" fontId="53" fillId="22" borderId="147" xfId="0" applyFont="1" applyFill="1" applyBorder="1" applyAlignment="1" applyProtection="1">
      <alignment vertical="top" wrapText="1" shrinkToFit="1"/>
      <protection hidden="1"/>
    </xf>
    <xf numFmtId="0" fontId="53" fillId="22" borderId="77" xfId="0" applyFont="1" applyFill="1" applyBorder="1" applyAlignment="1" applyProtection="1">
      <alignment vertical="top" wrapText="1" shrinkToFit="1"/>
      <protection hidden="1"/>
    </xf>
    <xf numFmtId="0" fontId="53" fillId="22" borderId="136" xfId="0" applyFont="1" applyFill="1" applyBorder="1" applyAlignment="1" applyProtection="1">
      <alignment horizontal="left" vertical="center" shrinkToFit="1"/>
      <protection hidden="1"/>
    </xf>
    <xf numFmtId="0" fontId="53" fillId="22" borderId="137" xfId="0" applyFont="1" applyFill="1" applyBorder="1" applyAlignment="1" applyProtection="1">
      <alignment horizontal="left" vertical="center" shrinkToFit="1"/>
      <protection hidden="1"/>
    </xf>
    <xf numFmtId="0" fontId="53" fillId="22" borderId="139" xfId="0" applyFont="1" applyFill="1" applyBorder="1" applyAlignment="1" applyProtection="1">
      <alignment vertical="top" wrapText="1" shrinkToFit="1"/>
      <protection hidden="1"/>
    </xf>
    <xf numFmtId="0" fontId="53" fillId="22" borderId="140" xfId="0" applyFont="1" applyFill="1" applyBorder="1" applyAlignment="1" applyProtection="1">
      <alignment vertical="top" wrapText="1" shrinkToFit="1"/>
      <protection hidden="1"/>
    </xf>
    <xf numFmtId="0" fontId="76" fillId="23" borderId="219" xfId="0" applyFont="1" applyFill="1" applyBorder="1" applyAlignment="1" applyProtection="1">
      <alignment horizontal="left"/>
      <protection hidden="1"/>
    </xf>
    <xf numFmtId="0" fontId="76" fillId="23" borderId="150" xfId="0" applyFont="1" applyFill="1" applyBorder="1" applyAlignment="1" applyProtection="1">
      <alignment horizontal="left"/>
      <protection hidden="1"/>
    </xf>
    <xf numFmtId="0" fontId="71" fillId="22" borderId="52" xfId="0" applyFont="1" applyFill="1" applyBorder="1" applyAlignment="1" applyProtection="1">
      <alignment horizontal="center" vertical="center" wrapText="1"/>
      <protection hidden="1"/>
    </xf>
    <xf numFmtId="0" fontId="110" fillId="10" borderId="221" xfId="0" applyFont="1" applyFill="1" applyBorder="1" applyAlignment="1" applyProtection="1">
      <alignment horizontal="center" vertical="center" wrapText="1" shrinkToFit="1"/>
      <protection hidden="1"/>
    </xf>
    <xf numFmtId="0" fontId="110" fillId="10" borderId="222" xfId="0" applyFont="1" applyFill="1" applyBorder="1" applyAlignment="1" applyProtection="1">
      <alignment horizontal="center" vertical="center" wrapText="1" shrinkToFit="1"/>
      <protection hidden="1"/>
    </xf>
    <xf numFmtId="0" fontId="110" fillId="10" borderId="223" xfId="0" applyFont="1" applyFill="1" applyBorder="1" applyAlignment="1" applyProtection="1">
      <alignment horizontal="center" vertical="center" wrapText="1" shrinkToFit="1"/>
      <protection hidden="1"/>
    </xf>
    <xf numFmtId="0" fontId="113" fillId="24" borderId="54" xfId="0" applyFont="1" applyFill="1" applyBorder="1" applyAlignment="1" applyProtection="1">
      <alignment horizontal="left" vertical="center" shrinkToFit="1"/>
      <protection hidden="1"/>
    </xf>
    <xf numFmtId="0" fontId="113" fillId="24" borderId="52" xfId="0" applyFont="1" applyFill="1" applyBorder="1" applyAlignment="1" applyProtection="1">
      <alignment horizontal="left" vertical="center" shrinkToFit="1"/>
      <protection hidden="1"/>
    </xf>
    <xf numFmtId="0" fontId="113" fillId="24" borderId="61" xfId="0" applyFont="1" applyFill="1" applyBorder="1" applyAlignment="1" applyProtection="1">
      <alignment horizontal="left" vertical="center" shrinkToFit="1"/>
      <protection hidden="1"/>
    </xf>
    <xf numFmtId="0" fontId="115" fillId="23" borderId="131" xfId="0" applyFont="1" applyFill="1" applyBorder="1" applyAlignment="1" applyProtection="1">
      <alignment horizontal="left" vertical="center"/>
      <protection hidden="1"/>
    </xf>
    <xf numFmtId="0" fontId="115" fillId="23" borderId="132" xfId="0" applyFont="1" applyFill="1" applyBorder="1" applyAlignment="1" applyProtection="1">
      <alignment horizontal="left" vertical="center"/>
      <protection hidden="1"/>
    </xf>
    <xf numFmtId="0" fontId="115" fillId="23" borderId="220" xfId="0" applyFont="1" applyFill="1" applyBorder="1" applyAlignment="1" applyProtection="1">
      <alignment horizontal="left" vertical="center"/>
      <protection hidden="1"/>
    </xf>
    <xf numFmtId="0" fontId="50" fillId="22" borderId="141" xfId="0" applyFont="1" applyFill="1" applyBorder="1" applyAlignment="1" applyProtection="1">
      <alignment horizontal="center" vertical="center"/>
      <protection hidden="1"/>
    </xf>
    <xf numFmtId="0" fontId="50" fillId="22" borderId="77" xfId="0" applyFont="1" applyFill="1" applyBorder="1" applyAlignment="1" applyProtection="1">
      <alignment horizontal="center" vertical="center"/>
      <protection hidden="1"/>
    </xf>
    <xf numFmtId="0" fontId="106" fillId="22" borderId="61" xfId="0" applyFont="1" applyFill="1" applyBorder="1" applyAlignment="1" applyProtection="1">
      <alignment horizontal="center" vertical="center" wrapText="1"/>
      <protection hidden="1"/>
    </xf>
    <xf numFmtId="0" fontId="106" fillId="22" borderId="111" xfId="0" applyFont="1" applyFill="1" applyBorder="1" applyAlignment="1" applyProtection="1">
      <alignment horizontal="center" vertical="center" wrapText="1"/>
      <protection hidden="1"/>
    </xf>
    <xf numFmtId="0" fontId="115" fillId="23" borderId="131" xfId="0" applyFont="1" applyFill="1" applyBorder="1" applyAlignment="1" applyProtection="1">
      <alignment vertical="center"/>
      <protection hidden="1"/>
    </xf>
    <xf numFmtId="0" fontId="115" fillId="23" borderId="132" xfId="0" applyFont="1" applyFill="1" applyBorder="1" applyAlignment="1" applyProtection="1">
      <alignment vertical="center"/>
      <protection hidden="1"/>
    </xf>
    <xf numFmtId="0" fontId="115" fillId="23" borderId="220" xfId="0" applyFont="1" applyFill="1" applyBorder="1" applyAlignment="1" applyProtection="1">
      <alignment vertical="center"/>
      <protection hidden="1"/>
    </xf>
    <xf numFmtId="0" fontId="107" fillId="10" borderId="221" xfId="0" applyFont="1" applyFill="1" applyBorder="1" applyAlignment="1" applyProtection="1">
      <alignment horizontal="center" vertical="center" wrapText="1" shrinkToFit="1"/>
      <protection hidden="1"/>
    </xf>
    <xf numFmtId="0" fontId="107" fillId="10" borderId="222" xfId="0" applyFont="1" applyFill="1" applyBorder="1" applyAlignment="1" applyProtection="1">
      <alignment horizontal="center" vertical="center" wrapText="1" shrinkToFit="1"/>
      <protection hidden="1"/>
    </xf>
    <xf numFmtId="0" fontId="107" fillId="10" borderId="223" xfId="0" applyFont="1" applyFill="1" applyBorder="1" applyAlignment="1" applyProtection="1">
      <alignment horizontal="center" vertical="center" wrapText="1" shrinkToFit="1"/>
      <protection hidden="1"/>
    </xf>
    <xf numFmtId="0" fontId="109" fillId="24" borderId="54" xfId="0" applyFont="1" applyFill="1" applyBorder="1" applyAlignment="1" applyProtection="1">
      <alignment horizontal="left" vertical="center" shrinkToFit="1"/>
      <protection hidden="1"/>
    </xf>
    <xf numFmtId="0" fontId="109" fillId="24" borderId="52" xfId="0" applyFont="1" applyFill="1" applyBorder="1" applyAlignment="1" applyProtection="1">
      <alignment horizontal="left" vertical="center" shrinkToFit="1"/>
      <protection hidden="1"/>
    </xf>
    <xf numFmtId="0" fontId="109" fillId="24" borderId="61" xfId="0" applyFont="1" applyFill="1" applyBorder="1" applyAlignment="1" applyProtection="1">
      <alignment horizontal="left" vertical="center" shrinkToFit="1"/>
      <protection hidden="1"/>
    </xf>
    <xf numFmtId="0" fontId="115" fillId="23" borderId="219" xfId="0" applyFont="1" applyFill="1" applyBorder="1" applyAlignment="1" applyProtection="1">
      <alignment horizontal="left"/>
      <protection hidden="1"/>
    </xf>
    <xf numFmtId="0" fontId="115" fillId="23" borderId="150" xfId="0" applyFont="1" applyFill="1" applyBorder="1" applyAlignment="1" applyProtection="1">
      <alignment horizontal="left"/>
      <protection hidden="1"/>
    </xf>
    <xf numFmtId="0" fontId="114" fillId="22" borderId="141" xfId="0" applyFont="1" applyFill="1" applyBorder="1" applyAlignment="1" applyProtection="1">
      <alignment horizontal="center" vertical="center"/>
      <protection hidden="1"/>
    </xf>
    <xf numFmtId="0" fontId="114" fillId="22" borderId="77" xfId="0" applyFont="1" applyFill="1" applyBorder="1" applyAlignment="1" applyProtection="1">
      <alignment horizontal="center" vertical="center"/>
      <protection hidden="1"/>
    </xf>
    <xf numFmtId="0" fontId="114" fillId="22" borderId="52" xfId="0" applyFont="1" applyFill="1" applyBorder="1" applyAlignment="1" applyProtection="1">
      <alignment horizontal="center" vertical="center" wrapText="1"/>
      <protection hidden="1"/>
    </xf>
    <xf numFmtId="0" fontId="114" fillId="22" borderId="61" xfId="0" applyFont="1" applyFill="1" applyBorder="1" applyAlignment="1" applyProtection="1">
      <alignment horizontal="center" vertical="center" wrapText="1"/>
      <protection hidden="1"/>
    </xf>
    <xf numFmtId="0" fontId="123" fillId="0" borderId="145" xfId="0" applyFont="1" applyBorder="1" applyProtection="1">
      <protection locked="0"/>
    </xf>
    <xf numFmtId="0" fontId="123" fillId="0" borderId="146" xfId="0" applyFont="1" applyBorder="1" applyProtection="1">
      <protection locked="0"/>
    </xf>
    <xf numFmtId="0" fontId="123" fillId="10" borderId="221" xfId="0" applyFont="1" applyFill="1" applyBorder="1" applyAlignment="1" applyProtection="1">
      <alignment horizontal="center" vertical="center" wrapText="1" shrinkToFit="1"/>
      <protection hidden="1"/>
    </xf>
    <xf numFmtId="0" fontId="123" fillId="10" borderId="222" xfId="0" applyFont="1" applyFill="1" applyBorder="1" applyAlignment="1" applyProtection="1">
      <alignment horizontal="center" vertical="center" wrapText="1" shrinkToFit="1"/>
      <protection hidden="1"/>
    </xf>
    <xf numFmtId="0" fontId="123" fillId="10" borderId="0" xfId="0" applyFont="1" applyFill="1" applyBorder="1" applyAlignment="1" applyProtection="1">
      <alignment horizontal="center" vertical="center" wrapText="1" shrinkToFit="1"/>
      <protection hidden="1"/>
    </xf>
    <xf numFmtId="0" fontId="123" fillId="10" borderId="223" xfId="0" applyFont="1" applyFill="1" applyBorder="1" applyAlignment="1" applyProtection="1">
      <alignment horizontal="center" vertical="center" wrapText="1" shrinkToFit="1"/>
      <protection hidden="1"/>
    </xf>
    <xf numFmtId="0" fontId="125" fillId="10" borderId="221" xfId="0" applyFont="1" applyFill="1" applyBorder="1" applyAlignment="1" applyProtection="1">
      <alignment horizontal="center" vertical="center" wrapText="1" shrinkToFit="1"/>
      <protection hidden="1"/>
    </xf>
    <xf numFmtId="0" fontId="125" fillId="10" borderId="222" xfId="0" applyFont="1" applyFill="1" applyBorder="1" applyAlignment="1" applyProtection="1">
      <alignment horizontal="center" vertical="center" wrapText="1" shrinkToFit="1"/>
      <protection hidden="1"/>
    </xf>
    <xf numFmtId="0" fontId="125" fillId="10" borderId="0" xfId="0" applyFont="1" applyFill="1" applyBorder="1" applyAlignment="1" applyProtection="1">
      <alignment horizontal="center" vertical="center" wrapText="1" shrinkToFit="1"/>
      <protection hidden="1"/>
    </xf>
    <xf numFmtId="0" fontId="125" fillId="10" borderId="223" xfId="0" applyFont="1" applyFill="1" applyBorder="1" applyAlignment="1" applyProtection="1">
      <alignment horizontal="center" vertical="center" wrapText="1" shrinkToFit="1"/>
      <protection hidden="1"/>
    </xf>
    <xf numFmtId="0" fontId="123" fillId="0" borderId="0" xfId="0" applyFont="1" applyBorder="1" applyProtection="1">
      <protection locked="0"/>
    </xf>
    <xf numFmtId="0" fontId="123" fillId="0" borderId="143" xfId="0" applyFont="1" applyBorder="1" applyProtection="1">
      <protection locked="0"/>
    </xf>
    <xf numFmtId="0" fontId="123" fillId="0" borderId="130" xfId="0" applyFont="1" applyBorder="1" applyProtection="1">
      <protection locked="0"/>
    </xf>
    <xf numFmtId="0" fontId="123" fillId="0" borderId="142" xfId="0" applyFont="1" applyBorder="1" applyProtection="1">
      <protection locked="0"/>
    </xf>
    <xf numFmtId="0" fontId="123" fillId="0" borderId="145" xfId="0" applyFont="1" applyBorder="1" applyAlignment="1" applyProtection="1">
      <alignment horizontal="center"/>
      <protection locked="0"/>
    </xf>
    <xf numFmtId="0" fontId="123" fillId="0" borderId="146" xfId="0" applyFont="1" applyBorder="1" applyAlignment="1" applyProtection="1">
      <alignment horizontal="center"/>
      <protection locked="0"/>
    </xf>
    <xf numFmtId="0" fontId="129" fillId="23" borderId="131" xfId="0" applyFont="1" applyFill="1" applyBorder="1" applyAlignment="1" applyProtection="1">
      <alignment horizontal="left" vertical="center"/>
      <protection hidden="1"/>
    </xf>
    <xf numFmtId="0" fontId="129" fillId="23" borderId="132" xfId="0" applyFont="1" applyFill="1" applyBorder="1" applyAlignment="1" applyProtection="1">
      <alignment horizontal="left" vertical="center"/>
      <protection hidden="1"/>
    </xf>
    <xf numFmtId="0" fontId="129" fillId="23" borderId="133" xfId="0" applyFont="1" applyFill="1" applyBorder="1" applyAlignment="1" applyProtection="1">
      <alignment horizontal="left" vertical="center"/>
      <protection hidden="1"/>
    </xf>
    <xf numFmtId="0" fontId="131" fillId="22" borderId="141" xfId="0" applyFont="1" applyFill="1" applyBorder="1" applyAlignment="1" applyProtection="1">
      <alignment horizontal="center" vertical="center"/>
      <protection hidden="1"/>
    </xf>
    <xf numFmtId="0" fontId="131" fillId="22" borderId="77" xfId="0" applyFont="1" applyFill="1" applyBorder="1" applyAlignment="1" applyProtection="1">
      <alignment horizontal="center" vertical="center"/>
      <protection hidden="1"/>
    </xf>
    <xf numFmtId="0" fontId="131" fillId="22" borderId="61" xfId="0" applyFont="1" applyFill="1" applyBorder="1" applyAlignment="1" applyProtection="1">
      <alignment horizontal="center" vertical="center" wrapText="1"/>
      <protection hidden="1"/>
    </xf>
    <xf numFmtId="0" fontId="131" fillId="22" borderId="111" xfId="0" applyFont="1" applyFill="1" applyBorder="1" applyAlignment="1" applyProtection="1">
      <alignment horizontal="center" vertical="center" wrapText="1"/>
      <protection hidden="1"/>
    </xf>
    <xf numFmtId="0" fontId="131" fillId="22" borderId="148" xfId="0" applyFont="1" applyFill="1" applyBorder="1" applyAlignment="1" applyProtection="1">
      <alignment horizontal="center" vertical="center" wrapText="1"/>
      <protection hidden="1"/>
    </xf>
    <xf numFmtId="0" fontId="123" fillId="0" borderId="0" xfId="0" applyFont="1" applyBorder="1" applyAlignment="1" applyProtection="1">
      <alignment horizontal="center"/>
      <protection locked="0"/>
    </xf>
    <xf numFmtId="0" fontId="123" fillId="0" borderId="143" xfId="0" applyFont="1" applyBorder="1" applyAlignment="1" applyProtection="1">
      <alignment horizontal="center"/>
      <protection locked="0"/>
    </xf>
    <xf numFmtId="0" fontId="125" fillId="13" borderId="1" xfId="0" applyFont="1" applyFill="1" applyBorder="1" applyAlignment="1" applyProtection="1">
      <alignment horizontal="left" vertical="top"/>
      <protection locked="0"/>
    </xf>
    <xf numFmtId="0" fontId="132" fillId="13" borderId="1" xfId="0" applyFont="1" applyFill="1" applyBorder="1" applyAlignment="1" applyProtection="1">
      <alignment horizontal="left" vertical="top"/>
      <protection locked="0"/>
    </xf>
    <xf numFmtId="0" fontId="131" fillId="22" borderId="324" xfId="0" applyFont="1" applyFill="1" applyBorder="1" applyAlignment="1" applyProtection="1">
      <alignment horizontal="center" vertical="center"/>
      <protection hidden="1"/>
    </xf>
    <xf numFmtId="0" fontId="131" fillId="22" borderId="64" xfId="0" applyFont="1" applyFill="1" applyBorder="1" applyAlignment="1" applyProtection="1">
      <alignment horizontal="center" vertical="center"/>
      <protection hidden="1"/>
    </xf>
    <xf numFmtId="0" fontId="131" fillId="22" borderId="54" xfId="0" applyFont="1" applyFill="1" applyBorder="1" applyAlignment="1" applyProtection="1">
      <alignment horizontal="center" vertical="center" wrapText="1"/>
      <protection hidden="1"/>
    </xf>
    <xf numFmtId="0" fontId="131" fillId="22" borderId="325" xfId="0" applyFont="1" applyFill="1" applyBorder="1" applyAlignment="1" applyProtection="1">
      <alignment horizontal="center" vertical="center" wrapText="1"/>
      <protection hidden="1"/>
    </xf>
    <xf numFmtId="0" fontId="125" fillId="33" borderId="1" xfId="0" applyFont="1" applyFill="1" applyBorder="1" applyAlignment="1" applyProtection="1">
      <alignment horizontal="left" vertical="top" wrapText="1"/>
      <protection locked="0"/>
    </xf>
    <xf numFmtId="0" fontId="125" fillId="33" borderId="1" xfId="0" applyFont="1" applyFill="1" applyBorder="1" applyAlignment="1" applyProtection="1">
      <alignment horizontal="left" vertical="top"/>
      <protection locked="0"/>
    </xf>
    <xf numFmtId="0" fontId="129" fillId="23" borderId="131" xfId="0" applyFont="1" applyFill="1" applyBorder="1" applyAlignment="1" applyProtection="1">
      <alignment vertical="center"/>
      <protection hidden="1"/>
    </xf>
    <xf numFmtId="0" fontId="129" fillId="23" borderId="132" xfId="0" applyFont="1" applyFill="1" applyBorder="1" applyAlignment="1" applyProtection="1">
      <alignment vertical="center"/>
      <protection hidden="1"/>
    </xf>
    <xf numFmtId="0" fontId="129" fillId="23" borderId="133" xfId="0" applyFont="1" applyFill="1" applyBorder="1" applyAlignment="1" applyProtection="1">
      <alignment vertical="center"/>
      <protection hidden="1"/>
    </xf>
    <xf numFmtId="0" fontId="124" fillId="22" borderId="134" xfId="0" applyFont="1" applyFill="1" applyBorder="1" applyAlignment="1" applyProtection="1">
      <alignment horizontal="left" vertical="center"/>
      <protection hidden="1"/>
    </xf>
    <xf numFmtId="0" fontId="124" fillId="22" borderId="52" xfId="0" applyFont="1" applyFill="1" applyBorder="1" applyAlignment="1" applyProtection="1">
      <alignment horizontal="left" vertical="center"/>
      <protection hidden="1"/>
    </xf>
    <xf numFmtId="0" fontId="130" fillId="24" borderId="54" xfId="0" applyFont="1" applyFill="1" applyBorder="1" applyAlignment="1" applyProtection="1">
      <alignment horizontal="left" vertical="center" shrinkToFit="1"/>
      <protection hidden="1"/>
    </xf>
    <xf numFmtId="0" fontId="130" fillId="24" borderId="52" xfId="0" applyFont="1" applyFill="1" applyBorder="1" applyAlignment="1" applyProtection="1">
      <alignment horizontal="left" vertical="center" shrinkToFit="1"/>
      <protection hidden="1"/>
    </xf>
    <xf numFmtId="0" fontId="130" fillId="24" borderId="61" xfId="0" applyFont="1" applyFill="1" applyBorder="1" applyAlignment="1" applyProtection="1">
      <alignment horizontal="left" vertical="center" shrinkToFit="1"/>
      <protection hidden="1"/>
    </xf>
    <xf numFmtId="0" fontId="123" fillId="0" borderId="52" xfId="0" applyFont="1" applyFill="1" applyBorder="1" applyAlignment="1" applyProtection="1">
      <alignment horizontal="left" vertical="top" wrapText="1"/>
      <protection locked="0"/>
    </xf>
    <xf numFmtId="0" fontId="123" fillId="0" borderId="52" xfId="0" applyFont="1" applyFill="1" applyBorder="1" applyAlignment="1" applyProtection="1">
      <alignment horizontal="left" vertical="top"/>
      <protection locked="0"/>
    </xf>
    <xf numFmtId="0" fontId="123" fillId="0" borderId="135" xfId="0" applyFont="1" applyFill="1" applyBorder="1" applyAlignment="1" applyProtection="1">
      <alignment horizontal="left" vertical="top"/>
      <protection locked="0"/>
    </xf>
    <xf numFmtId="0" fontId="123" fillId="0" borderId="137" xfId="0" applyFont="1" applyFill="1" applyBorder="1" applyAlignment="1" applyProtection="1">
      <alignment horizontal="left" vertical="top"/>
      <protection locked="0"/>
    </xf>
    <xf numFmtId="0" fontId="123" fillId="0" borderId="138" xfId="0" applyFont="1" applyFill="1" applyBorder="1" applyAlignment="1" applyProtection="1">
      <alignment horizontal="left" vertical="top"/>
      <protection locked="0"/>
    </xf>
    <xf numFmtId="0" fontId="124" fillId="22" borderId="134" xfId="0" applyFont="1" applyFill="1" applyBorder="1" applyAlignment="1" applyProtection="1">
      <alignment horizontal="left" vertical="center" shrinkToFit="1"/>
      <protection hidden="1"/>
    </xf>
    <xf numFmtId="0" fontId="124" fillId="22" borderId="52" xfId="0" applyFont="1" applyFill="1" applyBorder="1" applyAlignment="1" applyProtection="1">
      <alignment horizontal="left" vertical="center" shrinkToFit="1"/>
      <protection hidden="1"/>
    </xf>
    <xf numFmtId="0" fontId="124" fillId="22" borderId="147" xfId="0" applyFont="1" applyFill="1" applyBorder="1" applyAlignment="1" applyProtection="1">
      <alignment vertical="top" wrapText="1" shrinkToFit="1"/>
      <protection hidden="1"/>
    </xf>
    <xf numFmtId="0" fontId="124" fillId="22" borderId="77" xfId="0" applyFont="1" applyFill="1" applyBorder="1" applyAlignment="1" applyProtection="1">
      <alignment vertical="top" wrapText="1" shrinkToFit="1"/>
      <protection hidden="1"/>
    </xf>
    <xf numFmtId="0" fontId="124" fillId="22" borderId="136" xfId="0" applyFont="1" applyFill="1" applyBorder="1" applyAlignment="1" applyProtection="1">
      <alignment horizontal="left" vertical="center" shrinkToFit="1"/>
      <protection hidden="1"/>
    </xf>
    <xf numFmtId="0" fontId="124" fillId="22" borderId="137" xfId="0" applyFont="1" applyFill="1" applyBorder="1" applyAlignment="1" applyProtection="1">
      <alignment horizontal="left" vertical="center" shrinkToFit="1"/>
      <protection hidden="1"/>
    </xf>
    <xf numFmtId="0" fontId="124" fillId="22" borderId="139" xfId="0" applyFont="1" applyFill="1" applyBorder="1" applyAlignment="1" applyProtection="1">
      <alignment vertical="top" wrapText="1" shrinkToFit="1"/>
      <protection hidden="1"/>
    </xf>
    <xf numFmtId="0" fontId="124" fillId="22" borderId="140" xfId="0" applyFont="1" applyFill="1" applyBorder="1" applyAlignment="1" applyProtection="1">
      <alignment vertical="top" wrapText="1" shrinkToFit="1"/>
      <protection hidden="1"/>
    </xf>
    <xf numFmtId="0" fontId="123" fillId="0" borderId="130" xfId="0" applyFont="1" applyBorder="1" applyAlignment="1" applyProtection="1">
      <alignment vertical="center"/>
      <protection locked="0"/>
    </xf>
    <xf numFmtId="0" fontId="123" fillId="0" borderId="142" xfId="0" applyFont="1" applyBorder="1" applyAlignment="1" applyProtection="1">
      <alignment vertical="center"/>
      <protection locked="0"/>
    </xf>
    <xf numFmtId="0" fontId="123" fillId="0" borderId="8" xfId="0" applyFont="1" applyBorder="1" applyAlignment="1" applyProtection="1">
      <alignment vertical="center"/>
      <protection locked="0"/>
    </xf>
    <xf numFmtId="0" fontId="123" fillId="0" borderId="1" xfId="0" applyFont="1" applyBorder="1" applyAlignment="1" applyProtection="1">
      <alignment vertical="center"/>
      <protection locked="0"/>
    </xf>
    <xf numFmtId="0" fontId="129" fillId="23" borderId="220" xfId="0" applyFont="1" applyFill="1" applyBorder="1" applyAlignment="1" applyProtection="1">
      <alignment horizontal="left" vertical="center"/>
      <protection hidden="1"/>
    </xf>
    <xf numFmtId="0" fontId="124" fillId="22" borderId="324" xfId="0" applyFont="1" applyFill="1" applyBorder="1" applyAlignment="1" applyProtection="1">
      <alignment horizontal="center" vertical="center"/>
      <protection hidden="1"/>
    </xf>
    <xf numFmtId="0" fontId="124" fillId="22" borderId="64" xfId="0" applyFont="1" applyFill="1" applyBorder="1" applyAlignment="1" applyProtection="1">
      <alignment horizontal="center" vertical="center"/>
      <protection hidden="1"/>
    </xf>
    <xf numFmtId="0" fontId="129" fillId="23" borderId="220" xfId="0" applyFont="1" applyFill="1" applyBorder="1" applyAlignment="1" applyProtection="1">
      <alignment vertical="center"/>
      <protection hidden="1"/>
    </xf>
    <xf numFmtId="0" fontId="128" fillId="24" borderId="54" xfId="0" applyFont="1" applyFill="1" applyBorder="1" applyAlignment="1" applyProtection="1">
      <alignment horizontal="left" vertical="center" indent="1" shrinkToFit="1"/>
      <protection hidden="1"/>
    </xf>
    <xf numFmtId="0" fontId="128" fillId="24" borderId="52" xfId="0" applyFont="1" applyFill="1" applyBorder="1" applyAlignment="1" applyProtection="1">
      <alignment horizontal="left" vertical="center" indent="1" shrinkToFit="1"/>
      <protection hidden="1"/>
    </xf>
    <xf numFmtId="0" fontId="128" fillId="24" borderId="61" xfId="0" applyFont="1" applyFill="1" applyBorder="1" applyAlignment="1" applyProtection="1">
      <alignment horizontal="left" vertical="center" indent="1" shrinkToFit="1"/>
      <protection hidden="1"/>
    </xf>
    <xf numFmtId="0" fontId="133" fillId="0" borderId="116" xfId="0" applyFont="1" applyFill="1" applyBorder="1" applyAlignment="1" applyProtection="1">
      <alignment horizontal="left" vertical="center" wrapText="1"/>
      <protection locked="0"/>
    </xf>
    <xf numFmtId="0" fontId="128" fillId="0" borderId="130" xfId="0" applyFont="1" applyFill="1" applyBorder="1" applyAlignment="1" applyProtection="1">
      <alignment horizontal="left" vertical="center" wrapText="1"/>
      <protection locked="0"/>
    </xf>
    <xf numFmtId="0" fontId="128" fillId="0" borderId="142" xfId="0" applyFont="1" applyFill="1" applyBorder="1" applyAlignment="1" applyProtection="1">
      <alignment horizontal="left" vertical="center" wrapText="1"/>
      <protection locked="0"/>
    </xf>
    <xf numFmtId="0" fontId="128" fillId="0" borderId="214" xfId="0" applyFont="1" applyFill="1" applyBorder="1" applyAlignment="1" applyProtection="1">
      <alignment horizontal="left" vertical="center" wrapText="1"/>
      <protection locked="0"/>
    </xf>
    <xf numFmtId="0" fontId="128" fillId="0" borderId="0" xfId="0" applyFont="1" applyFill="1" applyBorder="1" applyAlignment="1" applyProtection="1">
      <alignment horizontal="left" vertical="center" wrapText="1"/>
      <protection locked="0"/>
    </xf>
    <xf numFmtId="0" fontId="128" fillId="0" borderId="143" xfId="0" applyFont="1" applyFill="1" applyBorder="1" applyAlignment="1" applyProtection="1">
      <alignment horizontal="left" vertical="center" wrapText="1"/>
      <protection locked="0"/>
    </xf>
    <xf numFmtId="0" fontId="128" fillId="0" borderId="259" xfId="0" applyFont="1" applyFill="1" applyBorder="1" applyAlignment="1" applyProtection="1">
      <alignment horizontal="left" vertical="center" wrapText="1"/>
      <protection locked="0"/>
    </xf>
    <xf numFmtId="0" fontId="128" fillId="0" borderId="145" xfId="0" applyFont="1" applyFill="1" applyBorder="1" applyAlignment="1" applyProtection="1">
      <alignment horizontal="left" vertical="center" wrapText="1"/>
      <protection locked="0"/>
    </xf>
    <xf numFmtId="0" fontId="128" fillId="0" borderId="146" xfId="0" applyFont="1" applyFill="1" applyBorder="1" applyAlignment="1" applyProtection="1">
      <alignment horizontal="left" vertical="center" wrapText="1"/>
      <protection locked="0"/>
    </xf>
    <xf numFmtId="0" fontId="124" fillId="22" borderId="52" xfId="0" applyFont="1" applyFill="1" applyBorder="1" applyAlignment="1" applyProtection="1">
      <alignment horizontal="center" vertical="center" wrapText="1"/>
      <protection hidden="1"/>
    </xf>
    <xf numFmtId="0" fontId="124" fillId="22" borderId="141" xfId="0" applyFont="1" applyFill="1" applyBorder="1" applyAlignment="1" applyProtection="1">
      <alignment horizontal="center" vertical="center"/>
      <protection hidden="1"/>
    </xf>
    <xf numFmtId="0" fontId="124" fillId="22" borderId="77" xfId="0" applyFont="1" applyFill="1" applyBorder="1" applyAlignment="1" applyProtection="1">
      <alignment horizontal="center" vertical="center"/>
      <protection hidden="1"/>
    </xf>
    <xf numFmtId="0" fontId="129" fillId="23" borderId="219" xfId="0" applyFont="1" applyFill="1" applyBorder="1" applyAlignment="1" applyProtection="1">
      <alignment horizontal="left"/>
      <protection hidden="1"/>
    </xf>
    <xf numFmtId="0" fontId="129" fillId="23" borderId="150" xfId="0" applyFont="1" applyFill="1" applyBorder="1" applyAlignment="1" applyProtection="1">
      <alignment horizontal="left"/>
      <protection hidden="1"/>
    </xf>
    <xf numFmtId="0" fontId="124" fillId="22" borderId="61" xfId="0" applyFont="1" applyFill="1" applyBorder="1" applyAlignment="1" applyProtection="1">
      <alignment horizontal="center" vertical="center" wrapText="1"/>
      <protection hidden="1"/>
    </xf>
    <xf numFmtId="0" fontId="132" fillId="33" borderId="1" xfId="0" applyFont="1" applyFill="1" applyBorder="1" applyAlignment="1" applyProtection="1">
      <alignment horizontal="left" vertical="top"/>
      <protection locked="0"/>
    </xf>
    <xf numFmtId="0" fontId="132" fillId="35" borderId="1" xfId="0" applyFont="1" applyFill="1" applyBorder="1" applyAlignment="1" applyProtection="1">
      <alignment horizontal="left" vertical="top"/>
      <protection locked="0"/>
    </xf>
    <xf numFmtId="0" fontId="123" fillId="0" borderId="1" xfId="0" applyFont="1" applyBorder="1" applyAlignment="1" applyProtection="1">
      <alignment horizontal="left" vertical="center"/>
      <protection locked="0"/>
    </xf>
    <xf numFmtId="0" fontId="132" fillId="35" borderId="16" xfId="0" applyFont="1" applyFill="1" applyBorder="1" applyAlignment="1" applyProtection="1">
      <alignment horizontal="left" vertical="top" wrapText="1"/>
      <protection locked="0"/>
    </xf>
    <xf numFmtId="0" fontId="132" fillId="35" borderId="18" xfId="0" applyFont="1" applyFill="1" applyBorder="1" applyAlignment="1" applyProtection="1">
      <alignment horizontal="left" vertical="top" wrapText="1"/>
      <protection locked="0"/>
    </xf>
    <xf numFmtId="0" fontId="132" fillId="35" borderId="8" xfId="0" applyFont="1" applyFill="1" applyBorder="1" applyAlignment="1" applyProtection="1">
      <alignment horizontal="left" vertical="top" wrapText="1"/>
      <protection locked="0"/>
    </xf>
    <xf numFmtId="0" fontId="123" fillId="0" borderId="1" xfId="0" applyFont="1" applyBorder="1" applyAlignment="1" applyProtection="1">
      <alignment horizontal="center" vertical="center"/>
      <protection locked="0"/>
    </xf>
    <xf numFmtId="0" fontId="123" fillId="35" borderId="1" xfId="0" applyFont="1" applyFill="1" applyBorder="1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center" vertical="center" wrapText="1"/>
      <protection hidden="1"/>
    </xf>
    <xf numFmtId="0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0" xfId="0" applyNumberFormat="1" applyFill="1" applyBorder="1" applyAlignment="1" applyProtection="1">
      <alignment horizontal="left" vertical="center"/>
      <protection hidden="1"/>
    </xf>
    <xf numFmtId="0" fontId="0" fillId="0" borderId="128" xfId="0" applyFill="1" applyBorder="1" applyAlignment="1" applyProtection="1">
      <alignment horizontal="left" vertical="center" wrapText="1" indent="1"/>
      <protection locked="0"/>
    </xf>
    <xf numFmtId="0" fontId="0" fillId="0" borderId="211" xfId="0" applyFill="1" applyBorder="1" applyAlignment="1" applyProtection="1">
      <alignment horizontal="left" vertical="center" wrapText="1" indent="1"/>
      <protection locked="0"/>
    </xf>
    <xf numFmtId="0" fontId="0" fillId="0" borderId="129" xfId="0" applyFill="1" applyBorder="1" applyAlignment="1" applyProtection="1">
      <alignment horizontal="left" vertical="center" wrapText="1" indent="1"/>
      <protection locked="0"/>
    </xf>
    <xf numFmtId="0" fontId="30" fillId="2" borderId="1" xfId="0" applyFont="1" applyFill="1" applyBorder="1" applyAlignment="1" applyProtection="1">
      <alignment horizontal="center" vertical="center"/>
      <protection hidden="1"/>
    </xf>
    <xf numFmtId="174" fontId="0" fillId="0" borderId="0" xfId="0" applyNumberFormat="1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left" vertical="center"/>
      <protection hidden="1"/>
    </xf>
    <xf numFmtId="0" fontId="0" fillId="0" borderId="14" xfId="0" applyFill="1" applyBorder="1" applyAlignment="1" applyProtection="1">
      <alignment horizontal="left" vertical="center"/>
      <protection hidden="1"/>
    </xf>
    <xf numFmtId="0" fontId="0" fillId="0" borderId="2" xfId="0" applyFill="1" applyBorder="1" applyAlignment="1" applyProtection="1">
      <alignment horizontal="left" vertical="center"/>
      <protection hidden="1"/>
    </xf>
    <xf numFmtId="0" fontId="0" fillId="0" borderId="256" xfId="0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 applyProtection="1">
      <alignment horizontal="left" vertical="center"/>
      <protection hidden="1"/>
    </xf>
    <xf numFmtId="0" fontId="0" fillId="0" borderId="17" xfId="0" applyFill="1" applyBorder="1" applyAlignment="1" applyProtection="1">
      <alignment horizontal="left" vertical="center"/>
      <protection hidden="1"/>
    </xf>
    <xf numFmtId="188" fontId="0" fillId="0" borderId="16" xfId="0" applyNumberFormat="1" applyFill="1" applyBorder="1" applyAlignment="1" applyProtection="1">
      <alignment horizontal="left" vertical="center"/>
      <protection hidden="1"/>
    </xf>
    <xf numFmtId="188" fontId="0" fillId="0" borderId="18" xfId="0" applyNumberFormat="1" applyFill="1" applyBorder="1" applyAlignment="1" applyProtection="1">
      <alignment horizontal="left" vertical="center"/>
      <protection hidden="1"/>
    </xf>
    <xf numFmtId="188" fontId="0" fillId="0" borderId="8" xfId="0" applyNumberFormat="1" applyFill="1" applyBorder="1" applyAlignment="1" applyProtection="1">
      <alignment horizontal="left" vertical="center"/>
      <protection hidden="1"/>
    </xf>
    <xf numFmtId="0" fontId="0" fillId="0" borderId="217" xfId="0" applyFill="1" applyBorder="1" applyAlignment="1" applyProtection="1">
      <alignment horizontal="center" vertical="center" wrapText="1"/>
      <protection hidden="1"/>
    </xf>
    <xf numFmtId="0" fontId="0" fillId="0" borderId="306" xfId="0" applyFill="1" applyBorder="1" applyAlignment="1" applyProtection="1">
      <alignment horizontal="center" vertical="center" wrapText="1"/>
      <protection hidden="1"/>
    </xf>
    <xf numFmtId="0" fontId="69" fillId="0" borderId="16" xfId="0" applyFont="1" applyFill="1" applyBorder="1" applyAlignment="1" applyProtection="1">
      <alignment horizontal="center" vertical="center"/>
      <protection hidden="1"/>
    </xf>
    <xf numFmtId="0" fontId="69" fillId="0" borderId="8" xfId="0" applyFont="1" applyFill="1" applyBorder="1" applyAlignment="1" applyProtection="1">
      <alignment horizontal="center" vertical="center"/>
      <protection hidden="1"/>
    </xf>
    <xf numFmtId="188" fontId="0" fillId="0" borderId="16" xfId="0" applyNumberFormat="1" applyFill="1" applyBorder="1" applyAlignment="1" applyProtection="1">
      <alignment horizontal="center" vertical="center"/>
      <protection hidden="1"/>
    </xf>
    <xf numFmtId="188" fontId="0" fillId="0" borderId="8" xfId="0" applyNumberFormat="1" applyFill="1" applyBorder="1" applyAlignment="1" applyProtection="1">
      <alignment horizontal="center" vertical="center"/>
      <protection hidden="1"/>
    </xf>
    <xf numFmtId="188" fontId="0" fillId="0" borderId="18" xfId="0" applyNumberFormat="1" applyFill="1" applyBorder="1" applyAlignment="1" applyProtection="1">
      <alignment horizontal="center" vertical="center"/>
      <protection hidden="1"/>
    </xf>
    <xf numFmtId="0" fontId="0" fillId="0" borderId="16" xfId="0" applyFill="1" applyBorder="1" applyAlignment="1" applyProtection="1">
      <alignment horizontal="left" vertical="center"/>
      <protection hidden="1"/>
    </xf>
    <xf numFmtId="0" fontId="0" fillId="0" borderId="18" xfId="0" applyFill="1" applyBorder="1" applyAlignment="1" applyProtection="1">
      <alignment horizontal="left" vertical="center"/>
      <protection hidden="1"/>
    </xf>
    <xf numFmtId="0" fontId="60" fillId="0" borderId="1" xfId="0" applyFont="1" applyFill="1" applyBorder="1" applyAlignment="1" applyProtection="1">
      <alignment horizontal="left" vertical="center" wrapText="1" indent="1"/>
      <protection hidden="1"/>
    </xf>
    <xf numFmtId="0" fontId="55" fillId="0" borderId="1" xfId="0" applyFont="1" applyFill="1" applyBorder="1" applyAlignment="1" applyProtection="1">
      <alignment horizontal="right" vertical="center" wrapText="1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NumberFormat="1" applyFill="1" applyBorder="1" applyAlignment="1" applyProtection="1">
      <alignment horizontal="left" vertical="center" indent="1"/>
      <protection hidden="1"/>
    </xf>
    <xf numFmtId="15" fontId="60" fillId="0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 applyProtection="1">
      <alignment horizontal="left" vertical="center"/>
      <protection hidden="1"/>
    </xf>
    <xf numFmtId="0" fontId="68" fillId="9" borderId="16" xfId="0" applyFont="1" applyFill="1" applyBorder="1" applyAlignment="1" applyProtection="1">
      <alignment horizontal="center" vertical="center"/>
      <protection hidden="1"/>
    </xf>
    <xf numFmtId="0" fontId="68" fillId="9" borderId="18" xfId="0" applyFont="1" applyFill="1" applyBorder="1" applyAlignment="1" applyProtection="1">
      <alignment horizontal="center" vertical="center"/>
      <protection hidden="1"/>
    </xf>
    <xf numFmtId="0" fontId="68" fillId="9" borderId="8" xfId="0" applyFont="1" applyFill="1" applyBorder="1" applyAlignment="1" applyProtection="1">
      <alignment horizontal="center" vertical="center"/>
      <protection hidden="1"/>
    </xf>
    <xf numFmtId="0" fontId="30" fillId="2" borderId="1" xfId="0" applyFont="1" applyFill="1" applyBorder="1" applyAlignment="1" applyProtection="1">
      <alignment horizontal="center" vertical="center" wrapText="1"/>
      <protection hidden="1"/>
    </xf>
    <xf numFmtId="0" fontId="48" fillId="4" borderId="0" xfId="0" applyFont="1" applyFill="1" applyBorder="1" applyAlignment="1" applyProtection="1">
      <alignment horizontal="left" vertical="center"/>
      <protection hidden="1"/>
    </xf>
    <xf numFmtId="0" fontId="30" fillId="2" borderId="217" xfId="0" applyFont="1" applyFill="1" applyBorder="1" applyAlignment="1" applyProtection="1">
      <alignment horizontal="center" vertical="center"/>
      <protection hidden="1"/>
    </xf>
    <xf numFmtId="0" fontId="0" fillId="0" borderId="218" xfId="0" applyNumberFormat="1" applyFill="1" applyBorder="1" applyAlignment="1" applyProtection="1">
      <alignment horizontal="center" vertical="center"/>
      <protection hidden="1"/>
    </xf>
    <xf numFmtId="0" fontId="0" fillId="0" borderId="1" xfId="0" applyNumberFormat="1" applyFill="1" applyBorder="1" applyAlignment="1" applyProtection="1">
      <alignment horizontal="center" vertical="center"/>
      <protection hidden="1"/>
    </xf>
    <xf numFmtId="0" fontId="38" fillId="0" borderId="127" xfId="0" applyFont="1" applyFill="1" applyBorder="1" applyAlignment="1" applyProtection="1">
      <alignment horizontal="left" vertical="center" wrapText="1" indent="1"/>
      <protection hidden="1"/>
    </xf>
    <xf numFmtId="0" fontId="38" fillId="0" borderId="128" xfId="0" applyFont="1" applyFill="1" applyBorder="1" applyAlignment="1" applyProtection="1">
      <alignment horizontal="left" vertical="center" wrapText="1" indent="1"/>
      <protection hidden="1"/>
    </xf>
    <xf numFmtId="0" fontId="0" fillId="0" borderId="128" xfId="0" applyFill="1" applyBorder="1" applyAlignment="1" applyProtection="1">
      <alignment horizontal="left" vertical="center" wrapText="1" indent="1"/>
      <protection hidden="1"/>
    </xf>
    <xf numFmtId="0" fontId="0" fillId="0" borderId="211" xfId="0" applyFill="1" applyBorder="1" applyAlignment="1" applyProtection="1">
      <alignment horizontal="left" vertical="center" wrapText="1" indent="1"/>
      <protection hidden="1"/>
    </xf>
    <xf numFmtId="0" fontId="0" fillId="0" borderId="129" xfId="0" applyFill="1" applyBorder="1" applyAlignment="1" applyProtection="1">
      <alignment horizontal="left" vertical="center" wrapText="1" indent="1"/>
      <protection hidden="1"/>
    </xf>
    <xf numFmtId="187" fontId="0" fillId="0" borderId="211" xfId="0" applyNumberFormat="1" applyFill="1" applyBorder="1" applyAlignment="1" applyProtection="1">
      <alignment horizontal="left" vertical="center" wrapText="1" indent="1"/>
      <protection hidden="1"/>
    </xf>
    <xf numFmtId="187" fontId="0" fillId="0" borderId="18" xfId="0" applyNumberFormat="1" applyFill="1" applyBorder="1" applyAlignment="1" applyProtection="1">
      <alignment horizontal="left" vertical="center" wrapText="1" indent="1"/>
      <protection hidden="1"/>
    </xf>
    <xf numFmtId="187" fontId="0" fillId="0" borderId="8" xfId="0" applyNumberFormat="1" applyFill="1" applyBorder="1" applyAlignment="1" applyProtection="1">
      <alignment horizontal="left" vertical="center" wrapText="1" indent="1"/>
      <protection hidden="1"/>
    </xf>
    <xf numFmtId="0" fontId="0" fillId="0" borderId="0" xfId="0" applyFill="1" applyBorder="1" applyAlignment="1" applyProtection="1">
      <alignment horizontal="left" vertical="center" wrapText="1"/>
      <protection hidden="1"/>
    </xf>
    <xf numFmtId="0" fontId="136" fillId="0" borderId="0" xfId="0" applyFont="1" applyFill="1" applyAlignment="1" applyProtection="1">
      <alignment horizontal="center" vertical="center"/>
      <protection hidden="1"/>
    </xf>
    <xf numFmtId="0" fontId="136" fillId="0" borderId="0" xfId="0" applyFont="1" applyFill="1" applyBorder="1" applyAlignment="1" applyProtection="1">
      <alignment horizontal="center" vertical="center"/>
      <protection hidden="1"/>
    </xf>
    <xf numFmtId="0" fontId="136" fillId="4" borderId="0" xfId="0" applyFont="1" applyFill="1" applyBorder="1" applyAlignment="1" applyProtection="1">
      <alignment horizontal="center" vertical="center"/>
      <protection hidden="1"/>
    </xf>
    <xf numFmtId="0" fontId="136" fillId="4" borderId="0" xfId="0" applyFont="1" applyFill="1" applyBorder="1" applyAlignment="1" applyProtection="1">
      <alignment horizontal="center" vertical="top"/>
      <protection hidden="1"/>
    </xf>
    <xf numFmtId="0" fontId="136" fillId="4" borderId="0" xfId="0" applyFont="1" applyFill="1" applyAlignment="1" applyProtection="1">
      <alignment horizontal="center" vertical="center"/>
      <protection hidden="1"/>
    </xf>
    <xf numFmtId="0" fontId="136" fillId="4" borderId="0" xfId="0" applyFont="1" applyFill="1" applyBorder="1" applyAlignment="1" applyProtection="1">
      <alignment horizontal="center" vertical="center" wrapText="1"/>
      <protection hidden="1"/>
    </xf>
    <xf numFmtId="0" fontId="140" fillId="4" borderId="0" xfId="0" applyFont="1" applyFill="1" applyBorder="1" applyAlignment="1" applyProtection="1">
      <alignment horizontal="center" vertical="center"/>
      <protection hidden="1"/>
    </xf>
    <xf numFmtId="44" fontId="136" fillId="0" borderId="304" xfId="0" applyNumberFormat="1" applyFont="1" applyFill="1" applyBorder="1" applyAlignment="1" applyProtection="1">
      <alignment horizontal="center" vertical="center"/>
      <protection hidden="1"/>
    </xf>
    <xf numFmtId="44" fontId="136" fillId="0" borderId="202" xfId="0" applyNumberFormat="1" applyFont="1" applyFill="1" applyBorder="1" applyAlignment="1" applyProtection="1">
      <alignment horizontal="center" vertical="center"/>
      <protection hidden="1"/>
    </xf>
    <xf numFmtId="44" fontId="136" fillId="0" borderId="203" xfId="0" applyNumberFormat="1" applyFont="1" applyFill="1" applyBorder="1" applyAlignment="1" applyProtection="1">
      <alignment horizontal="center" vertical="center"/>
      <protection hidden="1"/>
    </xf>
    <xf numFmtId="44" fontId="136" fillId="0" borderId="16" xfId="0" applyNumberFormat="1" applyFont="1" applyFill="1" applyBorder="1" applyAlignment="1" applyProtection="1">
      <alignment horizontal="center" vertical="center"/>
      <protection hidden="1"/>
    </xf>
    <xf numFmtId="44" fontId="136" fillId="0" borderId="18" xfId="0" applyNumberFormat="1" applyFont="1" applyFill="1" applyBorder="1" applyAlignment="1" applyProtection="1">
      <alignment horizontal="center" vertical="center"/>
      <protection hidden="1"/>
    </xf>
    <xf numFmtId="44" fontId="136" fillId="0" borderId="200" xfId="0" applyNumberFormat="1" applyFont="1" applyFill="1" applyBorder="1" applyAlignment="1" applyProtection="1">
      <alignment horizontal="center" vertical="center"/>
      <protection hidden="1"/>
    </xf>
    <xf numFmtId="44" fontId="134" fillId="0" borderId="12" xfId="0" applyNumberFormat="1" applyFont="1" applyFill="1" applyBorder="1" applyAlignment="1" applyProtection="1">
      <alignment horizontal="center" vertical="center"/>
      <protection hidden="1"/>
    </xf>
    <xf numFmtId="44" fontId="134" fillId="0" borderId="13" xfId="0" applyNumberFormat="1" applyFont="1" applyFill="1" applyBorder="1" applyAlignment="1" applyProtection="1">
      <alignment horizontal="center" vertical="center"/>
      <protection hidden="1"/>
    </xf>
    <xf numFmtId="44" fontId="134" fillId="0" borderId="308" xfId="0" applyNumberFormat="1" applyFont="1" applyFill="1" applyBorder="1" applyAlignment="1" applyProtection="1">
      <alignment horizontal="center" vertical="center"/>
      <protection hidden="1"/>
    </xf>
    <xf numFmtId="44" fontId="134" fillId="0" borderId="312" xfId="0" applyNumberFormat="1" applyFont="1" applyFill="1" applyBorder="1" applyAlignment="1" applyProtection="1">
      <alignment horizontal="center" vertical="center"/>
      <protection hidden="1"/>
    </xf>
    <xf numFmtId="44" fontId="134" fillId="0" borderId="5" xfId="0" applyNumberFormat="1" applyFont="1" applyFill="1" applyBorder="1" applyAlignment="1" applyProtection="1">
      <alignment horizontal="center" vertical="center"/>
      <protection hidden="1"/>
    </xf>
    <xf numFmtId="44" fontId="134" fillId="0" borderId="15" xfId="0" applyNumberFormat="1" applyFont="1" applyFill="1" applyBorder="1" applyAlignment="1" applyProtection="1">
      <alignment horizontal="center" vertical="center"/>
      <protection hidden="1"/>
    </xf>
    <xf numFmtId="0" fontId="68" fillId="2" borderId="195" xfId="0" applyFont="1" applyFill="1" applyBorder="1" applyAlignment="1" applyProtection="1">
      <alignment horizontal="center" vertical="center"/>
      <protection hidden="1"/>
    </xf>
    <xf numFmtId="0" fontId="68" fillId="2" borderId="7" xfId="0" applyFont="1" applyFill="1" applyBorder="1" applyAlignment="1" applyProtection="1">
      <alignment horizontal="center" vertical="center"/>
      <protection hidden="1"/>
    </xf>
    <xf numFmtId="0" fontId="68" fillId="2" borderId="196" xfId="0" applyFont="1" applyFill="1" applyBorder="1" applyAlignment="1" applyProtection="1">
      <alignment horizontal="center" vertical="center"/>
      <protection hidden="1"/>
    </xf>
    <xf numFmtId="0" fontId="134" fillId="0" borderId="311" xfId="0" applyFont="1" applyFill="1" applyBorder="1" applyAlignment="1" applyProtection="1">
      <alignment horizontal="left" vertical="center" wrapText="1"/>
      <protection hidden="1"/>
    </xf>
    <xf numFmtId="0" fontId="134" fillId="0" borderId="14" xfId="0" applyFont="1" applyFill="1" applyBorder="1" applyAlignment="1" applyProtection="1">
      <alignment horizontal="left" vertical="center" wrapText="1"/>
      <protection hidden="1"/>
    </xf>
    <xf numFmtId="0" fontId="134" fillId="0" borderId="22" xfId="0" applyFont="1" applyFill="1" applyBorder="1" applyAlignment="1" applyProtection="1">
      <alignment horizontal="left" vertical="center" wrapText="1"/>
      <protection hidden="1"/>
    </xf>
    <xf numFmtId="0" fontId="134" fillId="0" borderId="313" xfId="0" applyFont="1" applyFill="1" applyBorder="1" applyAlignment="1" applyProtection="1">
      <alignment horizontal="left" vertical="center" wrapText="1"/>
      <protection hidden="1"/>
    </xf>
    <xf numFmtId="211" fontId="134" fillId="0" borderId="217" xfId="0" applyNumberFormat="1" applyFont="1" applyFill="1" applyBorder="1" applyAlignment="1" applyProtection="1">
      <alignment horizontal="center" vertical="center"/>
      <protection hidden="1"/>
    </xf>
    <xf numFmtId="211" fontId="134" fillId="0" borderId="310" xfId="0" applyNumberFormat="1" applyFont="1" applyFill="1" applyBorder="1" applyAlignment="1" applyProtection="1">
      <alignment horizontal="center" vertical="center"/>
      <protection hidden="1"/>
    </xf>
    <xf numFmtId="211" fontId="134" fillId="0" borderId="1" xfId="0" applyNumberFormat="1" applyFont="1" applyFill="1" applyBorder="1" applyAlignment="1" applyProtection="1">
      <alignment horizontal="center" vertical="center"/>
      <protection hidden="1"/>
    </xf>
    <xf numFmtId="211" fontId="134" fillId="0" borderId="229" xfId="0" applyNumberFormat="1" applyFont="1" applyFill="1" applyBorder="1" applyAlignment="1" applyProtection="1">
      <alignment horizontal="center" vertical="center"/>
      <protection hidden="1"/>
    </xf>
    <xf numFmtId="211" fontId="134" fillId="0" borderId="235" xfId="0" applyNumberFormat="1" applyFont="1" applyFill="1" applyBorder="1" applyAlignment="1" applyProtection="1">
      <alignment horizontal="center" vertical="center"/>
      <protection hidden="1"/>
    </xf>
    <xf numFmtId="211" fontId="134" fillId="0" borderId="230" xfId="0" applyNumberFormat="1" applyFont="1" applyFill="1" applyBorder="1" applyAlignment="1" applyProtection="1">
      <alignment horizontal="center" vertical="center"/>
      <protection hidden="1"/>
    </xf>
    <xf numFmtId="44" fontId="136" fillId="0" borderId="304" xfId="0" applyNumberFormat="1" applyFont="1" applyFill="1" applyBorder="1" applyAlignment="1" applyProtection="1">
      <alignment vertical="center"/>
      <protection hidden="1"/>
    </xf>
    <xf numFmtId="44" fontId="136" fillId="0" borderId="203" xfId="0" applyNumberFormat="1" applyFont="1" applyFill="1" applyBorder="1" applyAlignment="1" applyProtection="1">
      <alignment vertical="center"/>
      <protection hidden="1"/>
    </xf>
    <xf numFmtId="10" fontId="136" fillId="0" borderId="16" xfId="0" applyNumberFormat="1" applyFont="1" applyFill="1" applyBorder="1" applyAlignment="1" applyProtection="1">
      <alignment horizontal="center" vertical="center"/>
      <protection hidden="1"/>
    </xf>
    <xf numFmtId="10" fontId="136" fillId="0" borderId="8" xfId="0" applyNumberFormat="1" applyFont="1" applyFill="1" applyBorder="1" applyAlignment="1" applyProtection="1">
      <alignment horizontal="center" vertical="center"/>
      <protection hidden="1"/>
    </xf>
    <xf numFmtId="10" fontId="136" fillId="0" borderId="304" xfId="0" applyNumberFormat="1" applyFont="1" applyFill="1" applyBorder="1" applyAlignment="1" applyProtection="1">
      <alignment horizontal="center" vertical="center"/>
      <protection hidden="1"/>
    </xf>
    <xf numFmtId="10" fontId="136" fillId="0" borderId="305" xfId="0" applyNumberFormat="1" applyFont="1" applyFill="1" applyBorder="1" applyAlignment="1" applyProtection="1">
      <alignment horizontal="center" vertical="center"/>
      <protection hidden="1"/>
    </xf>
    <xf numFmtId="10" fontId="136" fillId="0" borderId="197" xfId="0" applyNumberFormat="1" applyFont="1" applyFill="1" applyBorder="1" applyAlignment="1" applyProtection="1">
      <alignment horizontal="center" vertical="center"/>
      <protection hidden="1"/>
    </xf>
    <xf numFmtId="10" fontId="136" fillId="0" borderId="205" xfId="0" applyNumberFormat="1" applyFont="1" applyFill="1" applyBorder="1" applyAlignment="1" applyProtection="1">
      <alignment horizontal="center" vertical="center"/>
      <protection hidden="1"/>
    </xf>
    <xf numFmtId="44" fontId="136" fillId="0" borderId="197" xfId="0" applyNumberFormat="1" applyFont="1" applyFill="1" applyBorder="1" applyAlignment="1" applyProtection="1">
      <alignment horizontal="center" vertical="center"/>
      <protection hidden="1"/>
    </xf>
    <xf numFmtId="44" fontId="136" fillId="0" borderId="199" xfId="0" applyNumberFormat="1" applyFont="1" applyFill="1" applyBorder="1" applyAlignment="1" applyProtection="1">
      <alignment horizontal="center" vertical="center"/>
      <protection hidden="1"/>
    </xf>
    <xf numFmtId="186" fontId="139" fillId="4" borderId="195" xfId="0" applyNumberFormat="1" applyFont="1" applyFill="1" applyBorder="1" applyAlignment="1" applyProtection="1">
      <alignment horizontal="center" vertical="center"/>
      <protection hidden="1"/>
    </xf>
    <xf numFmtId="186" fontId="139" fillId="4" borderId="7" xfId="0" applyNumberFormat="1" applyFont="1" applyFill="1" applyBorder="1" applyAlignment="1" applyProtection="1">
      <alignment horizontal="center" vertical="center"/>
      <protection hidden="1"/>
    </xf>
    <xf numFmtId="186" fontId="139" fillId="4" borderId="196" xfId="0" applyNumberFormat="1" applyFont="1" applyFill="1" applyBorder="1" applyAlignment="1" applyProtection="1">
      <alignment horizontal="center" vertical="center"/>
      <protection hidden="1"/>
    </xf>
    <xf numFmtId="0" fontId="134" fillId="4" borderId="195" xfId="0" applyFont="1" applyFill="1" applyBorder="1" applyAlignment="1" applyProtection="1">
      <alignment vertical="center"/>
      <protection hidden="1"/>
    </xf>
    <xf numFmtId="0" fontId="134" fillId="4" borderId="7" xfId="0" applyFont="1" applyFill="1" applyBorder="1" applyAlignment="1" applyProtection="1">
      <alignment vertical="center"/>
      <protection hidden="1"/>
    </xf>
    <xf numFmtId="0" fontId="134" fillId="4" borderId="196" xfId="0" applyFont="1" applyFill="1" applyBorder="1" applyAlignment="1" applyProtection="1">
      <alignment vertical="center"/>
      <protection hidden="1"/>
    </xf>
    <xf numFmtId="0" fontId="136" fillId="0" borderId="224" xfId="0" applyFont="1" applyFill="1" applyBorder="1" applyAlignment="1" applyProtection="1">
      <alignment vertical="center"/>
      <protection hidden="1"/>
    </xf>
    <xf numFmtId="0" fontId="136" fillId="0" borderId="17" xfId="0" applyFont="1" applyFill="1" applyBorder="1" applyAlignment="1" applyProtection="1">
      <alignment vertical="center"/>
      <protection hidden="1"/>
    </xf>
    <xf numFmtId="0" fontId="136" fillId="0" borderId="206" xfId="0" applyFont="1" applyFill="1" applyBorder="1" applyAlignment="1" applyProtection="1">
      <alignment vertical="center"/>
      <protection hidden="1"/>
    </xf>
    <xf numFmtId="0" fontId="136" fillId="0" borderId="8" xfId="0" applyFont="1" applyFill="1" applyBorder="1" applyAlignment="1" applyProtection="1">
      <alignment vertical="center"/>
      <protection hidden="1"/>
    </xf>
    <xf numFmtId="0" fontId="134" fillId="0" borderId="311" xfId="0" applyFont="1" applyFill="1" applyBorder="1" applyAlignment="1" applyProtection="1">
      <alignment horizontal="left" vertical="center"/>
      <protection hidden="1"/>
    </xf>
    <xf numFmtId="0" fontId="134" fillId="0" borderId="14" xfId="0" applyFont="1" applyFill="1" applyBorder="1" applyAlignment="1" applyProtection="1">
      <alignment horizontal="left" vertical="center"/>
      <protection hidden="1"/>
    </xf>
    <xf numFmtId="0" fontId="134" fillId="0" borderId="22" xfId="0" applyFont="1" applyFill="1" applyBorder="1" applyAlignment="1" applyProtection="1">
      <alignment horizontal="left" vertical="center"/>
      <protection hidden="1"/>
    </xf>
    <xf numFmtId="0" fontId="134" fillId="0" borderId="313" xfId="0" applyFont="1" applyFill="1" applyBorder="1" applyAlignment="1" applyProtection="1">
      <alignment horizontal="left" vertical="center"/>
      <protection hidden="1"/>
    </xf>
    <xf numFmtId="44" fontId="136" fillId="0" borderId="16" xfId="0" applyNumberFormat="1" applyFont="1" applyFill="1" applyBorder="1" applyAlignment="1" applyProtection="1">
      <alignment vertical="center"/>
      <protection hidden="1"/>
    </xf>
    <xf numFmtId="44" fontId="136" fillId="0" borderId="18" xfId="0" applyNumberFormat="1" applyFont="1" applyFill="1" applyBorder="1" applyAlignment="1" applyProtection="1">
      <alignment vertical="center"/>
      <protection hidden="1"/>
    </xf>
    <xf numFmtId="44" fontId="136" fillId="0" borderId="200" xfId="0" applyNumberFormat="1" applyFont="1" applyFill="1" applyBorder="1" applyAlignment="1" applyProtection="1">
      <alignment vertical="center"/>
      <protection hidden="1"/>
    </xf>
    <xf numFmtId="44" fontId="134" fillId="0" borderId="197" xfId="0" applyNumberFormat="1" applyFont="1" applyFill="1" applyBorder="1" applyAlignment="1" applyProtection="1">
      <alignment vertical="center"/>
      <protection hidden="1"/>
    </xf>
    <xf numFmtId="44" fontId="134" fillId="0" borderId="198" xfId="0" applyNumberFormat="1" applyFont="1" applyFill="1" applyBorder="1" applyAlignment="1" applyProtection="1">
      <alignment vertical="center"/>
      <protection hidden="1"/>
    </xf>
    <xf numFmtId="44" fontId="134" fillId="0" borderId="199" xfId="0" applyNumberFormat="1" applyFont="1" applyFill="1" applyBorder="1" applyAlignment="1" applyProtection="1">
      <alignment vertical="center"/>
      <protection hidden="1"/>
    </xf>
    <xf numFmtId="44" fontId="136" fillId="0" borderId="23" xfId="0" applyNumberFormat="1" applyFont="1" applyFill="1" applyBorder="1" applyAlignment="1" applyProtection="1">
      <alignment vertical="center"/>
      <protection hidden="1"/>
    </xf>
    <xf numFmtId="44" fontId="136" fillId="0" borderId="19" xfId="0" applyNumberFormat="1" applyFont="1" applyFill="1" applyBorder="1" applyAlignment="1" applyProtection="1">
      <alignment vertical="center"/>
      <protection hidden="1"/>
    </xf>
    <xf numFmtId="44" fontId="136" fillId="0" borderId="225" xfId="0" applyNumberFormat="1" applyFont="1" applyFill="1" applyBorder="1" applyAlignment="1" applyProtection="1">
      <alignment vertical="center"/>
      <protection hidden="1"/>
    </xf>
    <xf numFmtId="0" fontId="136" fillId="0" borderId="0" xfId="0" applyFont="1" applyFill="1" applyBorder="1" applyAlignment="1" applyProtection="1">
      <alignment vertical="center"/>
      <protection hidden="1"/>
    </xf>
    <xf numFmtId="44" fontId="136" fillId="0" borderId="0" xfId="0" applyNumberFormat="1" applyFont="1" applyFill="1" applyBorder="1" applyAlignment="1" applyProtection="1">
      <alignment vertical="center"/>
      <protection hidden="1"/>
    </xf>
    <xf numFmtId="0" fontId="134" fillId="0" borderId="227" xfId="0" applyFont="1" applyFill="1" applyBorder="1" applyAlignment="1" applyProtection="1">
      <alignment horizontal="left" vertical="top" wrapText="1"/>
      <protection hidden="1"/>
    </xf>
    <xf numFmtId="0" fontId="134" fillId="0" borderId="228" xfId="0" applyFont="1" applyFill="1" applyBorder="1" applyAlignment="1" applyProtection="1">
      <alignment horizontal="left" vertical="top" wrapText="1"/>
      <protection hidden="1"/>
    </xf>
    <xf numFmtId="0" fontId="136" fillId="0" borderId="234" xfId="0" applyFont="1" applyFill="1" applyBorder="1" applyAlignment="1" applyProtection="1">
      <alignment horizontal="left" vertical="center" wrapText="1"/>
      <protection hidden="1"/>
    </xf>
    <xf numFmtId="0" fontId="136" fillId="0" borderId="1" xfId="0" applyFont="1" applyFill="1" applyBorder="1" applyAlignment="1" applyProtection="1">
      <alignment horizontal="left" vertical="center" wrapText="1"/>
      <protection hidden="1"/>
    </xf>
    <xf numFmtId="0" fontId="136" fillId="0" borderId="201" xfId="0" applyFont="1" applyFill="1" applyBorder="1" applyAlignment="1" applyProtection="1">
      <alignment vertical="center"/>
      <protection hidden="1"/>
    </xf>
    <xf numFmtId="0" fontId="136" fillId="0" borderId="305" xfId="0" applyFont="1" applyFill="1" applyBorder="1" applyAlignment="1" applyProtection="1">
      <alignment vertical="center"/>
      <protection hidden="1"/>
    </xf>
    <xf numFmtId="0" fontId="136" fillId="0" borderId="1" xfId="0" applyFont="1" applyFill="1" applyBorder="1" applyAlignment="1" applyProtection="1">
      <alignment vertical="center" wrapText="1"/>
      <protection hidden="1"/>
    </xf>
    <xf numFmtId="0" fontId="136" fillId="0" borderId="235" xfId="0" applyFont="1" applyFill="1" applyBorder="1" applyAlignment="1" applyProtection="1">
      <alignment vertical="center" wrapText="1"/>
      <protection hidden="1"/>
    </xf>
    <xf numFmtId="0" fontId="136" fillId="0" borderId="16" xfId="0" applyNumberFormat="1" applyFont="1" applyFill="1" applyBorder="1" applyAlignment="1" applyProtection="1">
      <alignment horizontal="left" vertical="center" indent="3"/>
      <protection hidden="1"/>
    </xf>
    <xf numFmtId="0" fontId="136" fillId="0" borderId="18" xfId="0" applyNumberFormat="1" applyFont="1" applyFill="1" applyBorder="1" applyAlignment="1" applyProtection="1">
      <alignment horizontal="left" vertical="center" indent="3"/>
      <protection hidden="1"/>
    </xf>
    <xf numFmtId="0" fontId="136" fillId="0" borderId="200" xfId="0" applyNumberFormat="1" applyFont="1" applyFill="1" applyBorder="1" applyAlignment="1" applyProtection="1">
      <alignment horizontal="left" vertical="center" indent="3"/>
      <protection hidden="1"/>
    </xf>
    <xf numFmtId="189" fontId="136" fillId="0" borderId="16" xfId="0" applyNumberFormat="1" applyFont="1" applyFill="1" applyBorder="1" applyAlignment="1" applyProtection="1">
      <alignment horizontal="left" vertical="center" indent="3"/>
      <protection hidden="1"/>
    </xf>
    <xf numFmtId="189" fontId="136" fillId="0" borderId="18" xfId="0" applyNumberFormat="1" applyFont="1" applyFill="1" applyBorder="1" applyAlignment="1" applyProtection="1">
      <alignment horizontal="left" vertical="center" indent="3"/>
      <protection hidden="1"/>
    </xf>
    <xf numFmtId="189" fontId="136" fillId="0" borderId="200" xfId="0" applyNumberFormat="1" applyFont="1" applyFill="1" applyBorder="1" applyAlignment="1" applyProtection="1">
      <alignment horizontal="left" vertical="center" indent="3"/>
      <protection hidden="1"/>
    </xf>
    <xf numFmtId="0" fontId="68" fillId="2" borderId="201" xfId="0" applyFont="1" applyFill="1" applyBorder="1" applyAlignment="1" applyProtection="1">
      <alignment horizontal="center" vertical="center"/>
      <protection hidden="1"/>
    </xf>
    <xf numFmtId="0" fontId="68" fillId="2" borderId="202" xfId="0" applyFont="1" applyFill="1" applyBorder="1" applyAlignment="1" applyProtection="1">
      <alignment horizontal="center" vertical="center"/>
      <protection hidden="1"/>
    </xf>
    <xf numFmtId="0" fontId="68" fillId="2" borderId="203" xfId="0" applyFont="1" applyFill="1" applyBorder="1" applyAlignment="1" applyProtection="1">
      <alignment horizontal="center" vertical="center"/>
      <protection hidden="1"/>
    </xf>
    <xf numFmtId="0" fontId="136" fillId="0" borderId="234" xfId="0" applyFont="1" applyFill="1" applyBorder="1" applyAlignment="1" applyProtection="1">
      <alignment horizontal="left" vertical="center" indent="1"/>
      <protection hidden="1"/>
    </xf>
    <xf numFmtId="0" fontId="136" fillId="0" borderId="1" xfId="0" applyFont="1" applyFill="1" applyBorder="1" applyAlignment="1" applyProtection="1">
      <alignment horizontal="left" vertical="center" indent="1"/>
      <protection hidden="1"/>
    </xf>
    <xf numFmtId="0" fontId="136" fillId="0" borderId="307" xfId="0" applyFont="1" applyFill="1" applyBorder="1" applyAlignment="1" applyProtection="1">
      <alignment horizontal="left" vertical="center" indent="1"/>
      <protection hidden="1"/>
    </xf>
    <xf numFmtId="0" fontId="136" fillId="0" borderId="217" xfId="0" applyFont="1" applyFill="1" applyBorder="1" applyAlignment="1" applyProtection="1">
      <alignment horizontal="left" vertical="center" indent="1"/>
      <protection hidden="1"/>
    </xf>
    <xf numFmtId="0" fontId="136" fillId="0" borderId="206" xfId="0" applyFont="1" applyFill="1" applyBorder="1" applyAlignment="1" applyProtection="1">
      <alignment horizontal="left" vertical="center" indent="1"/>
      <protection hidden="1"/>
    </xf>
    <xf numFmtId="0" fontId="136" fillId="0" borderId="8" xfId="0" applyFont="1" applyFill="1" applyBorder="1" applyAlignment="1" applyProtection="1">
      <alignment horizontal="left" vertical="center" indent="1"/>
      <protection hidden="1"/>
    </xf>
    <xf numFmtId="0" fontId="136" fillId="0" borderId="204" xfId="0" applyFont="1" applyFill="1" applyBorder="1" applyAlignment="1" applyProtection="1">
      <alignment vertical="center"/>
      <protection hidden="1"/>
    </xf>
    <xf numFmtId="0" fontId="136" fillId="0" borderId="205" xfId="0" applyFont="1" applyFill="1" applyBorder="1" applyAlignment="1" applyProtection="1">
      <alignment vertical="center"/>
      <protection hidden="1"/>
    </xf>
    <xf numFmtId="0" fontId="68" fillId="2" borderId="231" xfId="0" applyFont="1" applyFill="1" applyBorder="1" applyAlignment="1" applyProtection="1">
      <alignment horizontal="center" vertical="center"/>
      <protection hidden="1"/>
    </xf>
    <xf numFmtId="0" fontId="68" fillId="2" borderId="232" xfId="0" applyFont="1" applyFill="1" applyBorder="1" applyAlignment="1" applyProtection="1">
      <alignment horizontal="center" vertical="center"/>
      <protection hidden="1"/>
    </xf>
    <xf numFmtId="0" fontId="68" fillId="2" borderId="233" xfId="0" applyFont="1" applyFill="1" applyBorder="1" applyAlignment="1" applyProtection="1">
      <alignment horizontal="center" vertical="center"/>
      <protection hidden="1"/>
    </xf>
    <xf numFmtId="0" fontId="137" fillId="0" borderId="309" xfId="0" applyNumberFormat="1" applyFont="1" applyFill="1" applyBorder="1" applyAlignment="1" applyProtection="1">
      <alignment horizontal="center" vertical="center"/>
      <protection hidden="1"/>
    </xf>
    <xf numFmtId="0" fontId="137" fillId="0" borderId="237" xfId="0" applyNumberFormat="1" applyFont="1" applyFill="1" applyBorder="1" applyAlignment="1" applyProtection="1">
      <alignment horizontal="center" vertical="center"/>
      <protection hidden="1"/>
    </xf>
    <xf numFmtId="0" fontId="137" fillId="0" borderId="217" xfId="0" applyNumberFormat="1" applyFont="1" applyFill="1" applyBorder="1" applyAlignment="1" applyProtection="1">
      <alignment horizontal="center" vertical="center"/>
      <protection hidden="1"/>
    </xf>
    <xf numFmtId="0" fontId="137" fillId="0" borderId="218" xfId="0" applyNumberFormat="1" applyFont="1" applyFill="1" applyBorder="1" applyAlignment="1" applyProtection="1">
      <alignment horizontal="center" vertical="center"/>
      <protection hidden="1"/>
    </xf>
    <xf numFmtId="0" fontId="136" fillId="0" borderId="201" xfId="0" applyFont="1" applyFill="1" applyBorder="1" applyAlignment="1" applyProtection="1">
      <alignment horizontal="left" vertical="center"/>
      <protection hidden="1"/>
    </xf>
    <xf numFmtId="0" fontId="136" fillId="0" borderId="202" xfId="0" applyFont="1" applyFill="1" applyBorder="1" applyAlignment="1" applyProtection="1">
      <alignment horizontal="left" vertical="center"/>
      <protection hidden="1"/>
    </xf>
    <xf numFmtId="0" fontId="136" fillId="0" borderId="206" xfId="0" applyNumberFormat="1" applyFont="1" applyFill="1" applyBorder="1" applyAlignment="1" applyProtection="1">
      <alignment vertical="center"/>
      <protection hidden="1"/>
    </xf>
    <xf numFmtId="0" fontId="136" fillId="0" borderId="18" xfId="0" applyNumberFormat="1" applyFont="1" applyFill="1" applyBorder="1" applyAlignment="1" applyProtection="1">
      <alignment vertical="center"/>
      <protection hidden="1"/>
    </xf>
    <xf numFmtId="0" fontId="136" fillId="0" borderId="311" xfId="0" applyFont="1" applyFill="1" applyBorder="1" applyAlignment="1" applyProtection="1">
      <alignment vertical="center" wrapText="1"/>
      <protection hidden="1"/>
    </xf>
    <xf numFmtId="0" fontId="136" fillId="0" borderId="13" xfId="0" applyFont="1" applyFill="1" applyBorder="1" applyAlignment="1" applyProtection="1">
      <alignment vertical="center" wrapText="1"/>
      <protection hidden="1"/>
    </xf>
    <xf numFmtId="0" fontId="136" fillId="4" borderId="1" xfId="0" applyFont="1" applyFill="1" applyBorder="1" applyProtection="1">
      <protection hidden="1"/>
    </xf>
    <xf numFmtId="0" fontId="136" fillId="4" borderId="235" xfId="0" applyFont="1" applyFill="1" applyBorder="1" applyProtection="1">
      <protection hidden="1"/>
    </xf>
    <xf numFmtId="0" fontId="136" fillId="4" borderId="227" xfId="0" applyFont="1" applyFill="1" applyBorder="1" applyProtection="1">
      <protection hidden="1"/>
    </xf>
    <xf numFmtId="0" fontId="136" fillId="4" borderId="228" xfId="0" applyFont="1" applyFill="1" applyBorder="1" applyProtection="1">
      <protection hidden="1"/>
    </xf>
    <xf numFmtId="174" fontId="136" fillId="0" borderId="16" xfId="0" applyNumberFormat="1" applyFont="1" applyFill="1" applyBorder="1" applyAlignment="1" applyProtection="1">
      <alignment horizontal="left" vertical="center"/>
      <protection hidden="1"/>
    </xf>
    <xf numFmtId="174" fontId="136" fillId="0" borderId="18" xfId="0" applyNumberFormat="1" applyFont="1" applyFill="1" applyBorder="1" applyAlignment="1" applyProtection="1">
      <alignment horizontal="left" vertical="center"/>
      <protection hidden="1"/>
    </xf>
    <xf numFmtId="174" fontId="136" fillId="0" borderId="200" xfId="0" applyNumberFormat="1" applyFont="1" applyFill="1" applyBorder="1" applyAlignment="1" applyProtection="1">
      <alignment horizontal="left" vertical="center"/>
      <protection hidden="1"/>
    </xf>
    <xf numFmtId="0" fontId="68" fillId="2" borderId="195" xfId="0" applyFont="1" applyFill="1" applyBorder="1" applyAlignment="1" applyProtection="1">
      <alignment horizontal="left" vertical="center"/>
      <protection hidden="1"/>
    </xf>
    <xf numFmtId="0" fontId="68" fillId="2" borderId="196" xfId="0" applyFont="1" applyFill="1" applyBorder="1" applyAlignment="1" applyProtection="1">
      <alignment horizontal="left" vertical="center"/>
      <protection hidden="1"/>
    </xf>
    <xf numFmtId="176" fontId="136" fillId="0" borderId="12" xfId="0" applyNumberFormat="1" applyFont="1" applyFill="1" applyBorder="1" applyAlignment="1" applyProtection="1">
      <alignment horizontal="left" vertical="center" indent="2"/>
      <protection hidden="1"/>
    </xf>
    <xf numFmtId="176" fontId="136" fillId="0" borderId="13" xfId="0" applyNumberFormat="1" applyFont="1" applyFill="1" applyBorder="1" applyAlignment="1" applyProtection="1">
      <alignment horizontal="left" vertical="center" indent="2"/>
      <protection hidden="1"/>
    </xf>
    <xf numFmtId="176" fontId="136" fillId="0" borderId="308" xfId="0" applyNumberFormat="1" applyFont="1" applyFill="1" applyBorder="1" applyAlignment="1" applyProtection="1">
      <alignment horizontal="left" vertical="center" indent="2"/>
      <protection hidden="1"/>
    </xf>
    <xf numFmtId="176" fontId="136" fillId="0" borderId="23" xfId="0" applyNumberFormat="1" applyFont="1" applyFill="1" applyBorder="1" applyAlignment="1" applyProtection="1">
      <alignment horizontal="left" vertical="center" indent="2"/>
      <protection hidden="1"/>
    </xf>
    <xf numFmtId="176" fontId="136" fillId="0" borderId="19" xfId="0" applyNumberFormat="1" applyFont="1" applyFill="1" applyBorder="1" applyAlignment="1" applyProtection="1">
      <alignment horizontal="left" vertical="center" indent="2"/>
      <protection hidden="1"/>
    </xf>
    <xf numFmtId="176" fontId="136" fillId="0" borderId="225" xfId="0" applyNumberFormat="1" applyFont="1" applyFill="1" applyBorder="1" applyAlignment="1" applyProtection="1">
      <alignment horizontal="left" vertical="center" indent="2"/>
      <protection hidden="1"/>
    </xf>
    <xf numFmtId="0" fontId="136" fillId="0" borderId="311" xfId="0" applyFont="1" applyFill="1" applyBorder="1" applyAlignment="1" applyProtection="1">
      <alignment horizontal="left" vertical="center" wrapText="1"/>
      <protection hidden="1"/>
    </xf>
    <xf numFmtId="0" fontId="136" fillId="0" borderId="14" xfId="0" applyFont="1" applyFill="1" applyBorder="1" applyAlignment="1" applyProtection="1">
      <alignment horizontal="left" vertical="center" wrapText="1"/>
      <protection hidden="1"/>
    </xf>
    <xf numFmtId="0" fontId="136" fillId="0" borderId="224" xfId="0" applyFont="1" applyFill="1" applyBorder="1" applyAlignment="1" applyProtection="1">
      <alignment horizontal="left" vertical="center" wrapText="1"/>
      <protection hidden="1"/>
    </xf>
    <xf numFmtId="0" fontId="136" fillId="0" borderId="17" xfId="0" applyFont="1" applyFill="1" applyBorder="1" applyAlignment="1" applyProtection="1">
      <alignment horizontal="left" vertical="center" wrapText="1"/>
      <protection hidden="1"/>
    </xf>
    <xf numFmtId="0" fontId="136" fillId="0" borderId="1" xfId="0" applyFont="1" applyFill="1" applyBorder="1" applyAlignment="1" applyProtection="1">
      <alignment vertical="center"/>
      <protection hidden="1"/>
    </xf>
    <xf numFmtId="0" fontId="136" fillId="0" borderId="235" xfId="0" applyFont="1" applyFill="1" applyBorder="1" applyAlignment="1" applyProtection="1">
      <alignment vertical="center"/>
      <protection hidden="1"/>
    </xf>
    <xf numFmtId="0" fontId="136" fillId="0" borderId="229" xfId="0" applyFont="1" applyFill="1" applyBorder="1" applyAlignment="1" applyProtection="1">
      <alignment vertical="center"/>
      <protection hidden="1"/>
    </xf>
    <xf numFmtId="0" fontId="136" fillId="0" borderId="230" xfId="0" applyFont="1" applyFill="1" applyBorder="1" applyAlignment="1" applyProtection="1">
      <alignment vertical="center"/>
      <protection hidden="1"/>
    </xf>
    <xf numFmtId="0" fontId="63" fillId="21" borderId="0" xfId="0" applyFont="1" applyFill="1" applyBorder="1" applyAlignment="1" applyProtection="1">
      <alignment horizontal="left" vertical="center" wrapText="1"/>
      <protection hidden="1"/>
    </xf>
    <xf numFmtId="191" fontId="98" fillId="28" borderId="26" xfId="0" applyNumberFormat="1" applyFont="1" applyFill="1" applyBorder="1" applyAlignment="1" applyProtection="1">
      <alignment horizontal="right"/>
      <protection hidden="1"/>
    </xf>
    <xf numFmtId="191" fontId="98" fillId="28" borderId="0" xfId="0" applyNumberFormat="1" applyFont="1" applyFill="1" applyBorder="1" applyAlignment="1" applyProtection="1">
      <alignment horizontal="right"/>
      <protection hidden="1"/>
    </xf>
    <xf numFmtId="191" fontId="98" fillId="28" borderId="181" xfId="0" applyNumberFormat="1" applyFont="1" applyFill="1" applyBorder="1" applyAlignment="1" applyProtection="1">
      <alignment horizontal="right"/>
      <protection hidden="1"/>
    </xf>
    <xf numFmtId="191" fontId="102" fillId="28" borderId="26" xfId="0" applyNumberFormat="1" applyFont="1" applyFill="1" applyBorder="1" applyAlignment="1" applyProtection="1">
      <alignment horizontal="right" vertical="top"/>
      <protection hidden="1"/>
    </xf>
    <xf numFmtId="191" fontId="102" fillId="28" borderId="0" xfId="0" applyNumberFormat="1" applyFont="1" applyFill="1" applyBorder="1" applyAlignment="1" applyProtection="1">
      <alignment horizontal="right" vertical="top"/>
      <protection hidden="1"/>
    </xf>
    <xf numFmtId="191" fontId="102" fillId="28" borderId="181" xfId="0" applyNumberFormat="1" applyFont="1" applyFill="1" applyBorder="1" applyAlignment="1" applyProtection="1">
      <alignment horizontal="right" vertical="top"/>
      <protection hidden="1"/>
    </xf>
    <xf numFmtId="0" fontId="74" fillId="26" borderId="65" xfId="0" applyFont="1" applyFill="1" applyBorder="1" applyAlignment="1" applyProtection="1">
      <alignment vertical="center"/>
      <protection hidden="1"/>
    </xf>
    <xf numFmtId="0" fontId="74" fillId="26" borderId="66" xfId="0" applyFont="1" applyFill="1" applyBorder="1" applyAlignment="1" applyProtection="1">
      <alignment vertical="center"/>
      <protection hidden="1"/>
    </xf>
    <xf numFmtId="0" fontId="74" fillId="26" borderId="67" xfId="0" applyFont="1" applyFill="1" applyBorder="1" applyAlignment="1" applyProtection="1">
      <alignment vertical="center"/>
      <protection hidden="1"/>
    </xf>
    <xf numFmtId="0" fontId="53" fillId="25" borderId="68" xfId="0" applyFont="1" applyFill="1" applyBorder="1" applyAlignment="1" applyProtection="1">
      <alignment horizontal="left" vertical="center"/>
      <protection hidden="1"/>
    </xf>
    <xf numFmtId="0" fontId="53" fillId="25" borderId="52" xfId="0" applyFont="1" applyFill="1" applyBorder="1" applyAlignment="1" applyProtection="1">
      <alignment horizontal="left" vertical="center"/>
      <protection hidden="1"/>
    </xf>
    <xf numFmtId="0" fontId="24" fillId="27" borderId="52" xfId="0" applyFont="1" applyFill="1" applyBorder="1" applyAlignment="1" applyProtection="1">
      <alignment horizontal="left" vertical="center" shrinkToFit="1"/>
      <protection hidden="1"/>
    </xf>
    <xf numFmtId="0" fontId="24" fillId="27" borderId="56" xfId="0" applyFont="1" applyFill="1" applyBorder="1" applyAlignment="1" applyProtection="1">
      <alignment horizontal="left" vertical="center" shrinkToFit="1"/>
      <protection hidden="1"/>
    </xf>
    <xf numFmtId="0" fontId="74" fillId="26" borderId="59" xfId="0" applyFont="1" applyFill="1" applyBorder="1" applyAlignment="1" applyProtection="1">
      <alignment horizontal="left" vertical="center"/>
      <protection hidden="1"/>
    </xf>
    <xf numFmtId="0" fontId="74" fillId="26" borderId="60" xfId="0" applyFont="1" applyFill="1" applyBorder="1" applyAlignment="1" applyProtection="1">
      <alignment horizontal="left" vertical="center"/>
      <protection hidden="1"/>
    </xf>
    <xf numFmtId="0" fontId="74" fillId="26" borderId="180" xfId="0" applyFont="1" applyFill="1" applyBorder="1" applyAlignment="1" applyProtection="1">
      <alignment horizontal="left" vertical="center"/>
      <protection hidden="1"/>
    </xf>
    <xf numFmtId="0" fontId="53" fillId="28" borderId="26" xfId="0" applyFont="1" applyFill="1" applyBorder="1" applyAlignment="1" applyProtection="1">
      <alignment horizontal="left" vertical="top"/>
      <protection hidden="1"/>
    </xf>
    <xf numFmtId="0" fontId="53" fillId="28" borderId="0" xfId="0" applyFont="1" applyFill="1" applyBorder="1" applyAlignment="1" applyProtection="1">
      <alignment horizontal="left" vertical="top"/>
      <protection hidden="1"/>
    </xf>
    <xf numFmtId="0" fontId="53" fillId="28" borderId="181" xfId="0" applyFont="1" applyFill="1" applyBorder="1" applyAlignment="1" applyProtection="1">
      <alignment horizontal="left" vertical="top"/>
      <protection hidden="1"/>
    </xf>
    <xf numFmtId="0" fontId="53" fillId="28" borderId="178" xfId="0" applyFont="1" applyFill="1" applyBorder="1" applyAlignment="1" applyProtection="1">
      <alignment horizontal="left" vertical="top"/>
      <protection hidden="1"/>
    </xf>
    <xf numFmtId="0" fontId="53" fillId="28" borderId="179" xfId="0" applyFont="1" applyFill="1" applyBorder="1" applyAlignment="1" applyProtection="1">
      <alignment horizontal="left" vertical="top"/>
      <protection hidden="1"/>
    </xf>
    <xf numFmtId="0" fontId="53" fillId="28" borderId="182" xfId="0" applyFont="1" applyFill="1" applyBorder="1" applyAlignment="1" applyProtection="1">
      <alignment horizontal="left" vertical="top"/>
      <protection hidden="1"/>
    </xf>
    <xf numFmtId="0" fontId="74" fillId="26" borderId="81" xfId="0" applyFont="1" applyFill="1" applyBorder="1" applyAlignment="1" applyProtection="1">
      <alignment horizontal="left" vertical="center"/>
      <protection hidden="1"/>
    </xf>
    <xf numFmtId="0" fontId="74" fillId="26" borderId="82" xfId="0" applyFont="1" applyFill="1" applyBorder="1" applyAlignment="1" applyProtection="1">
      <alignment horizontal="left" vertical="center"/>
      <protection hidden="1"/>
    </xf>
    <xf numFmtId="0" fontId="74" fillId="26" borderId="177" xfId="0" applyFont="1" applyFill="1" applyBorder="1" applyAlignment="1" applyProtection="1">
      <alignment horizontal="left" vertical="center"/>
      <protection hidden="1"/>
    </xf>
    <xf numFmtId="0" fontId="74" fillId="26" borderId="96" xfId="0" applyFont="1" applyFill="1" applyBorder="1" applyAlignment="1" applyProtection="1">
      <alignment horizontal="left" vertical="center"/>
      <protection hidden="1"/>
    </xf>
    <xf numFmtId="190" fontId="97" fillId="28" borderId="26" xfId="0" applyNumberFormat="1" applyFont="1" applyFill="1" applyBorder="1" applyAlignment="1" applyProtection="1">
      <alignment horizontal="right" vertical="top"/>
      <protection hidden="1"/>
    </xf>
    <xf numFmtId="190" fontId="97" fillId="28" borderId="0" xfId="0" applyNumberFormat="1" applyFont="1" applyFill="1" applyBorder="1" applyAlignment="1" applyProtection="1">
      <alignment horizontal="right" vertical="top"/>
      <protection hidden="1"/>
    </xf>
    <xf numFmtId="190" fontId="97" fillId="28" borderId="181" xfId="0" applyNumberFormat="1" applyFont="1" applyFill="1" applyBorder="1" applyAlignment="1" applyProtection="1">
      <alignment horizontal="right" vertical="top"/>
      <protection hidden="1"/>
    </xf>
    <xf numFmtId="190" fontId="97" fillId="28" borderId="178" xfId="0" applyNumberFormat="1" applyFont="1" applyFill="1" applyBorder="1" applyAlignment="1" applyProtection="1">
      <alignment horizontal="right" vertical="top"/>
      <protection hidden="1"/>
    </xf>
    <xf numFmtId="190" fontId="97" fillId="28" borderId="179" xfId="0" applyNumberFormat="1" applyFont="1" applyFill="1" applyBorder="1" applyAlignment="1" applyProtection="1">
      <alignment horizontal="right" vertical="top"/>
      <protection hidden="1"/>
    </xf>
    <xf numFmtId="190" fontId="97" fillId="28" borderId="182" xfId="0" applyNumberFormat="1" applyFont="1" applyFill="1" applyBorder="1" applyAlignment="1" applyProtection="1">
      <alignment horizontal="right" vertical="top"/>
      <protection hidden="1"/>
    </xf>
    <xf numFmtId="191" fontId="101" fillId="28" borderId="26" xfId="0" applyNumberFormat="1" applyFont="1" applyFill="1" applyBorder="1" applyAlignment="1" applyProtection="1">
      <alignment horizontal="right" vertical="top"/>
      <protection hidden="1"/>
    </xf>
    <xf numFmtId="191" fontId="101" fillId="28" borderId="0" xfId="0" applyNumberFormat="1" applyFont="1" applyFill="1" applyBorder="1" applyAlignment="1" applyProtection="1">
      <alignment horizontal="right" vertical="top"/>
      <protection hidden="1"/>
    </xf>
    <xf numFmtId="191" fontId="101" fillId="28" borderId="181" xfId="0" applyNumberFormat="1" applyFont="1" applyFill="1" applyBorder="1" applyAlignment="1" applyProtection="1">
      <alignment horizontal="right" vertical="top"/>
      <protection hidden="1"/>
    </xf>
    <xf numFmtId="191" fontId="101" fillId="28" borderId="178" xfId="0" applyNumberFormat="1" applyFont="1" applyFill="1" applyBorder="1" applyAlignment="1" applyProtection="1">
      <alignment horizontal="right" vertical="top"/>
      <protection hidden="1"/>
    </xf>
    <xf numFmtId="191" fontId="101" fillId="28" borderId="179" xfId="0" applyNumberFormat="1" applyFont="1" applyFill="1" applyBorder="1" applyAlignment="1" applyProtection="1">
      <alignment horizontal="right" vertical="top"/>
      <protection hidden="1"/>
    </xf>
    <xf numFmtId="191" fontId="101" fillId="28" borderId="182" xfId="0" applyNumberFormat="1" applyFont="1" applyFill="1" applyBorder="1" applyAlignment="1" applyProtection="1">
      <alignment horizontal="right" vertical="top"/>
      <protection hidden="1"/>
    </xf>
    <xf numFmtId="0" fontId="0" fillId="0" borderId="0" xfId="0" applyAlignment="1">
      <alignment wrapText="1"/>
    </xf>
    <xf numFmtId="0" fontId="34" fillId="2" borderId="9" xfId="0" applyFont="1" applyFill="1" applyBorder="1" applyAlignment="1">
      <alignment horizontal="left" vertical="top" wrapText="1" readingOrder="1"/>
    </xf>
    <xf numFmtId="0" fontId="34" fillId="2" borderId="10" xfId="0" applyFont="1" applyFill="1" applyBorder="1" applyAlignment="1">
      <alignment horizontal="left" vertical="top" wrapText="1" readingOrder="1"/>
    </xf>
    <xf numFmtId="0" fontId="34" fillId="2" borderId="9" xfId="0" applyFont="1" applyFill="1" applyBorder="1" applyAlignment="1">
      <alignment horizontal="center" vertical="top" wrapText="1" readingOrder="1"/>
    </xf>
    <xf numFmtId="0" fontId="34" fillId="2" borderId="10" xfId="0" applyFont="1" applyFill="1" applyBorder="1" applyAlignment="1">
      <alignment horizontal="center" vertical="top" wrapText="1" readingOrder="1"/>
    </xf>
  </cellXfs>
  <cellStyles count="853">
    <cellStyle name="_Capacity Expansion Plan for Valacyclovir (GSK) Rev 0" xfId="10"/>
    <cellStyle name="_CFLU7 BPR060707" xfId="11"/>
    <cellStyle name="_CFLU7 BPR060707_~6590636" xfId="12"/>
    <cellStyle name="_CFLU7 BPR060707_~6590636_High Volume PEIF Template" xfId="13"/>
    <cellStyle name="_CFLU7 BPR060707_~6590636_PEIF_CLP_500 Kg &amp; 1600 Kg draft" xfId="14"/>
    <cellStyle name="_CFLU7 BPR060707_~6590636_Sorbent Therapeutics_CLP_1600 Kg_Draft" xfId="15"/>
    <cellStyle name="_CFLU7 BPR060707_~6590636_Sorbent Therapeutics_CLP_500 Kg_Draft" xfId="16"/>
    <cellStyle name="_CFLU7 BPR060707_Atorvastatin_Costing _ Scenario3_ Validation_scale_1 09 08" xfId="17"/>
    <cellStyle name="_CFLU7 BPR060707_Atorvastatin_Costing _ Scenario3_ Validation_scale_1 09 08_High Volume PEIF Template" xfId="18"/>
    <cellStyle name="_CFLU7 BPR060707_Atorvastatin_Costing _ Scenario3_ Validation_scale_1 09 08_PEIF_CLP_500 Kg &amp; 1600 Kg draft" xfId="19"/>
    <cellStyle name="_CFLU7 BPR060707_Atorvastatin_Costing _ Scenario3_ Validation_scale_1 09 08_Sorbent Therapeutics_CLP_1600 Kg_Draft" xfId="20"/>
    <cellStyle name="_CFLU7 BPR060707_Atorvastatin_Costing _ Scenario3_ Validation_scale_1 09 08_Sorbent Therapeutics_CLP_500 Kg_Draft" xfId="21"/>
    <cellStyle name="_CFLU7 BPR060707_Batch Plan for All Stages" xfId="22"/>
    <cellStyle name="_CFLU7 BPR060707_Batch Plan for All Stages_High Volume PEIF Template" xfId="23"/>
    <cellStyle name="_CFLU7 BPR060707_Clodronic acid (Product Costing) rev0" xfId="24"/>
    <cellStyle name="_CFLU7 BPR060707_Clodronic acid (Product Costing) rev0_High Volume PEIF Template" xfId="25"/>
    <cellStyle name="_CFLU7 BPR060707_Clodronic acid_ Validation campaign" xfId="26"/>
    <cellStyle name="_CFLU7 BPR060707_Clopi-Utility cost-rev0" xfId="27"/>
    <cellStyle name="_CFLU7 BPR060707_Clopi-Utility cost-rev0_~5198021" xfId="28"/>
    <cellStyle name="_CFLU7 BPR060707_Clopi-Utility cost-rev0_Chiral benzylamine cost sheet" xfId="29"/>
    <cellStyle name="_CFLU7 BPR060707_Clopi-Utility cost-rev0_Cyclohexanone dimethyl acetal-PEIF" xfId="30"/>
    <cellStyle name="_CFLU7 BPR060707_Clopi-Utility cost-rev0_First_Cut J&amp;J (TMC207) (081009)" xfId="31"/>
    <cellStyle name="_CFLU7 BPR060707_Clopi-Utility cost-rev0_First_Cut_Urapidil (010709)" xfId="32"/>
    <cellStyle name="_CFLU7 BPR060707_Clopi-Utility cost-rev0_Hamari-PEIF" xfId="33"/>
    <cellStyle name="_CFLU7 BPR060707_Clopi-Utility cost-rev0_Hamari-PEIF-Vinod" xfId="34"/>
    <cellStyle name="_CFLU7 BPR060707_Clopi-Utility cost-rev0_modified RMC for CPA(HAMARI CHEMICALS)-with recoveries-17032011" xfId="35"/>
    <cellStyle name="_CFLU7 BPR060707_Clopi-Utility cost-rev0_PEIF _(1R,4S)-cis-4-acetoxy-2-cyclopenten-1-ol for third party" xfId="36"/>
    <cellStyle name="_CFLU7 BPR060707_Clopi-Utility cost-rev0_PEIF _(1R,4S)-cis-4-acetoxy-2-cyclopenten-1-ol for third party_Draft First_Cut Eflornothine (SA) 22.12.09" xfId="37"/>
    <cellStyle name="_CFLU7 BPR060707_Clopi-Utility cost-rev0_PEIF _(1R,4S)-cis-4-acetoxy-2-cyclopenten-1-ol for third party_TAG REPORT FOR SULINDAC" xfId="38"/>
    <cellStyle name="_CFLU7 BPR060707_Clopi-Utility cost-rev0_PEIF 18.12.09 (Rev01)" xfId="39"/>
    <cellStyle name="_CFLU7 BPR060707_Clopi-Utility cost-rev0_PEIF of PHX2160 (1000 Kgs) 29.09.2009" xfId="40"/>
    <cellStyle name="_CFLU7 BPR060707_Clopi-Utility cost-rev0_PEIF_CLP_500 Kg &amp; 1600 Kg draft" xfId="41"/>
    <cellStyle name="_CFLU7 BPR060707_Clopi-Utility cost-rev0_PEIF-CPA-Hamari chemicals" xfId="42"/>
    <cellStyle name="_CFLU7 BPR060707_Clopi-Utility cost-rev0_PHX2160 _ Back up files" xfId="43"/>
    <cellStyle name="_CFLU7 BPR060707_Clopi-Utility cost-rev0_Product Costing-Rev00" xfId="44"/>
    <cellStyle name="_CFLU7 BPR060707_Clopi-Utility cost-rev0_Sorbent Therapeutics_CLP_1600 Kg_Draft" xfId="45"/>
    <cellStyle name="_CFLU7 BPR060707_Clopi-Utility cost-rev0_Sorbent Therapeutics_CLP_500 Kg_Draft" xfId="46"/>
    <cellStyle name="_CFLU7 BPR060707_Clopi-Utility cost-rev0_SYnthon A &amp; B PEIF" xfId="47"/>
    <cellStyle name="_CFLU7 BPR060707_Clopi-Utility cost-rev0_SYnthon A-50 MT- possible" xfId="48"/>
    <cellStyle name="_CFLU7 BPR060707_Clopi-Utility cost-rev0_TAG REPORT FOR TICAGRELOR...." xfId="49"/>
    <cellStyle name="_CFLU7 BPR060707_Clopi-Utility cost-rev0_TAG REPORT FOR TICAGRELOR...._Draft First_Cut Eflornothine (SA) 22.12.09" xfId="50"/>
    <cellStyle name="_CFLU7 BPR060707_Clopi-Utility cost-rev0_TAG REPORT FOR TICAGRELOR...._TAG REPORT FOR SULINDAC" xfId="51"/>
    <cellStyle name="_CFLU7 BPR060707_Clopi-Utility cost-rev0_TAG Report-Synthon A &amp; B" xfId="52"/>
    <cellStyle name="_CFLU7 BPR060707_CLP (Product Costing) Rev-2  as two stage in clean room" xfId="53"/>
    <cellStyle name="_CFLU7 BPR060707_Cost &amp; Timelines for NXL104 15 MT Rev 2" xfId="54"/>
    <cellStyle name="_CFLU7 BPR060707_Cost &amp; Timelines for NXL104 15 MT Rev 2_High Volume PEIF Template" xfId="55"/>
    <cellStyle name="_CFLU7 BPR060707_Costs &amp; timelines" xfId="56"/>
    <cellStyle name="_CFLU7 BPR060707_Costs &amp; timelines_High Volume PEIF Template" xfId="57"/>
    <cellStyle name="_CFLU7 BPR060707_Costs &amp; timelines_PEIF_CLP_500 Kg &amp; 1600 Kg draft" xfId="58"/>
    <cellStyle name="_CFLU7 BPR060707_Costs &amp; timelines_Sorbent Therapeutics_CLP_1600 Kg_Draft" xfId="59"/>
    <cellStyle name="_CFLU7 BPR060707_Costs &amp; timelines_Sorbent Therapeutics_CLP_500 Kg_Draft" xfId="60"/>
    <cellStyle name="_CFLU7 BPR060707_Costsheet  GSK-62" xfId="61"/>
    <cellStyle name="_CFLU7 BPR060707_CR2017 (Prodn Planning) Rev 6 optimistic 15 MT lots" xfId="62"/>
    <cellStyle name="_CFLU7 BPR060707_CR2017 (Prodn Planning) Rev 6 optimistic 15 MT lots_Cyclohexanone dimethyl acetal-PEIF" xfId="63"/>
    <cellStyle name="_CFLU7 BPR060707_CR2017 (Prodn Planning) Rev 6 optimistic 15 MT lots_High Volume PEIF Template" xfId="64"/>
    <cellStyle name="_CFLU7 BPR060707_CR2017 (Prodn Planning) Rev 6 optimistic 15 MT lots_modified RMC for CPA(HAMARI CHEMICALS)-with recoveries-17032011" xfId="65"/>
    <cellStyle name="_CFLU7 BPR060707_CR2017 (Prodn Planning) Rev 6 optimistic 15 MT lots_NXL-104 OO - 1,5,20,50,75,100 MT - 15.06.2011 - 20.06.2011" xfId="66"/>
    <cellStyle name="_CFLU7 BPR060707_CR2017 (Prodn Planning) Rev 6 optimistic 15 MT lots_PEIF of PHX2160 (1000 Kgs) 29.09.2009" xfId="67"/>
    <cellStyle name="_CFLU7 BPR060707_CR2017 (Prodn Planning) Rev 6 optimistic 15 MT lots_PEIF-CPA-Hamari chemicals" xfId="68"/>
    <cellStyle name="_CFLU7 BPR060707_CR2017 (Prodn Planning) Rev 6 optimistic 15 MT lots_PHX2160 _ Back up files" xfId="69"/>
    <cellStyle name="_CFLU7 BPR060707_CR2017 (Prodn Planning) Rev 6 optimistic 15 MT lots_Product Costing-Rev00" xfId="70"/>
    <cellStyle name="_CFLU7 BPR060707_Cyclohexanone dimethyl acetal-PEIF" xfId="71"/>
    <cellStyle name="_CFLU7 BPR060707_Etiracetam (Product Costing) Rev 0 (India)" xfId="72"/>
    <cellStyle name="_CFLU7 BPR060707_Etiracetam (Product Costing) Rev 0 (India)_~5198021" xfId="73"/>
    <cellStyle name="_CFLU7 BPR060707_Etiracetam (Product Costing) Rev 0 (India)_~6899541" xfId="74"/>
    <cellStyle name="_CFLU7 BPR060707_Etiracetam (Product Costing) Rev 0 (India)_~6899541_PEIF 18.12.09 (Rev01)" xfId="75"/>
    <cellStyle name="_CFLU7 BPR060707_Etiracetam (Product Costing) Rev 0 (India)_Batch Plan" xfId="76"/>
    <cellStyle name="_CFLU7 BPR060707_Etiracetam (Product Costing) Rev 0 (India)_Batch Plan_~5198021" xfId="77"/>
    <cellStyle name="_CFLU7 BPR060707_Etiracetam (Product Costing) Rev 0 (India)_Batch Plan_First_Cut J&amp;J (TMC207) (081009)" xfId="78"/>
    <cellStyle name="_CFLU7 BPR060707_Etiracetam (Product Costing) Rev 0 (India)_Batch Plan_First_Cut_Urapidil (010709)" xfId="79"/>
    <cellStyle name="_CFLU7 BPR060707_Etiracetam (Product Costing) Rev 0 (India)_Batch Plan_PEIF _(1R,4S)-cis-4-acetoxy-2-cyclopenten-1-ol for third party" xfId="80"/>
    <cellStyle name="_CFLU7 BPR060707_Etiracetam (Product Costing) Rev 0 (India)_Batch Plan_PEIF _(1R,4S)-cis-4-acetoxy-2-cyclopenten-1-ol for third party_Draft First_Cut Eflornothine (SA) 22.12.09" xfId="81"/>
    <cellStyle name="_CFLU7 BPR060707_Etiracetam (Product Costing) Rev 0 (India)_Batch Plan_PEIF _(1R,4S)-cis-4-acetoxy-2-cyclopenten-1-ol for third party_TAG REPORT FOR SULINDAC" xfId="82"/>
    <cellStyle name="_CFLU7 BPR060707_Etiracetam (Product Costing) Rev 0 (India)_Batch Plan_PEIF 18.12.09 (Rev01)" xfId="83"/>
    <cellStyle name="_CFLU7 BPR060707_Etiracetam (Product Costing) Rev 0 (India)_Batch Plan_PEIF for Third Party costing" xfId="84"/>
    <cellStyle name="_CFLU7 BPR060707_Etiracetam (Product Costing) Rev 0 (India)_Batch Plan_PEIF for Third Party costing_Draft First_Cut Eflornothine (SA) 22.12.09" xfId="85"/>
    <cellStyle name="_CFLU7 BPR060707_Etiracetam (Product Costing) Rev 0 (India)_Batch Plan_PEIF for Third Party costing_TAG REPORT FOR SULINDAC" xfId="86"/>
    <cellStyle name="_CFLU7 BPR060707_Etiracetam (Product Costing) Rev 0 (India)_Batch Plan_SYnthon A &amp; B PEIF" xfId="87"/>
    <cellStyle name="_CFLU7 BPR060707_Etiracetam (Product Costing) Rev 0 (India)_Batch Plan_SYnthon A-50 MT- possible" xfId="88"/>
    <cellStyle name="_CFLU7 BPR060707_Etiracetam (Product Costing) Rev 0 (India)_Batch Plan_TAG REPORT FOR TICAGRELOR...." xfId="89"/>
    <cellStyle name="_CFLU7 BPR060707_Etiracetam (Product Costing) Rev 0 (India)_Batch Plan_TAG REPORT FOR TICAGRELOR...._Draft First_Cut Eflornothine (SA) 22.12.09" xfId="90"/>
    <cellStyle name="_CFLU7 BPR060707_Etiracetam (Product Costing) Rev 0 (India)_Batch Plan_TAG REPORT FOR TICAGRELOR...._TAG REPORT FOR SULINDAC" xfId="91"/>
    <cellStyle name="_CFLU7 BPR060707_Etiracetam (Product Costing) Rev 0 (India)_Batch Plan_TAG Report-Synthon A &amp; B" xfId="92"/>
    <cellStyle name="_CFLU7 BPR060707_Etiracetam (Product Costing) Rev 0 (India)_Chiral benzylamine- 4th June'09_RMC" xfId="93"/>
    <cellStyle name="_CFLU7 BPR060707_Etiracetam (Product Costing) Rev 0 (India)_Chiral benzylamine- 4th June'09_RMC_High Volume PEIF Template" xfId="94"/>
    <cellStyle name="_CFLU7 BPR060707_Etiracetam (Product Costing) Rev 0 (India)_Chiral benzylamine cost sheet" xfId="95"/>
    <cellStyle name="_CFLU7 BPR060707_Etiracetam (Product Costing) Rev 0 (India)_Cyclohexanone dimethyl acetal-PEIF" xfId="96"/>
    <cellStyle name="_CFLU7 BPR060707_Etiracetam (Product Costing) Rev 0 (India)_First Cut for Commercial NKTR-102 (14.10.09)" xfId="97"/>
    <cellStyle name="_CFLU7 BPR060707_Etiracetam (Product Costing) Rev 0 (India)_First_Cut J&amp;J (TMC207) (081009)" xfId="98"/>
    <cellStyle name="_CFLU7 BPR060707_Etiracetam (Product Costing) Rev 0 (India)_First_Cut_Urapidil (010709)" xfId="99"/>
    <cellStyle name="_CFLU7 BPR060707_Etiracetam (Product Costing) Rev 0 (India)_modified RMC for CPA(HAMARI CHEMICALS)-with recoveries-17032011" xfId="100"/>
    <cellStyle name="_CFLU7 BPR060707_Etiracetam (Product Costing) Rev 0 (India)_NXL-104 OO - 1,5,20,50,75,100 MT - 15.06.2011 - 20.06.2011" xfId="101"/>
    <cellStyle name="_CFLU7 BPR060707_Etiracetam (Product Costing) Rev 0 (India)_PEIF _(1R,4S)-cis-4-acetoxy-2-cyclopenten-1-ol for third party" xfId="102"/>
    <cellStyle name="_CFLU7 BPR060707_Etiracetam (Product Costing) Rev 0 (India)_PEIF _(1R,4S)-cis-4-acetoxy-2-cyclopenten-1-ol for third party_Draft First_Cut Eflornothine (SA) 22.12.09" xfId="103"/>
    <cellStyle name="_CFLU7 BPR060707_Etiracetam (Product Costing) Rev 0 (India)_PEIF _(1R,4S)-cis-4-acetoxy-2-cyclopenten-1-ol for third party_TAG REPORT FOR SULINDAC" xfId="104"/>
    <cellStyle name="_CFLU7 BPR060707_Etiracetam (Product Costing) Rev 0 (India)_PEIF 18.12.09 (Rev01)" xfId="105"/>
    <cellStyle name="_CFLU7 BPR060707_Etiracetam (Product Costing) Rev 0 (India)_PEIF for costing_Rev00....." xfId="106"/>
    <cellStyle name="_CFLU7 BPR060707_Etiracetam (Product Costing) Rev 0 (India)_PEIF for costing_Rev00....._~5198021" xfId="107"/>
    <cellStyle name="_CFLU7 BPR060707_Etiracetam (Product Costing) Rev 0 (India)_PEIF for costing_Rev00....._Chiral benzylamine cost sheet" xfId="108"/>
    <cellStyle name="_CFLU7 BPR060707_Etiracetam (Product Costing) Rev 0 (India)_PEIF for costing_Rev00....._Cyclohexanone dimethyl acetal-PEIF" xfId="109"/>
    <cellStyle name="_CFLU7 BPR060707_Etiracetam (Product Costing) Rev 0 (India)_PEIF for costing_Rev00....._First_Cut J&amp;J (TMC207) (081009)" xfId="110"/>
    <cellStyle name="_CFLU7 BPR060707_Etiracetam (Product Costing) Rev 0 (India)_PEIF for costing_Rev00....._First_Cut_Urapidil (010709)" xfId="111"/>
    <cellStyle name="_CFLU7 BPR060707_Etiracetam (Product Costing) Rev 0 (India)_PEIF for costing_Rev00....._modified RMC for CPA(HAMARI CHEMICALS)-with recoveries-17032011" xfId="112"/>
    <cellStyle name="_CFLU7 BPR060707_Etiracetam (Product Costing) Rev 0 (India)_PEIF for costing_Rev00....._NXL-104 OO - 1,5,20,50,75,100 MT - 15.06.2011 - 20.06.2011" xfId="113"/>
    <cellStyle name="_CFLU7 BPR060707_Etiracetam (Product Costing) Rev 0 (India)_PEIF for costing_Rev00....._PEIF _(1R,4S)-cis-4-acetoxy-2-cyclopenten-1-ol for third party" xfId="114"/>
    <cellStyle name="_CFLU7 BPR060707_Etiracetam (Product Costing) Rev 0 (India)_PEIF for costing_Rev00....._PEIF _(1R,4S)-cis-4-acetoxy-2-cyclopenten-1-ol for third party_Draft First_Cut Eflornothine (SA) 22.12.09" xfId="115"/>
    <cellStyle name="_CFLU7 BPR060707_Etiracetam (Product Costing) Rev 0 (India)_PEIF for costing_Rev00....._PEIF _(1R,4S)-cis-4-acetoxy-2-cyclopenten-1-ol for third party_TAG REPORT FOR SULINDAC" xfId="116"/>
    <cellStyle name="_CFLU7 BPR060707_Etiracetam (Product Costing) Rev 0 (India)_PEIF for costing_Rev00....._PEIF 18.12.09 (Rev01)" xfId="117"/>
    <cellStyle name="_CFLU7 BPR060707_Etiracetam (Product Costing) Rev 0 (India)_PEIF for costing_Rev00....._PEIF of PHX2160 (1000 Kgs) 29.09.2009" xfId="118"/>
    <cellStyle name="_CFLU7 BPR060707_Etiracetam (Product Costing) Rev 0 (India)_PEIF for costing_Rev00....._PEIF-CPA-Hamari chemicals" xfId="119"/>
    <cellStyle name="_CFLU7 BPR060707_Etiracetam (Product Costing) Rev 0 (India)_PEIF for costing_Rev00....._PHX2160 _ Back up files" xfId="120"/>
    <cellStyle name="_CFLU7 BPR060707_Etiracetam (Product Costing) Rev 0 (India)_PEIF for costing_Rev00....._Product Costing-Rev00" xfId="121"/>
    <cellStyle name="_CFLU7 BPR060707_Etiracetam (Product Costing) Rev 0 (India)_PEIF for costing_Rev00....._SYnthon A &amp; B PEIF" xfId="122"/>
    <cellStyle name="_CFLU7 BPR060707_Etiracetam (Product Costing) Rev 0 (India)_PEIF for costing_Rev00....._SYnthon A-50 MT- possible" xfId="123"/>
    <cellStyle name="_CFLU7 BPR060707_Etiracetam (Product Costing) Rev 0 (India)_PEIF for costing_Rev00....._TAG REPORT FOR TICAGRELOR...." xfId="124"/>
    <cellStyle name="_CFLU7 BPR060707_Etiracetam (Product Costing) Rev 0 (India)_PEIF for costing_Rev00....._TAG REPORT FOR TICAGRELOR...._Draft First_Cut Eflornothine (SA) 22.12.09" xfId="125"/>
    <cellStyle name="_CFLU7 BPR060707_Etiracetam (Product Costing) Rev 0 (India)_PEIF for costing_Rev00....._TAG REPORT FOR TICAGRELOR...._TAG REPORT FOR SULINDAC" xfId="126"/>
    <cellStyle name="_CFLU7 BPR060707_Etiracetam (Product Costing) Rev 0 (India)_PEIF for costing_Rev00....._TAG Report-Synthon A &amp; B" xfId="127"/>
    <cellStyle name="_CFLU7 BPR060707_Etiracetam (Product Costing) Rev 0 (India)_PEIF for Third Party costing" xfId="128"/>
    <cellStyle name="_CFLU7 BPR060707_Etiracetam (Product Costing) Rev 0 (India)_PEIF for Third Party costing_Draft First_Cut Eflornothine (SA) 22.12.09" xfId="129"/>
    <cellStyle name="_CFLU7 BPR060707_Etiracetam (Product Costing) Rev 0 (India)_PEIF for Third Party costing_TAG REPORT FOR SULINDAC" xfId="130"/>
    <cellStyle name="_CFLU7 BPR060707_Etiracetam (Product Costing) Rev 0 (India)_PEIF of PHX2160 (1000 Kgs) 29.09.2009" xfId="131"/>
    <cellStyle name="_CFLU7 BPR060707_Etiracetam (Product Costing) Rev 0 (India)_PEIF-CPA-Hamari chemicals" xfId="132"/>
    <cellStyle name="_CFLU7 BPR060707_Etiracetam (Product Costing) Rev 0 (India)_PHX2160 _ Back up files" xfId="133"/>
    <cellStyle name="_CFLU7 BPR060707_Etiracetam (Product Costing) Rev 0 (India)_Product Costing-Rev00" xfId="134"/>
    <cellStyle name="_CFLU7 BPR060707_Etiracetam (Product Costing) Rev 0 (India)_Product Costing-Rev00_PEIF 18.12.09 (Rev01)" xfId="135"/>
    <cellStyle name="_CFLU7 BPR060707_Etiracetam (Product Costing) Rev 0 (India)_RM sheet and PEIF of Urapidil" xfId="136"/>
    <cellStyle name="_CFLU7 BPR060707_Etiracetam (Product Costing) Rev 0 (India)_RM sheet and PEIF of Urapidil_~5198021" xfId="137"/>
    <cellStyle name="_CFLU7 BPR060707_Etiracetam (Product Costing) Rev 0 (India)_RM sheet and PEIF of Urapidil_First_Cut J&amp;J (TMC207) (081009)" xfId="138"/>
    <cellStyle name="_CFLU7 BPR060707_Etiracetam (Product Costing) Rev 0 (India)_RM sheet and PEIF of Urapidil_First_Cut_Urapidil (010709)" xfId="139"/>
    <cellStyle name="_CFLU7 BPR060707_Etiracetam (Product Costing) Rev 0 (India)_RM sheet and PEIF of Urapidil_PEIF _(1R,4S)-cis-4-acetoxy-2-cyclopenten-1-ol for third party" xfId="140"/>
    <cellStyle name="_CFLU7 BPR060707_Etiracetam (Product Costing) Rev 0 (India)_RM sheet and PEIF of Urapidil_PEIF _(1R,4S)-cis-4-acetoxy-2-cyclopenten-1-ol for third party_Draft First_Cut Eflornothine (SA) 22.12.09" xfId="141"/>
    <cellStyle name="_CFLU7 BPR060707_Etiracetam (Product Costing) Rev 0 (India)_RM sheet and PEIF of Urapidil_PEIF _(1R,4S)-cis-4-acetoxy-2-cyclopenten-1-ol for third party_TAG REPORT FOR SULINDAC" xfId="142"/>
    <cellStyle name="_CFLU7 BPR060707_Etiracetam (Product Costing) Rev 0 (India)_RM sheet and PEIF of Urapidil_PEIF 18.12.09 (Rev01)" xfId="143"/>
    <cellStyle name="_CFLU7 BPR060707_Etiracetam (Product Costing) Rev 0 (India)_RM sheet and PEIF of Urapidil_PEIF for Third Party costing" xfId="144"/>
    <cellStyle name="_CFLU7 BPR060707_Etiracetam (Product Costing) Rev 0 (India)_RM sheet and PEIF of Urapidil_PEIF for Third Party costing_Draft First_Cut Eflornothine (SA) 22.12.09" xfId="145"/>
    <cellStyle name="_CFLU7 BPR060707_Etiracetam (Product Costing) Rev 0 (India)_RM sheet and PEIF of Urapidil_PEIF for Third Party costing_TAG REPORT FOR SULINDAC" xfId="146"/>
    <cellStyle name="_CFLU7 BPR060707_Etiracetam (Product Costing) Rev 0 (India)_RM sheet and PEIF of Urapidil_SYnthon A &amp; B PEIF" xfId="147"/>
    <cellStyle name="_CFLU7 BPR060707_Etiracetam (Product Costing) Rev 0 (India)_RM sheet and PEIF of Urapidil_SYnthon A-50 MT- possible" xfId="148"/>
    <cellStyle name="_CFLU7 BPR060707_Etiracetam (Product Costing) Rev 0 (India)_RM sheet and PEIF of Urapidil_TAG REPORT FOR TICAGRELOR...." xfId="149"/>
    <cellStyle name="_CFLU7 BPR060707_Etiracetam (Product Costing) Rev 0 (India)_RM sheet and PEIF of Urapidil_TAG REPORT FOR TICAGRELOR...._Draft First_Cut Eflornothine (SA) 22.12.09" xfId="150"/>
    <cellStyle name="_CFLU7 BPR060707_Etiracetam (Product Costing) Rev 0 (India)_RM sheet and PEIF of Urapidil_TAG REPORT FOR TICAGRELOR...._TAG REPORT FOR SULINDAC" xfId="151"/>
    <cellStyle name="_CFLU7 BPR060707_Etiracetam (Product Costing) Rev 0 (India)_RM sheet and PEIF of Urapidil_TAG Report-Synthon A &amp; B" xfId="152"/>
    <cellStyle name="_CFLU7 BPR060707_Etiracetam (Product Costing) Rev 0 (India)_SYnthon A &amp; B PEIF" xfId="153"/>
    <cellStyle name="_CFLU7 BPR060707_Etiracetam (Product Costing) Rev 0 (India)_SYnthon A-50 MT- possible" xfId="154"/>
    <cellStyle name="_CFLU7 BPR060707_Etiracetam (Product Costing) Rev 0 (India)_TAG REPORT FOR TICAGRELOR...." xfId="155"/>
    <cellStyle name="_CFLU7 BPR060707_Etiracetam (Product Costing) Rev 0 (India)_TAG REPORT FOR TICAGRELOR...._Draft First_Cut Eflornothine (SA) 22.12.09" xfId="156"/>
    <cellStyle name="_CFLU7 BPR060707_Etiracetam (Product Costing) Rev 0 (India)_TAG REPORT FOR TICAGRELOR...._TAG REPORT FOR SULINDAC" xfId="157"/>
    <cellStyle name="_CFLU7 BPR060707_Etiracetam (Product Costing) Rev 0 (India)_TAG Report-Synthon A &amp; B" xfId="158"/>
    <cellStyle name="_CFLU7 BPR060707_Hamari-PEIF" xfId="159"/>
    <cellStyle name="_CFLU7 BPR060707_Hamari-PEIF-Vinod" xfId="160"/>
    <cellStyle name="_CFLU7 BPR060707_Isoquinoline 0.5 MT" xfId="161"/>
    <cellStyle name="_CFLU7 BPR060707_Lactum -(Project Costing) Rev 0" xfId="162"/>
    <cellStyle name="_CFLU7 BPR060707_Lactum -(Project Costing) Rev 0_PEIF_CLP_500 Kg &amp; 1600 Kg draft" xfId="163"/>
    <cellStyle name="_CFLU7 BPR060707_Lactum-Utilitycalc'nt-Rev0" xfId="164"/>
    <cellStyle name="_CFLU7 BPR060707_Lactum-Utilitycalc'nt-Rev0_PEIF_CLP_500 Kg &amp; 1600 Kg draft" xfId="165"/>
    <cellStyle name="_CFLU7 BPR060707_Manufacturing of API at New Block Rev 1" xfId="166"/>
    <cellStyle name="_CFLU7 BPR060707_Manufacturing of API at New Block Rev 1_High Volume PEIF Template" xfId="167"/>
    <cellStyle name="_CFLU7 BPR060707_Marbo 130808" xfId="168"/>
    <cellStyle name="_CFLU7 BPR060707_Marbo 130808_~5198021" xfId="169"/>
    <cellStyle name="_CFLU7 BPR060707_Marbo 130808_Chiral benzylamine cost sheet" xfId="170"/>
    <cellStyle name="_CFLU7 BPR060707_Marbo 130808_Cyclohexanone dimethyl acetal-PEIF" xfId="171"/>
    <cellStyle name="_CFLU7 BPR060707_Marbo 130808_First_Cut J&amp;J (TMC207) (081009)" xfId="172"/>
    <cellStyle name="_CFLU7 BPR060707_Marbo 130808_First_Cut_Urapidil (010709)" xfId="173"/>
    <cellStyle name="_CFLU7 BPR060707_Marbo 130808_Hamari-PEIF" xfId="174"/>
    <cellStyle name="_CFLU7 BPR060707_Marbo 130808_Hamari-PEIF-Vinod" xfId="175"/>
    <cellStyle name="_CFLU7 BPR060707_Marbo 130808_modified RMC for CPA(HAMARI CHEMICALS)-with recoveries-17032011" xfId="176"/>
    <cellStyle name="_CFLU7 BPR060707_Marbo 130808_PEIF _(1R,4S)-cis-4-acetoxy-2-cyclopenten-1-ol for third party" xfId="177"/>
    <cellStyle name="_CFLU7 BPR060707_Marbo 130808_PEIF _(1R,4S)-cis-4-acetoxy-2-cyclopenten-1-ol for third party_Draft First_Cut Eflornothine (SA) 22.12.09" xfId="178"/>
    <cellStyle name="_CFLU7 BPR060707_Marbo 130808_PEIF _(1R,4S)-cis-4-acetoxy-2-cyclopenten-1-ol for third party_TAG REPORT FOR SULINDAC" xfId="179"/>
    <cellStyle name="_CFLU7 BPR060707_Marbo 130808_PEIF 18.12.09 (Rev01)" xfId="180"/>
    <cellStyle name="_CFLU7 BPR060707_Marbo 130808_PEIF of PHX2160 (1000 Kgs) 29.09.2009" xfId="181"/>
    <cellStyle name="_CFLU7 BPR060707_Marbo 130808_PEIF_CLP_500 Kg &amp; 1600 Kg draft" xfId="182"/>
    <cellStyle name="_CFLU7 BPR060707_Marbo 130808_PEIF-CPA-Hamari chemicals" xfId="183"/>
    <cellStyle name="_CFLU7 BPR060707_Marbo 130808_PHX2160 _ Back up files" xfId="184"/>
    <cellStyle name="_CFLU7 BPR060707_Marbo 130808_Product Costing-Rev00" xfId="185"/>
    <cellStyle name="_CFLU7 BPR060707_Marbo 130808_Sorbent Therapeutics_CLP_1600 Kg_Draft" xfId="186"/>
    <cellStyle name="_CFLU7 BPR060707_Marbo 130808_Sorbent Therapeutics_CLP_500 Kg_Draft" xfId="187"/>
    <cellStyle name="_CFLU7 BPR060707_Marbo 130808_SYnthon A &amp; B PEIF" xfId="188"/>
    <cellStyle name="_CFLU7 BPR060707_Marbo 130808_SYnthon A-50 MT- possible" xfId="189"/>
    <cellStyle name="_CFLU7 BPR060707_Marbo 130808_TAG REPORT FOR TICAGRELOR...." xfId="190"/>
    <cellStyle name="_CFLU7 BPR060707_Marbo 130808_TAG REPORT FOR TICAGRELOR...._Draft First_Cut Eflornothine (SA) 22.12.09" xfId="191"/>
    <cellStyle name="_CFLU7 BPR060707_Marbo 130808_TAG REPORT FOR TICAGRELOR...._TAG REPORT FOR SULINDAC" xfId="192"/>
    <cellStyle name="_CFLU7 BPR060707_Marbo 130808_TAG Report-Synthon A &amp; B" xfId="193"/>
    <cellStyle name="_CFLU7 BPR060707_Marbo PEIF with new process" xfId="194"/>
    <cellStyle name="_CFLU7 BPR060707_Marbo PEIF with new process_~5198021" xfId="195"/>
    <cellStyle name="_CFLU7 BPR060707_Marbo PEIF with new process_100Kgs PEIF 010609 KSM" xfId="196"/>
    <cellStyle name="_CFLU7 BPR060707_Marbo PEIF with new process_Chiral benzylamine cost sheet" xfId="197"/>
    <cellStyle name="_CFLU7 BPR060707_Marbo PEIF with new process_Chirotech (Ticagrilor intermediate)26.06.09" xfId="198"/>
    <cellStyle name="_CFLU7 BPR060707_Marbo PEIF with new process_Chirotech (Ticagrilor intermediate)26.06.09_High Volume PEIF Template" xfId="199"/>
    <cellStyle name="_CFLU7 BPR060707_Marbo PEIF with new process_Cyclohexanone dimethyl acetal-PEIF" xfId="200"/>
    <cellStyle name="_CFLU7 BPR060707_Marbo PEIF with new process_First_Cut J&amp;J (TMC207) (081009)" xfId="201"/>
    <cellStyle name="_CFLU7 BPR060707_Marbo PEIF with new process_First_Cut_Urapidil (010709)" xfId="202"/>
    <cellStyle name="_CFLU7 BPR060707_Marbo PEIF with new process_modified RMC for CPA(HAMARI CHEMICALS)-with recoveries-17032011" xfId="203"/>
    <cellStyle name="_CFLU7 BPR060707_Marbo PEIF with new process_NXL-104 OO - 1,5,20,50,75,100 MT - 15.06.2011 - 20.06.2011" xfId="204"/>
    <cellStyle name="_CFLU7 BPR060707_Marbo PEIF with new process_PEIF" xfId="205"/>
    <cellStyle name="_CFLU7 BPR060707_Marbo PEIF with new process_PEIF _(1R,4S)-cis-4-acetoxy-2-cyclopenten-1-ol for third party" xfId="206"/>
    <cellStyle name="_CFLU7 BPR060707_Marbo PEIF with new process_PEIF _(1R,4S)-cis-4-acetoxy-2-cyclopenten-1-ol for third party_Draft First_Cut Eflornothine (SA) 22.12.09" xfId="207"/>
    <cellStyle name="_CFLU7 BPR060707_Marbo PEIF with new process_PEIF _(1R,4S)-cis-4-acetoxy-2-cyclopenten-1-ol for third party_TAG REPORT FOR SULINDAC" xfId="208"/>
    <cellStyle name="_CFLU7 BPR060707_Marbo PEIF with new process_PEIF 18.12.09 (Rev01)" xfId="209"/>
    <cellStyle name="_CFLU7 BPR060707_Marbo PEIF with new process_PEIF for Third Party costing" xfId="210"/>
    <cellStyle name="_CFLU7 BPR060707_Marbo PEIF with new process_PEIF of PHX2160 (1000 Kgs) 29.09.2009" xfId="211"/>
    <cellStyle name="_CFLU7 BPR060707_Marbo PEIF with new process_PEIF_CLP_500 Kg &amp; 1600 Kg draft" xfId="212"/>
    <cellStyle name="_CFLU7 BPR060707_Marbo PEIF with new process_PEIF-CPA-Hamari chemicals" xfId="213"/>
    <cellStyle name="_CFLU7 BPR060707_Marbo PEIF with new process_PHX2160 _ Back up files" xfId="214"/>
    <cellStyle name="_CFLU7 BPR060707_Marbo PEIF with new process_Product Costing-Rev00" xfId="215"/>
    <cellStyle name="_CFLU7 BPR060707_Marbo PEIF with new process_Sorbent Therapeutics_CLP_1600 Kg_Draft" xfId="216"/>
    <cellStyle name="_CFLU7 BPR060707_Marbo PEIF with new process_Sorbent Therapeutics_CLP_500 Kg_Draft" xfId="217"/>
    <cellStyle name="_CFLU7 BPR060707_Marbo PEIF with new process_SYnthon A &amp; B PEIF" xfId="218"/>
    <cellStyle name="_CFLU7 BPR060707_Marbo PEIF with new process_SYnthon A-50 MT- possible" xfId="219"/>
    <cellStyle name="_CFLU7 BPR060707_Marbo PEIF with new process_TAG REPORT FOR TICAGRELOR...." xfId="220"/>
    <cellStyle name="_CFLU7 BPR060707_Marbo PEIF with new process_TAG REPORT FOR TICAGRELOR...._Draft First_Cut Eflornothine (SA) 22.12.09" xfId="221"/>
    <cellStyle name="_CFLU7 BPR060707_Marbo PEIF with new process_TAG REPORT FOR TICAGRELOR...._TAG REPORT FOR SULINDAC" xfId="222"/>
    <cellStyle name="_CFLU7 BPR060707_Marbo PEIF with new process_TAG Report-Synthon A &amp; B" xfId="223"/>
    <cellStyle name="_CFLU7 BPR060707_modified RMC for CPA(HAMARI CHEMICALS)-with recoveries-17032011" xfId="224"/>
    <cellStyle name="_CFLU7 BPR060707_Nateglinide Summary" xfId="225"/>
    <cellStyle name="_CFLU7 BPR060707_Nateglinide Summary_~5198021" xfId="226"/>
    <cellStyle name="_CFLU7 BPR060707_Nateglinide Summary_Chiral benzylamine cost sheet" xfId="227"/>
    <cellStyle name="_CFLU7 BPR060707_Nateglinide Summary_Cyclohexanone dimethyl acetal-PEIF" xfId="228"/>
    <cellStyle name="_CFLU7 BPR060707_Nateglinide Summary_First_Cut J&amp;J (TMC207) (081009)" xfId="229"/>
    <cellStyle name="_CFLU7 BPR060707_Nateglinide Summary_First_Cut_Urapidil (010709)" xfId="230"/>
    <cellStyle name="_CFLU7 BPR060707_Nateglinide Summary_Hamari-PEIF" xfId="231"/>
    <cellStyle name="_CFLU7 BPR060707_Nateglinide Summary_Hamari-PEIF-Vinod" xfId="232"/>
    <cellStyle name="_CFLU7 BPR060707_Nateglinide Summary_modified RMC for CPA(HAMARI CHEMICALS)-with recoveries-17032011" xfId="233"/>
    <cellStyle name="_CFLU7 BPR060707_Nateglinide Summary_PEIF _(1R,4S)-cis-4-acetoxy-2-cyclopenten-1-ol for third party" xfId="234"/>
    <cellStyle name="_CFLU7 BPR060707_Nateglinide Summary_PEIF _(1R,4S)-cis-4-acetoxy-2-cyclopenten-1-ol for third party_Draft First_Cut Eflornothine (SA) 22.12.09" xfId="235"/>
    <cellStyle name="_CFLU7 BPR060707_Nateglinide Summary_PEIF _(1R,4S)-cis-4-acetoxy-2-cyclopenten-1-ol for third party_TAG REPORT FOR SULINDAC" xfId="236"/>
    <cellStyle name="_CFLU7 BPR060707_Nateglinide Summary_PEIF 18.12.09 (Rev01)" xfId="237"/>
    <cellStyle name="_CFLU7 BPR060707_Nateglinide Summary_PEIF of PHX2160 (1000 Kgs) 29.09.2009" xfId="238"/>
    <cellStyle name="_CFLU7 BPR060707_Nateglinide Summary_PEIF-CPA-Hamari chemicals" xfId="239"/>
    <cellStyle name="_CFLU7 BPR060707_Nateglinide Summary_PHX2160 _ Back up files" xfId="240"/>
    <cellStyle name="_CFLU7 BPR060707_Nateglinide Summary_Product Costing-Rev00" xfId="241"/>
    <cellStyle name="_CFLU7 BPR060707_Nateglinide Summary_SYnthon A &amp; B PEIF" xfId="242"/>
    <cellStyle name="_CFLU7 BPR060707_Nateglinide Summary_SYnthon A-50 MT- possible" xfId="243"/>
    <cellStyle name="_CFLU7 BPR060707_Nateglinide Summary_TAG REPORT FOR TICAGRELOR...." xfId="244"/>
    <cellStyle name="_CFLU7 BPR060707_Nateglinide Summary_TAG REPORT FOR TICAGRELOR...._Draft First_Cut Eflornothine (SA) 22.12.09" xfId="245"/>
    <cellStyle name="_CFLU7 BPR060707_Nateglinide Summary_TAG REPORT FOR TICAGRELOR...._TAG REPORT FOR SULINDAC" xfId="246"/>
    <cellStyle name="_CFLU7 BPR060707_Nateglinide Summary_TAG Report-Synthon A &amp; B" xfId="247"/>
    <cellStyle name="_CFLU7 BPR060707_Nateglinide-(Project Costing) Rev 1" xfId="248"/>
    <cellStyle name="_CFLU7 BPR060707_PEIF of PHX2160 (1000 Kgs) 29.09.2009" xfId="249"/>
    <cellStyle name="_CFLU7 BPR060707_PEIF_CLP_500 Kg &amp; 1600 Kg draft" xfId="250"/>
    <cellStyle name="_CFLU7 BPR060707_PEIF_Rev00" xfId="251"/>
    <cellStyle name="_CFLU7 BPR060707_PEIF_Rev00_High Volume PEIF Template" xfId="252"/>
    <cellStyle name="_CFLU7 BPR060707_PEIF-CPA-Hamari chemicals" xfId="253"/>
    <cellStyle name="_CFLU7 BPR060707_Peramavir_Back up file" xfId="254"/>
    <cellStyle name="_CFLU7 BPR060707_Peramavir_Back up file_High Volume PEIF Template" xfId="255"/>
    <cellStyle name="_CFLU7 BPR060707_PFD_Etiracetam_29.04.09" xfId="256"/>
    <cellStyle name="_CFLU7 BPR060707_PFD_Etiracetam_29.04.09_~5198021" xfId="257"/>
    <cellStyle name="_CFLU7 BPR060707_PFD_Etiracetam_29.04.09_~6899541" xfId="258"/>
    <cellStyle name="_CFLU7 BPR060707_PFD_Etiracetam_29.04.09_~6899541_PEIF 18.12.09 (Rev01)" xfId="259"/>
    <cellStyle name="_CFLU7 BPR060707_PFD_Etiracetam_29.04.09_Chiral benzylamine cost sheet" xfId="260"/>
    <cellStyle name="_CFLU7 BPR060707_PFD_Etiracetam_29.04.09_Cyclohexanone dimethyl acetal-PEIF" xfId="261"/>
    <cellStyle name="_CFLU7 BPR060707_PFD_Etiracetam_29.04.09_First Cut for Commercial NKTR-102 (14.10.09)" xfId="262"/>
    <cellStyle name="_CFLU7 BPR060707_PFD_Etiracetam_29.04.09_First_Cut J&amp;J (TMC207) (081009)" xfId="263"/>
    <cellStyle name="_CFLU7 BPR060707_PFD_Etiracetam_29.04.09_First_Cut_Urapidil (010709)" xfId="264"/>
    <cellStyle name="_CFLU7 BPR060707_PFD_Etiracetam_29.04.09_modified RMC for CPA(HAMARI CHEMICALS)-with recoveries-17032011" xfId="265"/>
    <cellStyle name="_CFLU7 BPR060707_PFD_Etiracetam_29.04.09_NXL-104 OO - 1,5,20,50,75,100 MT - 15.06.2011 - 20.06.2011" xfId="266"/>
    <cellStyle name="_CFLU7 BPR060707_PFD_Etiracetam_29.04.09_PEIF _(1R,4S)-cis-4-acetoxy-2-cyclopenten-1-ol for third party" xfId="267"/>
    <cellStyle name="_CFLU7 BPR060707_PFD_Etiracetam_29.04.09_PEIF _(1R,4S)-cis-4-acetoxy-2-cyclopenten-1-ol for third party_Draft First_Cut Eflornothine (SA) 22.12.09" xfId="268"/>
    <cellStyle name="_CFLU7 BPR060707_PFD_Etiracetam_29.04.09_PEIF _(1R,4S)-cis-4-acetoxy-2-cyclopenten-1-ol for third party_TAG REPORT FOR SULINDAC" xfId="269"/>
    <cellStyle name="_CFLU7 BPR060707_PFD_Etiracetam_29.04.09_PEIF 18.12.09 (Rev01)" xfId="270"/>
    <cellStyle name="_CFLU7 BPR060707_PFD_Etiracetam_29.04.09_PEIF for costing_Rev00....." xfId="271"/>
    <cellStyle name="_CFLU7 BPR060707_PFD_Etiracetam_29.04.09_PEIF for costing_Rev00....._~5198021" xfId="272"/>
    <cellStyle name="_CFLU7 BPR060707_PFD_Etiracetam_29.04.09_PEIF for costing_Rev00....._Chiral benzylamine cost sheet" xfId="273"/>
    <cellStyle name="_CFLU7 BPR060707_PFD_Etiracetam_29.04.09_PEIF for costing_Rev00....._Cyclohexanone dimethyl acetal-PEIF" xfId="274"/>
    <cellStyle name="_CFLU7 BPR060707_PFD_Etiracetam_29.04.09_PEIF for costing_Rev00....._First_Cut J&amp;J (TMC207) (081009)" xfId="275"/>
    <cellStyle name="_CFLU7 BPR060707_PFD_Etiracetam_29.04.09_PEIF for costing_Rev00....._First_Cut_Urapidil (010709)" xfId="276"/>
    <cellStyle name="_CFLU7 BPR060707_PFD_Etiracetam_29.04.09_PEIF for costing_Rev00....._modified RMC for CPA(HAMARI CHEMICALS)-with recoveries-17032011" xfId="277"/>
    <cellStyle name="_CFLU7 BPR060707_PFD_Etiracetam_29.04.09_PEIF for costing_Rev00....._NXL-104 OO - 1,5,20,50,75,100 MT - 15.06.2011 - 20.06.2011" xfId="278"/>
    <cellStyle name="_CFLU7 BPR060707_PFD_Etiracetam_29.04.09_PEIF for costing_Rev00....._PEIF _(1R,4S)-cis-4-acetoxy-2-cyclopenten-1-ol for third party" xfId="279"/>
    <cellStyle name="_CFLU7 BPR060707_PFD_Etiracetam_29.04.09_PEIF for costing_Rev00....._PEIF _(1R,4S)-cis-4-acetoxy-2-cyclopenten-1-ol for third party_Draft First_Cut Eflornothine (SA) 22.12.09" xfId="280"/>
    <cellStyle name="_CFLU7 BPR060707_PFD_Etiracetam_29.04.09_PEIF for costing_Rev00....._PEIF _(1R,4S)-cis-4-acetoxy-2-cyclopenten-1-ol for third party_TAG REPORT FOR SULINDAC" xfId="281"/>
    <cellStyle name="_CFLU7 BPR060707_PFD_Etiracetam_29.04.09_PEIF for costing_Rev00....._PEIF 18.12.09 (Rev01)" xfId="282"/>
    <cellStyle name="_CFLU7 BPR060707_PFD_Etiracetam_29.04.09_PEIF for costing_Rev00....._PEIF of PHX2160 (1000 Kgs) 29.09.2009" xfId="283"/>
    <cellStyle name="_CFLU7 BPR060707_PFD_Etiracetam_29.04.09_PEIF for costing_Rev00....._PEIF-CPA-Hamari chemicals" xfId="284"/>
    <cellStyle name="_CFLU7 BPR060707_PFD_Etiracetam_29.04.09_PEIF for costing_Rev00....._PHX2160 _ Back up files" xfId="285"/>
    <cellStyle name="_CFLU7 BPR060707_PFD_Etiracetam_29.04.09_PEIF for costing_Rev00....._Product Costing-Rev00" xfId="286"/>
    <cellStyle name="_CFLU7 BPR060707_PFD_Etiracetam_29.04.09_PEIF for costing_Rev00....._SYnthon A &amp; B PEIF" xfId="287"/>
    <cellStyle name="_CFLU7 BPR060707_PFD_Etiracetam_29.04.09_PEIF for costing_Rev00....._SYnthon A-50 MT- possible" xfId="288"/>
    <cellStyle name="_CFLU7 BPR060707_PFD_Etiracetam_29.04.09_PEIF for costing_Rev00....._TAG REPORT FOR TICAGRELOR...." xfId="289"/>
    <cellStyle name="_CFLU7 BPR060707_PFD_Etiracetam_29.04.09_PEIF for costing_Rev00....._TAG REPORT FOR TICAGRELOR...._Draft First_Cut Eflornothine (SA) 22.12.09" xfId="290"/>
    <cellStyle name="_CFLU7 BPR060707_PFD_Etiracetam_29.04.09_PEIF for costing_Rev00....._TAG REPORT FOR TICAGRELOR...._TAG REPORT FOR SULINDAC" xfId="291"/>
    <cellStyle name="_CFLU7 BPR060707_PFD_Etiracetam_29.04.09_PEIF for costing_Rev00....._TAG Report-Synthon A &amp; B" xfId="292"/>
    <cellStyle name="_CFLU7 BPR060707_PFD_Etiracetam_29.04.09_PEIF for Third Party costing" xfId="293"/>
    <cellStyle name="_CFLU7 BPR060707_PFD_Etiracetam_29.04.09_PEIF for Third Party costing_Draft First_Cut Eflornothine (SA) 22.12.09" xfId="294"/>
    <cellStyle name="_CFLU7 BPR060707_PFD_Etiracetam_29.04.09_PEIF for Third Party costing_TAG REPORT FOR SULINDAC" xfId="295"/>
    <cellStyle name="_CFLU7 BPR060707_PFD_Etiracetam_29.04.09_PEIF of PHX2160 (1000 Kgs) 29.09.2009" xfId="296"/>
    <cellStyle name="_CFLU7 BPR060707_PFD_Etiracetam_29.04.09_PEIF-CPA-Hamari chemicals" xfId="297"/>
    <cellStyle name="_CFLU7 BPR060707_PFD_Etiracetam_29.04.09_PHX2160 _ Back up files" xfId="298"/>
    <cellStyle name="_CFLU7 BPR060707_PFD_Etiracetam_29.04.09_Product Costing-Rev00" xfId="299"/>
    <cellStyle name="_CFLU7 BPR060707_PFD_Etiracetam_29.04.09_Product Costing-Rev00_PEIF 18.12.09 (Rev01)" xfId="300"/>
    <cellStyle name="_CFLU7 BPR060707_PFD_Etiracetam_29.04.09_SYnthon A &amp; B PEIF" xfId="301"/>
    <cellStyle name="_CFLU7 BPR060707_PFD_Etiracetam_29.04.09_SYnthon A-50 MT- possible" xfId="302"/>
    <cellStyle name="_CFLU7 BPR060707_PFD_Etiracetam_29.04.09_TAG REPORT FOR TICAGRELOR...." xfId="303"/>
    <cellStyle name="_CFLU7 BPR060707_PFD_Etiracetam_29.04.09_TAG REPORT FOR TICAGRELOR...._Draft First_Cut Eflornothine (SA) 22.12.09" xfId="304"/>
    <cellStyle name="_CFLU7 BPR060707_PFD_Etiracetam_29.04.09_TAG REPORT FOR TICAGRELOR...._TAG REPORT FOR SULINDAC" xfId="305"/>
    <cellStyle name="_CFLU7 BPR060707_PFD_Etiracetam_29.04.09_TAG Report-Synthon A &amp; B" xfId="306"/>
    <cellStyle name="_CFLU7 BPR060707_PFD_Piracetam_05.05.09" xfId="307"/>
    <cellStyle name="_CFLU7 BPR060707_PFD_Piracetam_05.05.09_~6899541" xfId="308"/>
    <cellStyle name="_CFLU7 BPR060707_PFD_Piracetam_05.05.09_~6899541_PEIF 18.12.09 (Rev01)" xfId="309"/>
    <cellStyle name="_CFLU7 BPR060707_PFD_Piracetam_05.05.09_PEIF 18.12.09 (Rev01)" xfId="310"/>
    <cellStyle name="_CFLU7 BPR060707_PHX2160 _ Back up files" xfId="311"/>
    <cellStyle name="_CFLU7 BPR060707_Piracetam (Prodn Planning)" xfId="312"/>
    <cellStyle name="_CFLU7 BPR060707_Piracetam (Prodn Planning)_~6899541" xfId="313"/>
    <cellStyle name="_CFLU7 BPR060707_Piracetam (Prodn Planning)_~6899541_PEIF 18.12.09 (Rev01)" xfId="314"/>
    <cellStyle name="_CFLU7 BPR060707_Piracetam (Prodn Planning)_PEIF 18.12.09 (Rev01)" xfId="315"/>
    <cellStyle name="_CFLU7 BPR060707_Product Costing-Rev00" xfId="316"/>
    <cellStyle name="_CFLU7 BPR060707_Project costing" xfId="317"/>
    <cellStyle name="_CFLU7 BPR060707_Project costing_~5198021" xfId="318"/>
    <cellStyle name="_CFLU7 BPR060707_Project costing_Chiral benzylamine cost sheet" xfId="319"/>
    <cellStyle name="_CFLU7 BPR060707_Project costing_Cyclohexanone dimethyl acetal-PEIF" xfId="320"/>
    <cellStyle name="_CFLU7 BPR060707_Project costing_First_Cut J&amp;J (TMC207) (081009)" xfId="321"/>
    <cellStyle name="_CFLU7 BPR060707_Project costing_First_Cut_Urapidil (010709)" xfId="322"/>
    <cellStyle name="_CFLU7 BPR060707_Project costing_modified RMC for CPA(HAMARI CHEMICALS)-with recoveries-17032011" xfId="323"/>
    <cellStyle name="_CFLU7 BPR060707_Project costing_NXL-104 OO - 1,5,20,50,75,100 MT - 15.06.2011 - 20.06.2011" xfId="324"/>
    <cellStyle name="_CFLU7 BPR060707_Project costing_PEIF _(1R,4S)-cis-4-acetoxy-2-cyclopenten-1-ol for third party" xfId="325"/>
    <cellStyle name="_CFLU7 BPR060707_Project costing_PEIF _(1R,4S)-cis-4-acetoxy-2-cyclopenten-1-ol for third party_Draft First_Cut Eflornothine (SA) 22.12.09" xfId="326"/>
    <cellStyle name="_CFLU7 BPR060707_Project costing_PEIF _(1R,4S)-cis-4-acetoxy-2-cyclopenten-1-ol for third party_TAG REPORT FOR SULINDAC" xfId="327"/>
    <cellStyle name="_CFLU7 BPR060707_Project costing_PEIF 18.12.09 (Rev01)" xfId="328"/>
    <cellStyle name="_CFLU7 BPR060707_Project costing_PEIF of PHX2160 (1000 Kgs) 29.09.2009" xfId="329"/>
    <cellStyle name="_CFLU7 BPR060707_Project costing_PEIF-CPA-Hamari chemicals" xfId="330"/>
    <cellStyle name="_CFLU7 BPR060707_Project costing_PHX2160 _ Back up files" xfId="331"/>
    <cellStyle name="_CFLU7 BPR060707_Project costing_Product Costing-Rev00" xfId="332"/>
    <cellStyle name="_CFLU7 BPR060707_Project costing_SYnthon A &amp; B PEIF" xfId="333"/>
    <cellStyle name="_CFLU7 BPR060707_Project costing_SYnthon A-50 MT- possible" xfId="334"/>
    <cellStyle name="_CFLU7 BPR060707_Project costing_TAG REPORT FOR TICAGRELOR...." xfId="335"/>
    <cellStyle name="_CFLU7 BPR060707_Project costing_TAG REPORT FOR TICAGRELOR...._Draft First_Cut Eflornothine (SA) 22.12.09" xfId="336"/>
    <cellStyle name="_CFLU7 BPR060707_Project costing_TAG REPORT FOR TICAGRELOR...._TAG REPORT FOR SULINDAC" xfId="337"/>
    <cellStyle name="_CFLU7 BPR060707_Project costing_TAG Report-Synthon A &amp; B" xfId="338"/>
    <cellStyle name="_CFLU7 BPR060707_Rosvastatin ca PEIF 20 MT" xfId="339"/>
    <cellStyle name="_CFLU7 BPR060707_Sorbent Therapeutics_CLP_1600 Kg_Draft" xfId="340"/>
    <cellStyle name="_CFLU7 BPR060707_Sorbent Therapeutics_CLP_500 Kg_Draft" xfId="341"/>
    <cellStyle name="_CFLU7 BPR060707_Summary" xfId="342"/>
    <cellStyle name="_CFLU7 BPR060707_Summary_High Volume PEIF Template" xfId="343"/>
    <cellStyle name="_CFLU7 BPR060707_Validation Campaign Details" xfId="344"/>
    <cellStyle name="_CFLU7 BPR060707_Validation Campaign Details_High Volume PEIF Template" xfId="345"/>
    <cellStyle name="_CFLU8 BPR12112007 rev-2" xfId="346"/>
    <cellStyle name="_CFLU8 BPR12112007 rev-2_~6590636" xfId="347"/>
    <cellStyle name="_CFLU8 BPR12112007 rev-2_~6590636_High Volume PEIF Template" xfId="348"/>
    <cellStyle name="_CFLU8 BPR12112007 rev-2_~6590636_PEIF_CLP_500 Kg &amp; 1600 Kg draft" xfId="349"/>
    <cellStyle name="_CFLU8 BPR12112007 rev-2_~6590636_Sorbent Therapeutics_CLP_1600 Kg_Draft" xfId="350"/>
    <cellStyle name="_CFLU8 BPR12112007 rev-2_~6590636_Sorbent Therapeutics_CLP_500 Kg_Draft" xfId="351"/>
    <cellStyle name="_CFLU8 BPR12112007 rev-2_Atorvastatin_Costing _ Scenario3_ Validation_scale_1 09 08" xfId="352"/>
    <cellStyle name="_CFLU8 BPR12112007 rev-2_Atorvastatin_Costing _ Scenario3_ Validation_scale_1 09 08_High Volume PEIF Template" xfId="353"/>
    <cellStyle name="_CFLU8 BPR12112007 rev-2_Atorvastatin_Costing _ Scenario3_ Validation_scale_1 09 08_PEIF_CLP_500 Kg &amp; 1600 Kg draft" xfId="354"/>
    <cellStyle name="_CFLU8 BPR12112007 rev-2_Atorvastatin_Costing _ Scenario3_ Validation_scale_1 09 08_Sorbent Therapeutics_CLP_1600 Kg_Draft" xfId="355"/>
    <cellStyle name="_CFLU8 BPR12112007 rev-2_Atorvastatin_Costing _ Scenario3_ Validation_scale_1 09 08_Sorbent Therapeutics_CLP_500 Kg_Draft" xfId="356"/>
    <cellStyle name="_CFLU8 BPR12112007 rev-2_Batch Plan for All Stages" xfId="357"/>
    <cellStyle name="_CFLU8 BPR12112007 rev-2_Batch Plan for All Stages_High Volume PEIF Template" xfId="358"/>
    <cellStyle name="_CFLU8 BPR12112007 rev-2_Clodronic acid (Product Costing) rev0" xfId="359"/>
    <cellStyle name="_CFLU8 BPR12112007 rev-2_Clodronic acid (Product Costing) rev0_High Volume PEIF Template" xfId="360"/>
    <cellStyle name="_CFLU8 BPR12112007 rev-2_Clodronic acid_ Validation campaign" xfId="361"/>
    <cellStyle name="_CFLU8 BPR12112007 rev-2_Clopi-Utility cost-rev0" xfId="362"/>
    <cellStyle name="_CFLU8 BPR12112007 rev-2_Clopi-Utility cost-rev0_~5198021" xfId="363"/>
    <cellStyle name="_CFLU8 BPR12112007 rev-2_Clopi-Utility cost-rev0_Chiral benzylamine cost sheet" xfId="364"/>
    <cellStyle name="_CFLU8 BPR12112007 rev-2_Clopi-Utility cost-rev0_Cyclohexanone dimethyl acetal-PEIF" xfId="365"/>
    <cellStyle name="_CFLU8 BPR12112007 rev-2_Clopi-Utility cost-rev0_First_Cut J&amp;J (TMC207) (081009)" xfId="366"/>
    <cellStyle name="_CFLU8 BPR12112007 rev-2_Clopi-Utility cost-rev0_First_Cut_Urapidil (010709)" xfId="367"/>
    <cellStyle name="_CFLU8 BPR12112007 rev-2_Clopi-Utility cost-rev0_Hamari-PEIF" xfId="368"/>
    <cellStyle name="_CFLU8 BPR12112007 rev-2_Clopi-Utility cost-rev0_Hamari-PEIF-Vinod" xfId="369"/>
    <cellStyle name="_CFLU8 BPR12112007 rev-2_Clopi-Utility cost-rev0_modified RMC for CPA(HAMARI CHEMICALS)-with recoveries-17032011" xfId="370"/>
    <cellStyle name="_CFLU8 BPR12112007 rev-2_Clopi-Utility cost-rev0_PEIF _(1R,4S)-cis-4-acetoxy-2-cyclopenten-1-ol for third party" xfId="371"/>
    <cellStyle name="_CFLU8 BPR12112007 rev-2_Clopi-Utility cost-rev0_PEIF _(1R,4S)-cis-4-acetoxy-2-cyclopenten-1-ol for third party_Draft First_Cut Eflornothine (SA) 22.12.09" xfId="372"/>
    <cellStyle name="_CFLU8 BPR12112007 rev-2_Clopi-Utility cost-rev0_PEIF _(1R,4S)-cis-4-acetoxy-2-cyclopenten-1-ol for third party_TAG REPORT FOR SULINDAC" xfId="373"/>
    <cellStyle name="_CFLU8 BPR12112007 rev-2_Clopi-Utility cost-rev0_PEIF 18.12.09 (Rev01)" xfId="374"/>
    <cellStyle name="_CFLU8 BPR12112007 rev-2_Clopi-Utility cost-rev0_PEIF of PHX2160 (1000 Kgs) 29.09.2009" xfId="375"/>
    <cellStyle name="_CFLU8 BPR12112007 rev-2_Clopi-Utility cost-rev0_PEIF_CLP_500 Kg &amp; 1600 Kg draft" xfId="376"/>
    <cellStyle name="_CFLU8 BPR12112007 rev-2_Clopi-Utility cost-rev0_PEIF-CPA-Hamari chemicals" xfId="377"/>
    <cellStyle name="_CFLU8 BPR12112007 rev-2_Clopi-Utility cost-rev0_PHX2160 _ Back up files" xfId="378"/>
    <cellStyle name="_CFLU8 BPR12112007 rev-2_Clopi-Utility cost-rev0_Product Costing-Rev00" xfId="379"/>
    <cellStyle name="_CFLU8 BPR12112007 rev-2_Clopi-Utility cost-rev0_Sorbent Therapeutics_CLP_1600 Kg_Draft" xfId="380"/>
    <cellStyle name="_CFLU8 BPR12112007 rev-2_Clopi-Utility cost-rev0_Sorbent Therapeutics_CLP_500 Kg_Draft" xfId="381"/>
    <cellStyle name="_CFLU8 BPR12112007 rev-2_Clopi-Utility cost-rev0_SYnthon A &amp; B PEIF" xfId="382"/>
    <cellStyle name="_CFLU8 BPR12112007 rev-2_Clopi-Utility cost-rev0_SYnthon A-50 MT- possible" xfId="383"/>
    <cellStyle name="_CFLU8 BPR12112007 rev-2_Clopi-Utility cost-rev0_TAG REPORT FOR TICAGRELOR...." xfId="384"/>
    <cellStyle name="_CFLU8 BPR12112007 rev-2_Clopi-Utility cost-rev0_TAG REPORT FOR TICAGRELOR...._Draft First_Cut Eflornothine (SA) 22.12.09" xfId="385"/>
    <cellStyle name="_CFLU8 BPR12112007 rev-2_Clopi-Utility cost-rev0_TAG REPORT FOR TICAGRELOR...._TAG REPORT FOR SULINDAC" xfId="386"/>
    <cellStyle name="_CFLU8 BPR12112007 rev-2_Clopi-Utility cost-rev0_TAG Report-Synthon A &amp; B" xfId="387"/>
    <cellStyle name="_CFLU8 BPR12112007 rev-2_CLP (Product Costing) Rev-2  as two stage in clean room" xfId="388"/>
    <cellStyle name="_CFLU8 BPR12112007 rev-2_Cost &amp; Timelines for NXL104 15 MT Rev 2" xfId="389"/>
    <cellStyle name="_CFLU8 BPR12112007 rev-2_Cost &amp; Timelines for NXL104 15 MT Rev 2_High Volume PEIF Template" xfId="390"/>
    <cellStyle name="_CFLU8 BPR12112007 rev-2_Costs &amp; timelines" xfId="391"/>
    <cellStyle name="_CFLU8 BPR12112007 rev-2_Costs &amp; timelines_High Volume PEIF Template" xfId="392"/>
    <cellStyle name="_CFLU8 BPR12112007 rev-2_Costs &amp; timelines_PEIF_CLP_500 Kg &amp; 1600 Kg draft" xfId="393"/>
    <cellStyle name="_CFLU8 BPR12112007 rev-2_Costs &amp; timelines_Sorbent Therapeutics_CLP_1600 Kg_Draft" xfId="394"/>
    <cellStyle name="_CFLU8 BPR12112007 rev-2_Costs &amp; timelines_Sorbent Therapeutics_CLP_500 Kg_Draft" xfId="395"/>
    <cellStyle name="_CFLU8 BPR12112007 rev-2_Costsheet  GSK-62" xfId="396"/>
    <cellStyle name="_CFLU8 BPR12112007 rev-2_CR2017 (Prodn Planning) Rev 6 optimistic 15 MT lots" xfId="397"/>
    <cellStyle name="_CFLU8 BPR12112007 rev-2_CR2017 (Prodn Planning) Rev 6 optimistic 15 MT lots_Cyclohexanone dimethyl acetal-PEIF" xfId="398"/>
    <cellStyle name="_CFLU8 BPR12112007 rev-2_CR2017 (Prodn Planning) Rev 6 optimistic 15 MT lots_High Volume PEIF Template" xfId="399"/>
    <cellStyle name="_CFLU8 BPR12112007 rev-2_CR2017 (Prodn Planning) Rev 6 optimistic 15 MT lots_modified RMC for CPA(HAMARI CHEMICALS)-with recoveries-17032011" xfId="400"/>
    <cellStyle name="_CFLU8 BPR12112007 rev-2_CR2017 (Prodn Planning) Rev 6 optimistic 15 MT lots_NXL-104 OO - 1,5,20,50,75,100 MT - 15.06.2011 - 20.06.2011" xfId="401"/>
    <cellStyle name="_CFLU8 BPR12112007 rev-2_CR2017 (Prodn Planning) Rev 6 optimistic 15 MT lots_PEIF of PHX2160 (1000 Kgs) 29.09.2009" xfId="402"/>
    <cellStyle name="_CFLU8 BPR12112007 rev-2_CR2017 (Prodn Planning) Rev 6 optimistic 15 MT lots_PEIF-CPA-Hamari chemicals" xfId="403"/>
    <cellStyle name="_CFLU8 BPR12112007 rev-2_CR2017 (Prodn Planning) Rev 6 optimistic 15 MT lots_PHX2160 _ Back up files" xfId="404"/>
    <cellStyle name="_CFLU8 BPR12112007 rev-2_CR2017 (Prodn Planning) Rev 6 optimistic 15 MT lots_Product Costing-Rev00" xfId="405"/>
    <cellStyle name="_CFLU8 BPR12112007 rev-2_Cyclohexanone dimethyl acetal-PEIF" xfId="406"/>
    <cellStyle name="_CFLU8 BPR12112007 rev-2_Etiracetam (Product Costing) Rev 0 (India)" xfId="407"/>
    <cellStyle name="_CFLU8 BPR12112007 rev-2_Etiracetam (Product Costing) Rev 0 (India)_~5198021" xfId="408"/>
    <cellStyle name="_CFLU8 BPR12112007 rev-2_Etiracetam (Product Costing) Rev 0 (India)_~6899541" xfId="409"/>
    <cellStyle name="_CFLU8 BPR12112007 rev-2_Etiracetam (Product Costing) Rev 0 (India)_~6899541_PEIF 18.12.09 (Rev01)" xfId="410"/>
    <cellStyle name="_CFLU8 BPR12112007 rev-2_Etiracetam (Product Costing) Rev 0 (India)_Batch Plan" xfId="411"/>
    <cellStyle name="_CFLU8 BPR12112007 rev-2_Etiracetam (Product Costing) Rev 0 (India)_Batch Plan_~5198021" xfId="412"/>
    <cellStyle name="_CFLU8 BPR12112007 rev-2_Etiracetam (Product Costing) Rev 0 (India)_Batch Plan_First_Cut J&amp;J (TMC207) (081009)" xfId="413"/>
    <cellStyle name="_CFLU8 BPR12112007 rev-2_Etiracetam (Product Costing) Rev 0 (India)_Batch Plan_First_Cut_Urapidil (010709)" xfId="414"/>
    <cellStyle name="_CFLU8 BPR12112007 rev-2_Etiracetam (Product Costing) Rev 0 (India)_Batch Plan_PEIF _(1R,4S)-cis-4-acetoxy-2-cyclopenten-1-ol for third party" xfId="415"/>
    <cellStyle name="_CFLU8 BPR12112007 rev-2_Etiracetam (Product Costing) Rev 0 (India)_Batch Plan_PEIF _(1R,4S)-cis-4-acetoxy-2-cyclopenten-1-ol for third party_Draft First_Cut Eflornothine (SA) 22.12.09" xfId="416"/>
    <cellStyle name="_CFLU8 BPR12112007 rev-2_Etiracetam (Product Costing) Rev 0 (India)_Batch Plan_PEIF _(1R,4S)-cis-4-acetoxy-2-cyclopenten-1-ol for third party_TAG REPORT FOR SULINDAC" xfId="417"/>
    <cellStyle name="_CFLU8 BPR12112007 rev-2_Etiracetam (Product Costing) Rev 0 (India)_Batch Plan_PEIF 18.12.09 (Rev01)" xfId="418"/>
    <cellStyle name="_CFLU8 BPR12112007 rev-2_Etiracetam (Product Costing) Rev 0 (India)_Batch Plan_PEIF for Third Party costing" xfId="419"/>
    <cellStyle name="_CFLU8 BPR12112007 rev-2_Etiracetam (Product Costing) Rev 0 (India)_Batch Plan_PEIF for Third Party costing_Draft First_Cut Eflornothine (SA) 22.12.09" xfId="420"/>
    <cellStyle name="_CFLU8 BPR12112007 rev-2_Etiracetam (Product Costing) Rev 0 (India)_Batch Plan_PEIF for Third Party costing_TAG REPORT FOR SULINDAC" xfId="421"/>
    <cellStyle name="_CFLU8 BPR12112007 rev-2_Etiracetam (Product Costing) Rev 0 (India)_Batch Plan_SYnthon A &amp; B PEIF" xfId="422"/>
    <cellStyle name="_CFLU8 BPR12112007 rev-2_Etiracetam (Product Costing) Rev 0 (India)_Batch Plan_SYnthon A-50 MT- possible" xfId="423"/>
    <cellStyle name="_CFLU8 BPR12112007 rev-2_Etiracetam (Product Costing) Rev 0 (India)_Batch Plan_TAG REPORT FOR TICAGRELOR...." xfId="424"/>
    <cellStyle name="_CFLU8 BPR12112007 rev-2_Etiracetam (Product Costing) Rev 0 (India)_Batch Plan_TAG REPORT FOR TICAGRELOR...._Draft First_Cut Eflornothine (SA) 22.12.09" xfId="425"/>
    <cellStyle name="_CFLU8 BPR12112007 rev-2_Etiracetam (Product Costing) Rev 0 (India)_Batch Plan_TAG REPORT FOR TICAGRELOR...._TAG REPORT FOR SULINDAC" xfId="426"/>
    <cellStyle name="_CFLU8 BPR12112007 rev-2_Etiracetam (Product Costing) Rev 0 (India)_Batch Plan_TAG Report-Synthon A &amp; B" xfId="427"/>
    <cellStyle name="_CFLU8 BPR12112007 rev-2_Etiracetam (Product Costing) Rev 0 (India)_Chiral benzylamine- 4th June'09_RMC" xfId="428"/>
    <cellStyle name="_CFLU8 BPR12112007 rev-2_Etiracetam (Product Costing) Rev 0 (India)_Chiral benzylamine- 4th June'09_RMC_High Volume PEIF Template" xfId="429"/>
    <cellStyle name="_CFLU8 BPR12112007 rev-2_Etiracetam (Product Costing) Rev 0 (India)_Chiral benzylamine cost sheet" xfId="430"/>
    <cellStyle name="_CFLU8 BPR12112007 rev-2_Etiracetam (Product Costing) Rev 0 (India)_Cyclohexanone dimethyl acetal-PEIF" xfId="431"/>
    <cellStyle name="_CFLU8 BPR12112007 rev-2_Etiracetam (Product Costing) Rev 0 (India)_First Cut for Commercial NKTR-102 (14.10.09)" xfId="432"/>
    <cellStyle name="_CFLU8 BPR12112007 rev-2_Etiracetam (Product Costing) Rev 0 (India)_First_Cut J&amp;J (TMC207) (081009)" xfId="433"/>
    <cellStyle name="_CFLU8 BPR12112007 rev-2_Etiracetam (Product Costing) Rev 0 (India)_First_Cut_Urapidil (010709)" xfId="434"/>
    <cellStyle name="_CFLU8 BPR12112007 rev-2_Etiracetam (Product Costing) Rev 0 (India)_modified RMC for CPA(HAMARI CHEMICALS)-with recoveries-17032011" xfId="435"/>
    <cellStyle name="_CFLU8 BPR12112007 rev-2_Etiracetam (Product Costing) Rev 0 (India)_NXL-104 OO - 1,5,20,50,75,100 MT - 15.06.2011 - 20.06.2011" xfId="436"/>
    <cellStyle name="_CFLU8 BPR12112007 rev-2_Etiracetam (Product Costing) Rev 0 (India)_PEIF _(1R,4S)-cis-4-acetoxy-2-cyclopenten-1-ol for third party" xfId="437"/>
    <cellStyle name="_CFLU8 BPR12112007 rev-2_Etiracetam (Product Costing) Rev 0 (India)_PEIF _(1R,4S)-cis-4-acetoxy-2-cyclopenten-1-ol for third party_Draft First_Cut Eflornothine (SA) 22.12.09" xfId="438"/>
    <cellStyle name="_CFLU8 BPR12112007 rev-2_Etiracetam (Product Costing) Rev 0 (India)_PEIF _(1R,4S)-cis-4-acetoxy-2-cyclopenten-1-ol for third party_TAG REPORT FOR SULINDAC" xfId="439"/>
    <cellStyle name="_CFLU8 BPR12112007 rev-2_Etiracetam (Product Costing) Rev 0 (India)_PEIF 18.12.09 (Rev01)" xfId="440"/>
    <cellStyle name="_CFLU8 BPR12112007 rev-2_Etiracetam (Product Costing) Rev 0 (India)_PEIF for costing_Rev00....." xfId="441"/>
    <cellStyle name="_CFLU8 BPR12112007 rev-2_Etiracetam (Product Costing) Rev 0 (India)_PEIF for costing_Rev00....._~5198021" xfId="442"/>
    <cellStyle name="_CFLU8 BPR12112007 rev-2_Etiracetam (Product Costing) Rev 0 (India)_PEIF for costing_Rev00....._Chiral benzylamine cost sheet" xfId="443"/>
    <cellStyle name="_CFLU8 BPR12112007 rev-2_Etiracetam (Product Costing) Rev 0 (India)_PEIF for costing_Rev00....._Cyclohexanone dimethyl acetal-PEIF" xfId="444"/>
    <cellStyle name="_CFLU8 BPR12112007 rev-2_Etiracetam (Product Costing) Rev 0 (India)_PEIF for costing_Rev00....._First_Cut J&amp;J (TMC207) (081009)" xfId="445"/>
    <cellStyle name="_CFLU8 BPR12112007 rev-2_Etiracetam (Product Costing) Rev 0 (India)_PEIF for costing_Rev00....._First_Cut_Urapidil (010709)" xfId="446"/>
    <cellStyle name="_CFLU8 BPR12112007 rev-2_Etiracetam (Product Costing) Rev 0 (India)_PEIF for costing_Rev00....._modified RMC for CPA(HAMARI CHEMICALS)-with recoveries-17032011" xfId="447"/>
    <cellStyle name="_CFLU8 BPR12112007 rev-2_Etiracetam (Product Costing) Rev 0 (India)_PEIF for costing_Rev00....._NXL-104 OO - 1,5,20,50,75,100 MT - 15.06.2011 - 20.06.2011" xfId="448"/>
    <cellStyle name="_CFLU8 BPR12112007 rev-2_Etiracetam (Product Costing) Rev 0 (India)_PEIF for costing_Rev00....._PEIF _(1R,4S)-cis-4-acetoxy-2-cyclopenten-1-ol for third party" xfId="449"/>
    <cellStyle name="_CFLU8 BPR12112007 rev-2_Etiracetam (Product Costing) Rev 0 (India)_PEIF for costing_Rev00....._PEIF _(1R,4S)-cis-4-acetoxy-2-cyclopenten-1-ol for third party_Draft First_Cut Eflornothine (SA) 22.12.09" xfId="450"/>
    <cellStyle name="_CFLU8 BPR12112007 rev-2_Etiracetam (Product Costing) Rev 0 (India)_PEIF for costing_Rev00....._PEIF _(1R,4S)-cis-4-acetoxy-2-cyclopenten-1-ol for third party_TAG REPORT FOR SULINDAC" xfId="451"/>
    <cellStyle name="_CFLU8 BPR12112007 rev-2_Etiracetam (Product Costing) Rev 0 (India)_PEIF for costing_Rev00....._PEIF 18.12.09 (Rev01)" xfId="452"/>
    <cellStyle name="_CFLU8 BPR12112007 rev-2_Etiracetam (Product Costing) Rev 0 (India)_PEIF for costing_Rev00....._PEIF of PHX2160 (1000 Kgs) 29.09.2009" xfId="453"/>
    <cellStyle name="_CFLU8 BPR12112007 rev-2_Etiracetam (Product Costing) Rev 0 (India)_PEIF for costing_Rev00....._PEIF-CPA-Hamari chemicals" xfId="454"/>
    <cellStyle name="_CFLU8 BPR12112007 rev-2_Etiracetam (Product Costing) Rev 0 (India)_PEIF for costing_Rev00....._PHX2160 _ Back up files" xfId="455"/>
    <cellStyle name="_CFLU8 BPR12112007 rev-2_Etiracetam (Product Costing) Rev 0 (India)_PEIF for costing_Rev00....._Product Costing-Rev00" xfId="456"/>
    <cellStyle name="_CFLU8 BPR12112007 rev-2_Etiracetam (Product Costing) Rev 0 (India)_PEIF for costing_Rev00....._SYnthon A &amp; B PEIF" xfId="457"/>
    <cellStyle name="_CFLU8 BPR12112007 rev-2_Etiracetam (Product Costing) Rev 0 (India)_PEIF for costing_Rev00....._SYnthon A-50 MT- possible" xfId="458"/>
    <cellStyle name="_CFLU8 BPR12112007 rev-2_Etiracetam (Product Costing) Rev 0 (India)_PEIF for costing_Rev00....._TAG REPORT FOR TICAGRELOR...." xfId="459"/>
    <cellStyle name="_CFLU8 BPR12112007 rev-2_Etiracetam (Product Costing) Rev 0 (India)_PEIF for costing_Rev00....._TAG REPORT FOR TICAGRELOR...._Draft First_Cut Eflornothine (SA) 22.12.09" xfId="460"/>
    <cellStyle name="_CFLU8 BPR12112007 rev-2_Etiracetam (Product Costing) Rev 0 (India)_PEIF for costing_Rev00....._TAG REPORT FOR TICAGRELOR...._TAG REPORT FOR SULINDAC" xfId="461"/>
    <cellStyle name="_CFLU8 BPR12112007 rev-2_Etiracetam (Product Costing) Rev 0 (India)_PEIF for costing_Rev00....._TAG Report-Synthon A &amp; B" xfId="462"/>
    <cellStyle name="_CFLU8 BPR12112007 rev-2_Etiracetam (Product Costing) Rev 0 (India)_PEIF for Third Party costing" xfId="463"/>
    <cellStyle name="_CFLU8 BPR12112007 rev-2_Etiracetam (Product Costing) Rev 0 (India)_PEIF for Third Party costing_Draft First_Cut Eflornothine (SA) 22.12.09" xfId="464"/>
    <cellStyle name="_CFLU8 BPR12112007 rev-2_Etiracetam (Product Costing) Rev 0 (India)_PEIF for Third Party costing_TAG REPORT FOR SULINDAC" xfId="465"/>
    <cellStyle name="_CFLU8 BPR12112007 rev-2_Etiracetam (Product Costing) Rev 0 (India)_PEIF of PHX2160 (1000 Kgs) 29.09.2009" xfId="466"/>
    <cellStyle name="_CFLU8 BPR12112007 rev-2_Etiracetam (Product Costing) Rev 0 (India)_PEIF-CPA-Hamari chemicals" xfId="467"/>
    <cellStyle name="_CFLU8 BPR12112007 rev-2_Etiracetam (Product Costing) Rev 0 (India)_PHX2160 _ Back up files" xfId="468"/>
    <cellStyle name="_CFLU8 BPR12112007 rev-2_Etiracetam (Product Costing) Rev 0 (India)_Product Costing-Rev00" xfId="469"/>
    <cellStyle name="_CFLU8 BPR12112007 rev-2_Etiracetam (Product Costing) Rev 0 (India)_Product Costing-Rev00_PEIF 18.12.09 (Rev01)" xfId="470"/>
    <cellStyle name="_CFLU8 BPR12112007 rev-2_Etiracetam (Product Costing) Rev 0 (India)_RM sheet and PEIF of Urapidil" xfId="471"/>
    <cellStyle name="_CFLU8 BPR12112007 rev-2_Etiracetam (Product Costing) Rev 0 (India)_RM sheet and PEIF of Urapidil_~5198021" xfId="472"/>
    <cellStyle name="_CFLU8 BPR12112007 rev-2_Etiracetam (Product Costing) Rev 0 (India)_RM sheet and PEIF of Urapidil_First_Cut J&amp;J (TMC207) (081009)" xfId="473"/>
    <cellStyle name="_CFLU8 BPR12112007 rev-2_Etiracetam (Product Costing) Rev 0 (India)_RM sheet and PEIF of Urapidil_First_Cut_Urapidil (010709)" xfId="474"/>
    <cellStyle name="_CFLU8 BPR12112007 rev-2_Etiracetam (Product Costing) Rev 0 (India)_RM sheet and PEIF of Urapidil_PEIF _(1R,4S)-cis-4-acetoxy-2-cyclopenten-1-ol for third party" xfId="475"/>
    <cellStyle name="_CFLU8 BPR12112007 rev-2_Etiracetam (Product Costing) Rev 0 (India)_RM sheet and PEIF of Urapidil_PEIF _(1R,4S)-cis-4-acetoxy-2-cyclopenten-1-ol for third party_Draft First_Cut Eflornothine (SA) 22.12.09" xfId="476"/>
    <cellStyle name="_CFLU8 BPR12112007 rev-2_Etiracetam (Product Costing) Rev 0 (India)_RM sheet and PEIF of Urapidil_PEIF _(1R,4S)-cis-4-acetoxy-2-cyclopenten-1-ol for third party_TAG REPORT FOR SULINDAC" xfId="477"/>
    <cellStyle name="_CFLU8 BPR12112007 rev-2_Etiracetam (Product Costing) Rev 0 (India)_RM sheet and PEIF of Urapidil_PEIF 18.12.09 (Rev01)" xfId="478"/>
    <cellStyle name="_CFLU8 BPR12112007 rev-2_Etiracetam (Product Costing) Rev 0 (India)_RM sheet and PEIF of Urapidil_PEIF for Third Party costing" xfId="479"/>
    <cellStyle name="_CFLU8 BPR12112007 rev-2_Etiracetam (Product Costing) Rev 0 (India)_RM sheet and PEIF of Urapidil_PEIF for Third Party costing_Draft First_Cut Eflornothine (SA) 22.12.09" xfId="480"/>
    <cellStyle name="_CFLU8 BPR12112007 rev-2_Etiracetam (Product Costing) Rev 0 (India)_RM sheet and PEIF of Urapidil_PEIF for Third Party costing_TAG REPORT FOR SULINDAC" xfId="481"/>
    <cellStyle name="_CFLU8 BPR12112007 rev-2_Etiracetam (Product Costing) Rev 0 (India)_RM sheet and PEIF of Urapidil_SYnthon A &amp; B PEIF" xfId="482"/>
    <cellStyle name="_CFLU8 BPR12112007 rev-2_Etiracetam (Product Costing) Rev 0 (India)_RM sheet and PEIF of Urapidil_SYnthon A-50 MT- possible" xfId="483"/>
    <cellStyle name="_CFLU8 BPR12112007 rev-2_Etiracetam (Product Costing) Rev 0 (India)_RM sheet and PEIF of Urapidil_TAG REPORT FOR TICAGRELOR...." xfId="484"/>
    <cellStyle name="_CFLU8 BPR12112007 rev-2_Etiracetam (Product Costing) Rev 0 (India)_RM sheet and PEIF of Urapidil_TAG REPORT FOR TICAGRELOR...._Draft First_Cut Eflornothine (SA) 22.12.09" xfId="485"/>
    <cellStyle name="_CFLU8 BPR12112007 rev-2_Etiracetam (Product Costing) Rev 0 (India)_RM sheet and PEIF of Urapidil_TAG REPORT FOR TICAGRELOR...._TAG REPORT FOR SULINDAC" xfId="486"/>
    <cellStyle name="_CFLU8 BPR12112007 rev-2_Etiracetam (Product Costing) Rev 0 (India)_RM sheet and PEIF of Urapidil_TAG Report-Synthon A &amp; B" xfId="487"/>
    <cellStyle name="_CFLU8 BPR12112007 rev-2_Etiracetam (Product Costing) Rev 0 (India)_SYnthon A &amp; B PEIF" xfId="488"/>
    <cellStyle name="_CFLU8 BPR12112007 rev-2_Etiracetam (Product Costing) Rev 0 (India)_SYnthon A-50 MT- possible" xfId="489"/>
    <cellStyle name="_CFLU8 BPR12112007 rev-2_Etiracetam (Product Costing) Rev 0 (India)_TAG REPORT FOR TICAGRELOR...." xfId="490"/>
    <cellStyle name="_CFLU8 BPR12112007 rev-2_Etiracetam (Product Costing) Rev 0 (India)_TAG REPORT FOR TICAGRELOR...._Draft First_Cut Eflornothine (SA) 22.12.09" xfId="491"/>
    <cellStyle name="_CFLU8 BPR12112007 rev-2_Etiracetam (Product Costing) Rev 0 (India)_TAG REPORT FOR TICAGRELOR...._TAG REPORT FOR SULINDAC" xfId="492"/>
    <cellStyle name="_CFLU8 BPR12112007 rev-2_Etiracetam (Product Costing) Rev 0 (India)_TAG Report-Synthon A &amp; B" xfId="493"/>
    <cellStyle name="_CFLU8 BPR12112007 rev-2_Hamari-PEIF" xfId="494"/>
    <cellStyle name="_CFLU8 BPR12112007 rev-2_Hamari-PEIF-Vinod" xfId="495"/>
    <cellStyle name="_CFLU8 BPR12112007 rev-2_Isoquinoline 0.5 MT" xfId="496"/>
    <cellStyle name="_CFLU8 BPR12112007 rev-2_Lactum -(Project Costing) Rev 0" xfId="497"/>
    <cellStyle name="_CFLU8 BPR12112007 rev-2_Lactum -(Project Costing) Rev 0_PEIF_CLP_500 Kg &amp; 1600 Kg draft" xfId="498"/>
    <cellStyle name="_CFLU8 BPR12112007 rev-2_Lactum-Utilitycalc'nt-Rev0" xfId="499"/>
    <cellStyle name="_CFLU8 BPR12112007 rev-2_Lactum-Utilitycalc'nt-Rev0_PEIF_CLP_500 Kg &amp; 1600 Kg draft" xfId="500"/>
    <cellStyle name="_CFLU8 BPR12112007 rev-2_Manufacturing of API at New Block Rev 1" xfId="501"/>
    <cellStyle name="_CFLU8 BPR12112007 rev-2_Manufacturing of API at New Block Rev 1_High Volume PEIF Template" xfId="502"/>
    <cellStyle name="_CFLU8 BPR12112007 rev-2_Marbo 130808" xfId="503"/>
    <cellStyle name="_CFLU8 BPR12112007 rev-2_Marbo 130808_~5198021" xfId="504"/>
    <cellStyle name="_CFLU8 BPR12112007 rev-2_Marbo 130808_Chiral benzylamine cost sheet" xfId="505"/>
    <cellStyle name="_CFLU8 BPR12112007 rev-2_Marbo 130808_Cyclohexanone dimethyl acetal-PEIF" xfId="506"/>
    <cellStyle name="_CFLU8 BPR12112007 rev-2_Marbo 130808_First_Cut J&amp;J (TMC207) (081009)" xfId="507"/>
    <cellStyle name="_CFLU8 BPR12112007 rev-2_Marbo 130808_First_Cut_Urapidil (010709)" xfId="508"/>
    <cellStyle name="_CFLU8 BPR12112007 rev-2_Marbo 130808_Hamari-PEIF" xfId="509"/>
    <cellStyle name="_CFLU8 BPR12112007 rev-2_Marbo 130808_Hamari-PEIF-Vinod" xfId="510"/>
    <cellStyle name="_CFLU8 BPR12112007 rev-2_Marbo 130808_modified RMC for CPA(HAMARI CHEMICALS)-with recoveries-17032011" xfId="511"/>
    <cellStyle name="_CFLU8 BPR12112007 rev-2_Marbo 130808_PEIF _(1R,4S)-cis-4-acetoxy-2-cyclopenten-1-ol for third party" xfId="512"/>
    <cellStyle name="_CFLU8 BPR12112007 rev-2_Marbo 130808_PEIF _(1R,4S)-cis-4-acetoxy-2-cyclopenten-1-ol for third party_Draft First_Cut Eflornothine (SA) 22.12.09" xfId="513"/>
    <cellStyle name="_CFLU8 BPR12112007 rev-2_Marbo 130808_PEIF _(1R,4S)-cis-4-acetoxy-2-cyclopenten-1-ol for third party_TAG REPORT FOR SULINDAC" xfId="514"/>
    <cellStyle name="_CFLU8 BPR12112007 rev-2_Marbo 130808_PEIF 18.12.09 (Rev01)" xfId="515"/>
    <cellStyle name="_CFLU8 BPR12112007 rev-2_Marbo 130808_PEIF of PHX2160 (1000 Kgs) 29.09.2009" xfId="516"/>
    <cellStyle name="_CFLU8 BPR12112007 rev-2_Marbo 130808_PEIF_CLP_500 Kg &amp; 1600 Kg draft" xfId="517"/>
    <cellStyle name="_CFLU8 BPR12112007 rev-2_Marbo 130808_PEIF-CPA-Hamari chemicals" xfId="518"/>
    <cellStyle name="_CFLU8 BPR12112007 rev-2_Marbo 130808_PHX2160 _ Back up files" xfId="519"/>
    <cellStyle name="_CFLU8 BPR12112007 rev-2_Marbo 130808_Product Costing-Rev00" xfId="520"/>
    <cellStyle name="_CFLU8 BPR12112007 rev-2_Marbo 130808_Sorbent Therapeutics_CLP_1600 Kg_Draft" xfId="521"/>
    <cellStyle name="_CFLU8 BPR12112007 rev-2_Marbo 130808_Sorbent Therapeutics_CLP_500 Kg_Draft" xfId="522"/>
    <cellStyle name="_CFLU8 BPR12112007 rev-2_Marbo 130808_SYnthon A &amp; B PEIF" xfId="523"/>
    <cellStyle name="_CFLU8 BPR12112007 rev-2_Marbo 130808_SYnthon A-50 MT- possible" xfId="524"/>
    <cellStyle name="_CFLU8 BPR12112007 rev-2_Marbo 130808_TAG REPORT FOR TICAGRELOR...." xfId="525"/>
    <cellStyle name="_CFLU8 BPR12112007 rev-2_Marbo 130808_TAG REPORT FOR TICAGRELOR...._Draft First_Cut Eflornothine (SA) 22.12.09" xfId="526"/>
    <cellStyle name="_CFLU8 BPR12112007 rev-2_Marbo 130808_TAG REPORT FOR TICAGRELOR...._TAG REPORT FOR SULINDAC" xfId="527"/>
    <cellStyle name="_CFLU8 BPR12112007 rev-2_Marbo 130808_TAG Report-Synthon A &amp; B" xfId="528"/>
    <cellStyle name="_CFLU8 BPR12112007 rev-2_Marbo PEIF with new process" xfId="529"/>
    <cellStyle name="_CFLU8 BPR12112007 rev-2_Marbo PEIF with new process_~5198021" xfId="530"/>
    <cellStyle name="_CFLU8 BPR12112007 rev-2_Marbo PEIF with new process_100Kgs PEIF 010609 KSM" xfId="531"/>
    <cellStyle name="_CFLU8 BPR12112007 rev-2_Marbo PEIF with new process_Chiral benzylamine cost sheet" xfId="532"/>
    <cellStyle name="_CFLU8 BPR12112007 rev-2_Marbo PEIF with new process_Chirotech (Ticagrilor intermediate)26.06.09" xfId="533"/>
    <cellStyle name="_CFLU8 BPR12112007 rev-2_Marbo PEIF with new process_Chirotech (Ticagrilor intermediate)26.06.09_High Volume PEIF Template" xfId="534"/>
    <cellStyle name="_CFLU8 BPR12112007 rev-2_Marbo PEIF with new process_Cyclohexanone dimethyl acetal-PEIF" xfId="535"/>
    <cellStyle name="_CFLU8 BPR12112007 rev-2_Marbo PEIF with new process_First_Cut J&amp;J (TMC207) (081009)" xfId="536"/>
    <cellStyle name="_CFLU8 BPR12112007 rev-2_Marbo PEIF with new process_First_Cut_Urapidil (010709)" xfId="537"/>
    <cellStyle name="_CFLU8 BPR12112007 rev-2_Marbo PEIF with new process_modified RMC for CPA(HAMARI CHEMICALS)-with recoveries-17032011" xfId="538"/>
    <cellStyle name="_CFLU8 BPR12112007 rev-2_Marbo PEIF with new process_NXL-104 OO - 1,5,20,50,75,100 MT - 15.06.2011 - 20.06.2011" xfId="539"/>
    <cellStyle name="_CFLU8 BPR12112007 rev-2_Marbo PEIF with new process_PEIF" xfId="540"/>
    <cellStyle name="_CFLU8 BPR12112007 rev-2_Marbo PEIF with new process_PEIF _(1R,4S)-cis-4-acetoxy-2-cyclopenten-1-ol for third party" xfId="541"/>
    <cellStyle name="_CFLU8 BPR12112007 rev-2_Marbo PEIF with new process_PEIF _(1R,4S)-cis-4-acetoxy-2-cyclopenten-1-ol for third party_Draft First_Cut Eflornothine (SA) 22.12.09" xfId="542"/>
    <cellStyle name="_CFLU8 BPR12112007 rev-2_Marbo PEIF with new process_PEIF _(1R,4S)-cis-4-acetoxy-2-cyclopenten-1-ol for third party_TAG REPORT FOR SULINDAC" xfId="543"/>
    <cellStyle name="_CFLU8 BPR12112007 rev-2_Marbo PEIF with new process_PEIF 18.12.09 (Rev01)" xfId="544"/>
    <cellStyle name="_CFLU8 BPR12112007 rev-2_Marbo PEIF with new process_PEIF for Third Party costing" xfId="545"/>
    <cellStyle name="_CFLU8 BPR12112007 rev-2_Marbo PEIF with new process_PEIF of PHX2160 (1000 Kgs) 29.09.2009" xfId="546"/>
    <cellStyle name="_CFLU8 BPR12112007 rev-2_Marbo PEIF with new process_PEIF_CLP_500 Kg &amp; 1600 Kg draft" xfId="547"/>
    <cellStyle name="_CFLU8 BPR12112007 rev-2_Marbo PEIF with new process_PEIF-CPA-Hamari chemicals" xfId="548"/>
    <cellStyle name="_CFLU8 BPR12112007 rev-2_Marbo PEIF with new process_PHX2160 _ Back up files" xfId="549"/>
    <cellStyle name="_CFLU8 BPR12112007 rev-2_Marbo PEIF with new process_Product Costing-Rev00" xfId="550"/>
    <cellStyle name="_CFLU8 BPR12112007 rev-2_Marbo PEIF with new process_Sorbent Therapeutics_CLP_1600 Kg_Draft" xfId="551"/>
    <cellStyle name="_CFLU8 BPR12112007 rev-2_Marbo PEIF with new process_Sorbent Therapeutics_CLP_500 Kg_Draft" xfId="552"/>
    <cellStyle name="_CFLU8 BPR12112007 rev-2_Marbo PEIF with new process_SYnthon A &amp; B PEIF" xfId="553"/>
    <cellStyle name="_CFLU8 BPR12112007 rev-2_Marbo PEIF with new process_SYnthon A-50 MT- possible" xfId="554"/>
    <cellStyle name="_CFLU8 BPR12112007 rev-2_Marbo PEIF with new process_TAG REPORT FOR TICAGRELOR...." xfId="555"/>
    <cellStyle name="_CFLU8 BPR12112007 rev-2_Marbo PEIF with new process_TAG REPORT FOR TICAGRELOR...._Draft First_Cut Eflornothine (SA) 22.12.09" xfId="556"/>
    <cellStyle name="_CFLU8 BPR12112007 rev-2_Marbo PEIF with new process_TAG REPORT FOR TICAGRELOR...._TAG REPORT FOR SULINDAC" xfId="557"/>
    <cellStyle name="_CFLU8 BPR12112007 rev-2_Marbo PEIF with new process_TAG Report-Synthon A &amp; B" xfId="558"/>
    <cellStyle name="_CFLU8 BPR12112007 rev-2_modified RMC for CPA(HAMARI CHEMICALS)-with recoveries-17032011" xfId="559"/>
    <cellStyle name="_CFLU8 BPR12112007 rev-2_Nateglinide Summary" xfId="560"/>
    <cellStyle name="_CFLU8 BPR12112007 rev-2_Nateglinide Summary_~5198021" xfId="561"/>
    <cellStyle name="_CFLU8 BPR12112007 rev-2_Nateglinide Summary_Chiral benzylamine cost sheet" xfId="562"/>
    <cellStyle name="_CFLU8 BPR12112007 rev-2_Nateglinide Summary_Cyclohexanone dimethyl acetal-PEIF" xfId="563"/>
    <cellStyle name="_CFLU8 BPR12112007 rev-2_Nateglinide Summary_First_Cut J&amp;J (TMC207) (081009)" xfId="564"/>
    <cellStyle name="_CFLU8 BPR12112007 rev-2_Nateglinide Summary_First_Cut_Urapidil (010709)" xfId="565"/>
    <cellStyle name="_CFLU8 BPR12112007 rev-2_Nateglinide Summary_Hamari-PEIF" xfId="566"/>
    <cellStyle name="_CFLU8 BPR12112007 rev-2_Nateglinide Summary_Hamari-PEIF-Vinod" xfId="567"/>
    <cellStyle name="_CFLU8 BPR12112007 rev-2_Nateglinide Summary_modified RMC for CPA(HAMARI CHEMICALS)-with recoveries-17032011" xfId="568"/>
    <cellStyle name="_CFLU8 BPR12112007 rev-2_Nateglinide Summary_PEIF _(1R,4S)-cis-4-acetoxy-2-cyclopenten-1-ol for third party" xfId="569"/>
    <cellStyle name="_CFLU8 BPR12112007 rev-2_Nateglinide Summary_PEIF _(1R,4S)-cis-4-acetoxy-2-cyclopenten-1-ol for third party_Draft First_Cut Eflornothine (SA) 22.12.09" xfId="570"/>
    <cellStyle name="_CFLU8 BPR12112007 rev-2_Nateglinide Summary_PEIF _(1R,4S)-cis-4-acetoxy-2-cyclopenten-1-ol for third party_TAG REPORT FOR SULINDAC" xfId="571"/>
    <cellStyle name="_CFLU8 BPR12112007 rev-2_Nateglinide Summary_PEIF 18.12.09 (Rev01)" xfId="572"/>
    <cellStyle name="_CFLU8 BPR12112007 rev-2_Nateglinide Summary_PEIF of PHX2160 (1000 Kgs) 29.09.2009" xfId="573"/>
    <cellStyle name="_CFLU8 BPR12112007 rev-2_Nateglinide Summary_PEIF-CPA-Hamari chemicals" xfId="574"/>
    <cellStyle name="_CFLU8 BPR12112007 rev-2_Nateglinide Summary_PHX2160 _ Back up files" xfId="575"/>
    <cellStyle name="_CFLU8 BPR12112007 rev-2_Nateglinide Summary_Product Costing-Rev00" xfId="576"/>
    <cellStyle name="_CFLU8 BPR12112007 rev-2_Nateglinide Summary_SYnthon A &amp; B PEIF" xfId="577"/>
    <cellStyle name="_CFLU8 BPR12112007 rev-2_Nateglinide Summary_SYnthon A-50 MT- possible" xfId="578"/>
    <cellStyle name="_CFLU8 BPR12112007 rev-2_Nateglinide Summary_TAG REPORT FOR TICAGRELOR...." xfId="579"/>
    <cellStyle name="_CFLU8 BPR12112007 rev-2_Nateglinide Summary_TAG REPORT FOR TICAGRELOR...._Draft First_Cut Eflornothine (SA) 22.12.09" xfId="580"/>
    <cellStyle name="_CFLU8 BPR12112007 rev-2_Nateglinide Summary_TAG REPORT FOR TICAGRELOR...._TAG REPORT FOR SULINDAC" xfId="581"/>
    <cellStyle name="_CFLU8 BPR12112007 rev-2_Nateglinide Summary_TAG Report-Synthon A &amp; B" xfId="582"/>
    <cellStyle name="_CFLU8 BPR12112007 rev-2_Nateglinide-(Project Costing) Rev 1" xfId="583"/>
    <cellStyle name="_CFLU8 BPR12112007 rev-2_PEIF of PHX2160 (1000 Kgs) 29.09.2009" xfId="584"/>
    <cellStyle name="_CFLU8 BPR12112007 rev-2_PEIF_CLP_500 Kg &amp; 1600 Kg draft" xfId="585"/>
    <cellStyle name="_CFLU8 BPR12112007 rev-2_PEIF_Rev00" xfId="586"/>
    <cellStyle name="_CFLU8 BPR12112007 rev-2_PEIF_Rev00_High Volume PEIF Template" xfId="587"/>
    <cellStyle name="_CFLU8 BPR12112007 rev-2_PEIF-CPA-Hamari chemicals" xfId="588"/>
    <cellStyle name="_CFLU8 BPR12112007 rev-2_Peramavir_Back up file" xfId="589"/>
    <cellStyle name="_CFLU8 BPR12112007 rev-2_Peramavir_Back up file_High Volume PEIF Template" xfId="590"/>
    <cellStyle name="_CFLU8 BPR12112007 rev-2_PFD_Etiracetam_29.04.09" xfId="591"/>
    <cellStyle name="_CFLU8 BPR12112007 rev-2_PFD_Etiracetam_29.04.09_~5198021" xfId="592"/>
    <cellStyle name="_CFLU8 BPR12112007 rev-2_PFD_Etiracetam_29.04.09_~6899541" xfId="593"/>
    <cellStyle name="_CFLU8 BPR12112007 rev-2_PFD_Etiracetam_29.04.09_~6899541_PEIF 18.12.09 (Rev01)" xfId="594"/>
    <cellStyle name="_CFLU8 BPR12112007 rev-2_PFD_Etiracetam_29.04.09_Chiral benzylamine cost sheet" xfId="595"/>
    <cellStyle name="_CFLU8 BPR12112007 rev-2_PFD_Etiracetam_29.04.09_Cyclohexanone dimethyl acetal-PEIF" xfId="596"/>
    <cellStyle name="_CFLU8 BPR12112007 rev-2_PFD_Etiracetam_29.04.09_First Cut for Commercial NKTR-102 (14.10.09)" xfId="597"/>
    <cellStyle name="_CFLU8 BPR12112007 rev-2_PFD_Etiracetam_29.04.09_First_Cut J&amp;J (TMC207) (081009)" xfId="598"/>
    <cellStyle name="_CFLU8 BPR12112007 rev-2_PFD_Etiracetam_29.04.09_First_Cut_Urapidil (010709)" xfId="599"/>
    <cellStyle name="_CFLU8 BPR12112007 rev-2_PFD_Etiracetam_29.04.09_modified RMC for CPA(HAMARI CHEMICALS)-with recoveries-17032011" xfId="600"/>
    <cellStyle name="_CFLU8 BPR12112007 rev-2_PFD_Etiracetam_29.04.09_NXL-104 OO - 1,5,20,50,75,100 MT - 15.06.2011 - 20.06.2011" xfId="601"/>
    <cellStyle name="_CFLU8 BPR12112007 rev-2_PFD_Etiracetam_29.04.09_PEIF _(1R,4S)-cis-4-acetoxy-2-cyclopenten-1-ol for third party" xfId="602"/>
    <cellStyle name="_CFLU8 BPR12112007 rev-2_PFD_Etiracetam_29.04.09_PEIF _(1R,4S)-cis-4-acetoxy-2-cyclopenten-1-ol for third party_Draft First_Cut Eflornothine (SA) 22.12.09" xfId="603"/>
    <cellStyle name="_CFLU8 BPR12112007 rev-2_PFD_Etiracetam_29.04.09_PEIF _(1R,4S)-cis-4-acetoxy-2-cyclopenten-1-ol for third party_TAG REPORT FOR SULINDAC" xfId="604"/>
    <cellStyle name="_CFLU8 BPR12112007 rev-2_PFD_Etiracetam_29.04.09_PEIF 18.12.09 (Rev01)" xfId="605"/>
    <cellStyle name="_CFLU8 BPR12112007 rev-2_PFD_Etiracetam_29.04.09_PEIF for costing_Rev00....." xfId="606"/>
    <cellStyle name="_CFLU8 BPR12112007 rev-2_PFD_Etiracetam_29.04.09_PEIF for costing_Rev00....._~5198021" xfId="607"/>
    <cellStyle name="_CFLU8 BPR12112007 rev-2_PFD_Etiracetam_29.04.09_PEIF for costing_Rev00....._Chiral benzylamine cost sheet" xfId="608"/>
    <cellStyle name="_CFLU8 BPR12112007 rev-2_PFD_Etiracetam_29.04.09_PEIF for costing_Rev00....._Cyclohexanone dimethyl acetal-PEIF" xfId="609"/>
    <cellStyle name="_CFLU8 BPR12112007 rev-2_PFD_Etiracetam_29.04.09_PEIF for costing_Rev00....._First_Cut J&amp;J (TMC207) (081009)" xfId="610"/>
    <cellStyle name="_CFLU8 BPR12112007 rev-2_PFD_Etiracetam_29.04.09_PEIF for costing_Rev00....._First_Cut_Urapidil (010709)" xfId="611"/>
    <cellStyle name="_CFLU8 BPR12112007 rev-2_PFD_Etiracetam_29.04.09_PEIF for costing_Rev00....._modified RMC for CPA(HAMARI CHEMICALS)-with recoveries-17032011" xfId="612"/>
    <cellStyle name="_CFLU8 BPR12112007 rev-2_PFD_Etiracetam_29.04.09_PEIF for costing_Rev00....._NXL-104 OO - 1,5,20,50,75,100 MT - 15.06.2011 - 20.06.2011" xfId="613"/>
    <cellStyle name="_CFLU8 BPR12112007 rev-2_PFD_Etiracetam_29.04.09_PEIF for costing_Rev00....._PEIF _(1R,4S)-cis-4-acetoxy-2-cyclopenten-1-ol for third party" xfId="614"/>
    <cellStyle name="_CFLU8 BPR12112007 rev-2_PFD_Etiracetam_29.04.09_PEIF for costing_Rev00....._PEIF _(1R,4S)-cis-4-acetoxy-2-cyclopenten-1-ol for third party_Draft First_Cut Eflornothine (SA) 22.12.09" xfId="615"/>
    <cellStyle name="_CFLU8 BPR12112007 rev-2_PFD_Etiracetam_29.04.09_PEIF for costing_Rev00....._PEIF _(1R,4S)-cis-4-acetoxy-2-cyclopenten-1-ol for third party_TAG REPORT FOR SULINDAC" xfId="616"/>
    <cellStyle name="_CFLU8 BPR12112007 rev-2_PFD_Etiracetam_29.04.09_PEIF for costing_Rev00....._PEIF 18.12.09 (Rev01)" xfId="617"/>
    <cellStyle name="_CFLU8 BPR12112007 rev-2_PFD_Etiracetam_29.04.09_PEIF for costing_Rev00....._PEIF of PHX2160 (1000 Kgs) 29.09.2009" xfId="618"/>
    <cellStyle name="_CFLU8 BPR12112007 rev-2_PFD_Etiracetam_29.04.09_PEIF for costing_Rev00....._PEIF-CPA-Hamari chemicals" xfId="619"/>
    <cellStyle name="_CFLU8 BPR12112007 rev-2_PFD_Etiracetam_29.04.09_PEIF for costing_Rev00....._PHX2160 _ Back up files" xfId="620"/>
    <cellStyle name="_CFLU8 BPR12112007 rev-2_PFD_Etiracetam_29.04.09_PEIF for costing_Rev00....._Product Costing-Rev00" xfId="621"/>
    <cellStyle name="_CFLU8 BPR12112007 rev-2_PFD_Etiracetam_29.04.09_PEIF for costing_Rev00....._SYnthon A &amp; B PEIF" xfId="622"/>
    <cellStyle name="_CFLU8 BPR12112007 rev-2_PFD_Etiracetam_29.04.09_PEIF for costing_Rev00....._SYnthon A-50 MT- possible" xfId="623"/>
    <cellStyle name="_CFLU8 BPR12112007 rev-2_PFD_Etiracetam_29.04.09_PEIF for costing_Rev00....._TAG REPORT FOR TICAGRELOR...." xfId="624"/>
    <cellStyle name="_CFLU8 BPR12112007 rev-2_PFD_Etiracetam_29.04.09_PEIF for costing_Rev00....._TAG REPORT FOR TICAGRELOR...._Draft First_Cut Eflornothine (SA) 22.12.09" xfId="625"/>
    <cellStyle name="_CFLU8 BPR12112007 rev-2_PFD_Etiracetam_29.04.09_PEIF for costing_Rev00....._TAG REPORT FOR TICAGRELOR...._TAG REPORT FOR SULINDAC" xfId="626"/>
    <cellStyle name="_CFLU8 BPR12112007 rev-2_PFD_Etiracetam_29.04.09_PEIF for costing_Rev00....._TAG Report-Synthon A &amp; B" xfId="627"/>
    <cellStyle name="_CFLU8 BPR12112007 rev-2_PFD_Etiracetam_29.04.09_PEIF for Third Party costing" xfId="628"/>
    <cellStyle name="_CFLU8 BPR12112007 rev-2_PFD_Etiracetam_29.04.09_PEIF for Third Party costing_Draft First_Cut Eflornothine (SA) 22.12.09" xfId="629"/>
    <cellStyle name="_CFLU8 BPR12112007 rev-2_PFD_Etiracetam_29.04.09_PEIF for Third Party costing_TAG REPORT FOR SULINDAC" xfId="630"/>
    <cellStyle name="_CFLU8 BPR12112007 rev-2_PFD_Etiracetam_29.04.09_PEIF of PHX2160 (1000 Kgs) 29.09.2009" xfId="631"/>
    <cellStyle name="_CFLU8 BPR12112007 rev-2_PFD_Etiracetam_29.04.09_PEIF-CPA-Hamari chemicals" xfId="632"/>
    <cellStyle name="_CFLU8 BPR12112007 rev-2_PFD_Etiracetam_29.04.09_PHX2160 _ Back up files" xfId="633"/>
    <cellStyle name="_CFLU8 BPR12112007 rev-2_PFD_Etiracetam_29.04.09_Product Costing-Rev00" xfId="634"/>
    <cellStyle name="_CFLU8 BPR12112007 rev-2_PFD_Etiracetam_29.04.09_Product Costing-Rev00_PEIF 18.12.09 (Rev01)" xfId="635"/>
    <cellStyle name="_CFLU8 BPR12112007 rev-2_PFD_Etiracetam_29.04.09_SYnthon A &amp; B PEIF" xfId="636"/>
    <cellStyle name="_CFLU8 BPR12112007 rev-2_PFD_Etiracetam_29.04.09_SYnthon A-50 MT- possible" xfId="637"/>
    <cellStyle name="_CFLU8 BPR12112007 rev-2_PFD_Etiracetam_29.04.09_TAG REPORT FOR TICAGRELOR...." xfId="638"/>
    <cellStyle name="_CFLU8 BPR12112007 rev-2_PFD_Etiracetam_29.04.09_TAG REPORT FOR TICAGRELOR...._Draft First_Cut Eflornothine (SA) 22.12.09" xfId="639"/>
    <cellStyle name="_CFLU8 BPR12112007 rev-2_PFD_Etiracetam_29.04.09_TAG REPORT FOR TICAGRELOR...._TAG REPORT FOR SULINDAC" xfId="640"/>
    <cellStyle name="_CFLU8 BPR12112007 rev-2_PFD_Etiracetam_29.04.09_TAG Report-Synthon A &amp; B" xfId="641"/>
    <cellStyle name="_CFLU8 BPR12112007 rev-2_PFD_Piracetam_05.05.09" xfId="642"/>
    <cellStyle name="_CFLU8 BPR12112007 rev-2_PFD_Piracetam_05.05.09_~6899541" xfId="643"/>
    <cellStyle name="_CFLU8 BPR12112007 rev-2_PFD_Piracetam_05.05.09_~6899541_PEIF 18.12.09 (Rev01)" xfId="644"/>
    <cellStyle name="_CFLU8 BPR12112007 rev-2_PFD_Piracetam_05.05.09_PEIF 18.12.09 (Rev01)" xfId="645"/>
    <cellStyle name="_CFLU8 BPR12112007 rev-2_PHX2160 _ Back up files" xfId="646"/>
    <cellStyle name="_CFLU8 BPR12112007 rev-2_Piracetam (Prodn Planning)" xfId="647"/>
    <cellStyle name="_CFLU8 BPR12112007 rev-2_Piracetam (Prodn Planning)_~6899541" xfId="648"/>
    <cellStyle name="_CFLU8 BPR12112007 rev-2_Piracetam (Prodn Planning)_~6899541_PEIF 18.12.09 (Rev01)" xfId="649"/>
    <cellStyle name="_CFLU8 BPR12112007 rev-2_Piracetam (Prodn Planning)_PEIF 18.12.09 (Rev01)" xfId="650"/>
    <cellStyle name="_CFLU8 BPR12112007 rev-2_Product Costing-Rev00" xfId="651"/>
    <cellStyle name="_CFLU8 BPR12112007 rev-2_Project costing" xfId="652"/>
    <cellStyle name="_CFLU8 BPR12112007 rev-2_Project costing_~5198021" xfId="653"/>
    <cellStyle name="_CFLU8 BPR12112007 rev-2_Project costing_Chiral benzylamine cost sheet" xfId="654"/>
    <cellStyle name="_CFLU8 BPR12112007 rev-2_Project costing_Cyclohexanone dimethyl acetal-PEIF" xfId="655"/>
    <cellStyle name="_CFLU8 BPR12112007 rev-2_Project costing_First_Cut J&amp;J (TMC207) (081009)" xfId="656"/>
    <cellStyle name="_CFLU8 BPR12112007 rev-2_Project costing_First_Cut_Urapidil (010709)" xfId="657"/>
    <cellStyle name="_CFLU8 BPR12112007 rev-2_Project costing_modified RMC for CPA(HAMARI CHEMICALS)-with recoveries-17032011" xfId="658"/>
    <cellStyle name="_CFLU8 BPR12112007 rev-2_Project costing_NXL-104 OO - 1,5,20,50,75,100 MT - 15.06.2011 - 20.06.2011" xfId="659"/>
    <cellStyle name="_CFLU8 BPR12112007 rev-2_Project costing_PEIF _(1R,4S)-cis-4-acetoxy-2-cyclopenten-1-ol for third party" xfId="660"/>
    <cellStyle name="_CFLU8 BPR12112007 rev-2_Project costing_PEIF _(1R,4S)-cis-4-acetoxy-2-cyclopenten-1-ol for third party_Draft First_Cut Eflornothine (SA) 22.12.09" xfId="661"/>
    <cellStyle name="_CFLU8 BPR12112007 rev-2_Project costing_PEIF _(1R,4S)-cis-4-acetoxy-2-cyclopenten-1-ol for third party_TAG REPORT FOR SULINDAC" xfId="662"/>
    <cellStyle name="_CFLU8 BPR12112007 rev-2_Project costing_PEIF 18.12.09 (Rev01)" xfId="663"/>
    <cellStyle name="_CFLU8 BPR12112007 rev-2_Project costing_PEIF of PHX2160 (1000 Kgs) 29.09.2009" xfId="664"/>
    <cellStyle name="_CFLU8 BPR12112007 rev-2_Project costing_PEIF-CPA-Hamari chemicals" xfId="665"/>
    <cellStyle name="_CFLU8 BPR12112007 rev-2_Project costing_PHX2160 _ Back up files" xfId="666"/>
    <cellStyle name="_CFLU8 BPR12112007 rev-2_Project costing_Product Costing-Rev00" xfId="667"/>
    <cellStyle name="_CFLU8 BPR12112007 rev-2_Project costing_SYnthon A &amp; B PEIF" xfId="668"/>
    <cellStyle name="_CFLU8 BPR12112007 rev-2_Project costing_SYnthon A-50 MT- possible" xfId="669"/>
    <cellStyle name="_CFLU8 BPR12112007 rev-2_Project costing_TAG REPORT FOR TICAGRELOR...." xfId="670"/>
    <cellStyle name="_CFLU8 BPR12112007 rev-2_Project costing_TAG REPORT FOR TICAGRELOR...._Draft First_Cut Eflornothine (SA) 22.12.09" xfId="671"/>
    <cellStyle name="_CFLU8 BPR12112007 rev-2_Project costing_TAG REPORT FOR TICAGRELOR...._TAG REPORT FOR SULINDAC" xfId="672"/>
    <cellStyle name="_CFLU8 BPR12112007 rev-2_Project costing_TAG Report-Synthon A &amp; B" xfId="673"/>
    <cellStyle name="_CFLU8 BPR12112007 rev-2_Rosvastatin ca PEIF 20 MT" xfId="674"/>
    <cellStyle name="_CFLU8 BPR12112007 rev-2_Sorbent Therapeutics_CLP_1600 Kg_Draft" xfId="675"/>
    <cellStyle name="_CFLU8 BPR12112007 rev-2_Sorbent Therapeutics_CLP_500 Kg_Draft" xfId="676"/>
    <cellStyle name="_CFLU8 BPR12112007 rev-2_Summary" xfId="677"/>
    <cellStyle name="_CFLU8 BPR12112007 rev-2_Summary_High Volume PEIF Template" xfId="678"/>
    <cellStyle name="_CFLU8 BPR12112007 rev-2_Validation Campaign Details" xfId="679"/>
    <cellStyle name="_CFLU8 BPR12112007 rev-2_Validation Campaign Details_High Volume PEIF Template" xfId="680"/>
    <cellStyle name="_Lactum -(Project Costing) Rev 0" xfId="681"/>
    <cellStyle name="_Marbofloxacin (Project Costing) new process" xfId="682"/>
    <cellStyle name="_Marbofloxacin (Project Costing) new process_(R)-1-Bis(trifluoromethyl)phenyl)ethanol - 14.10.09" xfId="683"/>
    <cellStyle name="_Marbofloxacin (Project Costing) new process_100Kgs PEIF 010609 KSM" xfId="684"/>
    <cellStyle name="_Marbofloxacin (Project Costing) new process_4-(4-phenyl-1-butoxy)-benzoyl chloride (10MT) PEIF 28-08-2008" xfId="685"/>
    <cellStyle name="_Marbofloxacin (Project Costing) new process_Chirotech (Ticagrilor intermediate)26.06.09" xfId="686"/>
    <cellStyle name="_Marbofloxacin (Project Costing) new process_Cyclohexanone dimethyl acetal-PEIF" xfId="687"/>
    <cellStyle name="_Marbofloxacin (Project Costing) new process_Draft First_Cut Eflornothine (SA) 22.12.09" xfId="688"/>
    <cellStyle name="_Marbofloxacin (Project Costing) new process_First_Cut J&amp;J (TMC207) (081009)" xfId="689"/>
    <cellStyle name="_Marbofloxacin (Project Costing) new process_modified RMC for CPA(HAMARI CHEMICALS)-with recoveries-17032011" xfId="690"/>
    <cellStyle name="_Marbofloxacin (Project Costing) new process_NXL-104 OO - 1,5,20,50,75,100 MT - 15.06.2011 - 20.06.2011" xfId="691"/>
    <cellStyle name="_Marbofloxacin (Project Costing) new process_PEIF" xfId="692"/>
    <cellStyle name="_Marbofloxacin (Project Costing) new process_PEIF 18.12.09 (Rev01)" xfId="693"/>
    <cellStyle name="_Marbofloxacin (Project Costing) new process_PEIF- Fmoc-DBAl-OH final" xfId="694"/>
    <cellStyle name="_Marbofloxacin (Project Costing) new process_PEIF- Fmoc-DBAl-OH final_TAG REPORT FOR SULINDAC" xfId="695"/>
    <cellStyle name="_Marbofloxacin (Project Costing) new process_PEIF for Third Party costing" xfId="696"/>
    <cellStyle name="_Marbofloxacin (Project Costing) new process_PEIF of PHX2160 (1000 Kgs) 29.09.2009" xfId="697"/>
    <cellStyle name="_Marbofloxacin (Project Costing) new process_PEIF_CLP_500 Kg &amp; 1600 Kg draft" xfId="698"/>
    <cellStyle name="_Marbofloxacin (Project Costing) new process_PEIF_NXL-104 OO - 1,5,20,50,75,100 MT - 15.06.2011 - 20.06.2011" xfId="699"/>
    <cellStyle name="_Marbofloxacin (Project Costing) new process_PHX2160 _ Back up files" xfId="700"/>
    <cellStyle name="_Marbofloxacin (Project Costing) new process_Product Costing-Rev00" xfId="701"/>
    <cellStyle name="_Marbofloxacin (Project Costing) new process_RMC" xfId="702"/>
    <cellStyle name="_Marbofloxacin (Project Costing) new process_Sorbent Therapeutics_CLP_1600 Kg_Draft" xfId="703"/>
    <cellStyle name="_Marbofloxacin (Project Costing) new process_Sorbent Therapeutics_CLP_500 Kg_Draft" xfId="704"/>
    <cellStyle name="_Marbofloxacin (Project Costing) new process_TAG REPORT FOR (S)-2-Chloromandelic acid" xfId="705"/>
    <cellStyle name="_Nateglinide-(Project Costing) Rev 1" xfId="706"/>
    <cellStyle name="_Project costing" xfId="707"/>
    <cellStyle name="_Project costing_(R)-1-Bis(trifluoromethyl)phenyl)ethanol - 14.10.09" xfId="708"/>
    <cellStyle name="_Valacyclovir (Product Costing) Rev 0 with uniform requirements" xfId="709"/>
    <cellStyle name="_Valacyclovir (Product Costing) Rev 0 with uniform requirements_PEIF_CLP_500 Kg &amp; 1600 Kg draft" xfId="710"/>
    <cellStyle name="_Valacyclovir (Product Costing) Rev 0 with uniform requirements_Sorbent Therapeutics_CLP_1600 Kg_Draft" xfId="711"/>
    <cellStyle name="_Valacyclovir (Product Costing) Rev 0 with uniform requirements_Sorbent Therapeutics_CLP_500 Kg_Draft" xfId="712"/>
    <cellStyle name="_Valsartan (Product Costing) Rev 0" xfId="713"/>
    <cellStyle name="_Valsartan (Product Costing) Rev 0_PEIF_CLP_500 Kg &amp; 1600 Kg draft" xfId="714"/>
    <cellStyle name="_Valsartan (Product Costing) Rev 0_Sorbent Therapeutics_CLP_1600 Kg_Draft" xfId="715"/>
    <cellStyle name="_Valsartan (Product Costing) Rev 0_Sorbent Therapeutics_CLP_500 Kg_Draft" xfId="716"/>
    <cellStyle name="Body" xfId="717"/>
    <cellStyle name="Comma" xfId="852" builtinId="3"/>
    <cellStyle name="Comma [0]" xfId="2" builtinId="6"/>
    <cellStyle name="Comma [0] 2" xfId="4"/>
    <cellStyle name="Comma [0] 3" xfId="9"/>
    <cellStyle name="Comma [0] 4" xfId="768"/>
    <cellStyle name="Comma [0] 4 2" xfId="793"/>
    <cellStyle name="Comma [0] 4 2 2" xfId="831"/>
    <cellStyle name="Comma [0] 4 3" xfId="806"/>
    <cellStyle name="Comma [0] 4 3 2" xfId="844"/>
    <cellStyle name="Comma [0] 4 4" xfId="780"/>
    <cellStyle name="Comma [0] 4 5" xfId="818"/>
    <cellStyle name="Comma 2" xfId="719"/>
    <cellStyle name="Comma 2 2" xfId="720"/>
    <cellStyle name="Comma 3" xfId="721"/>
    <cellStyle name="Comma 4" xfId="722"/>
    <cellStyle name="Comma 5" xfId="718"/>
    <cellStyle name="Comma 6" xfId="765"/>
    <cellStyle name="Comma 7" xfId="763"/>
    <cellStyle name="Comma 8" xfId="764"/>
    <cellStyle name="Currency [0] 2" xfId="5"/>
    <cellStyle name="Currency 2" xfId="723"/>
    <cellStyle name="Header1" xfId="724"/>
    <cellStyle name="Header2" xfId="725"/>
    <cellStyle name="Hyperlink 2" xfId="726"/>
    <cellStyle name="Hyperlink 2 2" xfId="727"/>
    <cellStyle name="Hyperlink 2_100Kgs PEIF 010609 KSM" xfId="728"/>
    <cellStyle name="Hyperlink 3" xfId="729"/>
    <cellStyle name="Hyperlink 3 2" xfId="730"/>
    <cellStyle name="Hyperlink 4" xfId="731"/>
    <cellStyle name="no dec" xfId="732"/>
    <cellStyle name="Normal" xfId="0" builtinId="0"/>
    <cellStyle name="Normal - Style1" xfId="733"/>
    <cellStyle name="Normal 10" xfId="762"/>
    <cellStyle name="Normal 11" xfId="766"/>
    <cellStyle name="Normal 12" xfId="767"/>
    <cellStyle name="Normal 13" xfId="769"/>
    <cellStyle name="Normal 13 2" xfId="794"/>
    <cellStyle name="Normal 13 2 2" xfId="832"/>
    <cellStyle name="Normal 13 3" xfId="807"/>
    <cellStyle name="Normal 13 3 2" xfId="845"/>
    <cellStyle name="Normal 13 4" xfId="781"/>
    <cellStyle name="Normal 13 5" xfId="819"/>
    <cellStyle name="Normal 2" xfId="1"/>
    <cellStyle name="Normal 2 10" xfId="776"/>
    <cellStyle name="Normal 2 11" xfId="814"/>
    <cellStyle name="Normal 2 2" xfId="6"/>
    <cellStyle name="Normal 2 3" xfId="734"/>
    <cellStyle name="Normal 2 4" xfId="735"/>
    <cellStyle name="Normal 2 4 2" xfId="736"/>
    <cellStyle name="Normal 2 5" xfId="8"/>
    <cellStyle name="Normal 2 5 2" xfId="773"/>
    <cellStyle name="Normal 2 5 2 2" xfId="798"/>
    <cellStyle name="Normal 2 5 2 2 2" xfId="836"/>
    <cellStyle name="Normal 2 5 2 3" xfId="811"/>
    <cellStyle name="Normal 2 5 2 3 2" xfId="849"/>
    <cellStyle name="Normal 2 5 2 4" xfId="785"/>
    <cellStyle name="Normal 2 5 2 5" xfId="823"/>
    <cellStyle name="Normal 2 5 3" xfId="790"/>
    <cellStyle name="Normal 2 5 3 2" xfId="828"/>
    <cellStyle name="Normal 2 5 4" xfId="803"/>
    <cellStyle name="Normal 2 5 4 2" xfId="841"/>
    <cellStyle name="Normal 2 5 5" xfId="777"/>
    <cellStyle name="Normal 2 5 6" xfId="815"/>
    <cellStyle name="Normal 2 6" xfId="770"/>
    <cellStyle name="Normal 2 6 2" xfId="795"/>
    <cellStyle name="Normal 2 6 2 2" xfId="833"/>
    <cellStyle name="Normal 2 6 3" xfId="808"/>
    <cellStyle name="Normal 2 6 3 2" xfId="846"/>
    <cellStyle name="Normal 2 6 4" xfId="782"/>
    <cellStyle name="Normal 2 6 5" xfId="820"/>
    <cellStyle name="Normal 2 7" xfId="3"/>
    <cellStyle name="Normal 2 7 2" xfId="802"/>
    <cellStyle name="Normal 2 7 2 2" xfId="840"/>
    <cellStyle name="Normal 2 7 3" xfId="789"/>
    <cellStyle name="Normal 2 7 4" xfId="827"/>
    <cellStyle name="Normal 2 8" xfId="788"/>
    <cellStyle name="Normal 2 8 2" xfId="826"/>
    <cellStyle name="Normal 2 9" xfId="801"/>
    <cellStyle name="Normal 2 9 2" xfId="839"/>
    <cellStyle name="Normal 2_Bayer - 2" xfId="737"/>
    <cellStyle name="Normal 3" xfId="738"/>
    <cellStyle name="Normal 3 2" xfId="739"/>
    <cellStyle name="Normal 3 3" xfId="740"/>
    <cellStyle name="Normal 3_Hamari-PEIF" xfId="741"/>
    <cellStyle name="Normal 4" xfId="742"/>
    <cellStyle name="Normal 4 2" xfId="743"/>
    <cellStyle name="Normal 4 2 2" xfId="744"/>
    <cellStyle name="Normal 4 2 2 2" xfId="775"/>
    <cellStyle name="Normal 4 2 2 2 2" xfId="800"/>
    <cellStyle name="Normal 4 2 2 2 2 2" xfId="838"/>
    <cellStyle name="Normal 4 2 2 2 3" xfId="813"/>
    <cellStyle name="Normal 4 2 2 2 3 2" xfId="851"/>
    <cellStyle name="Normal 4 2 2 2 4" xfId="787"/>
    <cellStyle name="Normal 4 2 2 2 5" xfId="825"/>
    <cellStyle name="Normal 4 2 2 3" xfId="772"/>
    <cellStyle name="Normal 4 2 2 3 2" xfId="797"/>
    <cellStyle name="Normal 4 2 2 3 2 2" xfId="835"/>
    <cellStyle name="Normal 4 2 2 3 3" xfId="810"/>
    <cellStyle name="Normal 4 2 2 3 3 2" xfId="848"/>
    <cellStyle name="Normal 4 2 2 3 4" xfId="784"/>
    <cellStyle name="Normal 4 2 2 3 5" xfId="822"/>
    <cellStyle name="Normal 4 2 2 4" xfId="792"/>
    <cellStyle name="Normal 4 2 2 4 2" xfId="830"/>
    <cellStyle name="Normal 4 2 2 5" xfId="805"/>
    <cellStyle name="Normal 4 2 2 5 2" xfId="843"/>
    <cellStyle name="Normal 4 2 2 6" xfId="779"/>
    <cellStyle name="Normal 4 2 2 7" xfId="817"/>
    <cellStyle name="Normal 4 3" xfId="774"/>
    <cellStyle name="Normal 4 3 2" xfId="799"/>
    <cellStyle name="Normal 4 3 2 2" xfId="837"/>
    <cellStyle name="Normal 4 3 3" xfId="812"/>
    <cellStyle name="Normal 4 3 3 2" xfId="850"/>
    <cellStyle name="Normal 4 3 4" xfId="786"/>
    <cellStyle name="Normal 4 3 5" xfId="824"/>
    <cellStyle name="Normal 4 4" xfId="771"/>
    <cellStyle name="Normal 4 4 2" xfId="796"/>
    <cellStyle name="Normal 4 4 2 2" xfId="834"/>
    <cellStyle name="Normal 4 4 3" xfId="809"/>
    <cellStyle name="Normal 4 4 3 2" xfId="847"/>
    <cellStyle name="Normal 4 4 4" xfId="783"/>
    <cellStyle name="Normal 4 4 5" xfId="821"/>
    <cellStyle name="Normal 4 5" xfId="791"/>
    <cellStyle name="Normal 4 5 2" xfId="829"/>
    <cellStyle name="Normal 4 6" xfId="804"/>
    <cellStyle name="Normal 4 6 2" xfId="842"/>
    <cellStyle name="Normal 4 7" xfId="778"/>
    <cellStyle name="Normal 4 8" xfId="816"/>
    <cellStyle name="Normal 5" xfId="745"/>
    <cellStyle name="Normal 6" xfId="746"/>
    <cellStyle name="Normal 7" xfId="747"/>
    <cellStyle name="Normal 8" xfId="748"/>
    <cellStyle name="Normal 9" xfId="749"/>
    <cellStyle name="Percent 2" xfId="751"/>
    <cellStyle name="Percent 2 2" xfId="752"/>
    <cellStyle name="Percent 2 3" xfId="753"/>
    <cellStyle name="Percent 3" xfId="754"/>
    <cellStyle name="Percent 4" xfId="755"/>
    <cellStyle name="Percent 5" xfId="756"/>
    <cellStyle name="Percent 6" xfId="750"/>
    <cellStyle name="Percent 7" xfId="7"/>
    <cellStyle name="Style 1" xfId="757"/>
    <cellStyle name="Style 1 2" xfId="758"/>
    <cellStyle name="Style 1 3" xfId="759"/>
    <cellStyle name="Style 1_~7350499" xfId="760"/>
    <cellStyle name="常规_(R)-N-Boc-allylglycine " xfId="761"/>
  </cellStyles>
  <dxfs count="512">
    <dxf>
      <font>
        <color auto="1"/>
      </font>
      <fill>
        <patternFill>
          <bgColor theme="2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color rgb="FFCF6341"/>
      </font>
    </dxf>
    <dxf>
      <font>
        <b val="0"/>
        <i val="0"/>
        <color rgb="FFCF6341"/>
      </font>
    </dxf>
    <dxf>
      <font>
        <b val="0"/>
        <i val="0"/>
        <color rgb="FFCF634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1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color auto="1"/>
      </font>
    </dxf>
    <dxf>
      <font>
        <b/>
        <i val="0"/>
        <color rgb="FFFFC00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rgb="FFFFC00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ont>
        <b/>
        <i val="0"/>
        <color auto="1"/>
      </font>
      <fill>
        <patternFill>
          <bgColor theme="3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0"/>
      </font>
      <fill>
        <patternFill>
          <bgColor rgb="FFFF0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theme="1"/>
      </font>
      <fill>
        <patternFill>
          <fgColor theme="4"/>
          <bgColor theme="7" tint="0.79998168889431442"/>
        </patternFill>
      </fill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fill>
        <patternFill patternType="solid"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fill>
        <patternFill>
          <bgColor theme="9" tint="0.5999633777886288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3" tint="-0.24994659260841701"/>
      </font>
    </dxf>
    <dxf>
      <font>
        <color theme="3" tint="-0.24994659260841701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17" formatCode="0.0&quot;g&quot;"/>
    </dxf>
    <dxf>
      <numFmt numFmtId="218" formatCode="0&quot;Nos.&quot;"/>
    </dxf>
    <dxf>
      <numFmt numFmtId="219" formatCode="0.0&quot;kg&quot;"/>
    </dxf>
    <dxf>
      <font>
        <color theme="3" tint="-0.24994659260841701"/>
      </font>
    </dxf>
    <dxf>
      <font>
        <color theme="3" tint="-0.499984740745262"/>
      </font>
    </dxf>
    <dxf>
      <font>
        <color theme="4" tint="0.79998168889431442"/>
      </font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numFmt numFmtId="201" formatCode="0\ &quot;manhrs&quot;"/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theme="0" tint="-0.24994659260841701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theme="3" tint="-0.24994659260841701"/>
      </font>
    </dxf>
    <dxf>
      <font>
        <color theme="3" tint="-0.499984740745262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numFmt numFmtId="220" formatCode="0.###&quot; gm&quot;"/>
    </dxf>
    <dxf>
      <numFmt numFmtId="220" formatCode="0.###&quot; gm&quot;"/>
    </dxf>
    <dxf>
      <font>
        <color theme="3" tint="-0.24994659260841701"/>
      </font>
    </dxf>
    <dxf>
      <font>
        <color theme="3" tint="-0.24994659260841701"/>
      </font>
    </dxf>
    <dxf>
      <font>
        <color theme="3" tint="-0.24994659260841701"/>
      </font>
    </dxf>
    <dxf>
      <font>
        <color theme="3" tint="-0.24994659260841701"/>
      </font>
    </dxf>
    <dxf>
      <numFmt numFmtId="201" formatCode="0\ &quot;manhr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numFmt numFmtId="184" formatCode="0.#\ &quot;days&quot;"/>
    </dxf>
    <dxf>
      <font>
        <color theme="3" tint="-0.499984740745262"/>
      </font>
    </dxf>
    <dxf>
      <font>
        <color theme="3" tint="-0.24994659260841701"/>
      </font>
    </dxf>
    <dxf>
      <font>
        <color theme="3" tint="-0.499984740745262"/>
      </font>
    </dxf>
    <dxf>
      <numFmt numFmtId="217" formatCode="0.0&quot;g&quot;"/>
    </dxf>
    <dxf>
      <numFmt numFmtId="218" formatCode="0&quot;Nos.&quot;"/>
    </dxf>
    <dxf>
      <numFmt numFmtId="219" formatCode="0.0&quot;kg&quot;"/>
    </dxf>
    <dxf>
      <font>
        <color theme="3" tint="-0.24994659260841701"/>
      </font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66"/>
        </bottom>
        <vertical/>
        <horizontal/>
      </border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00"/>
        </bottom>
        <vertical/>
        <horizontal/>
      </border>
    </dxf>
    <dxf>
      <font>
        <b/>
        <i val="0"/>
        <color auto="1"/>
      </font>
      <fill>
        <patternFill>
          <bgColor theme="6" tint="0.39994506668294322"/>
        </patternFill>
      </fill>
      <border>
        <left/>
        <right/>
        <top/>
        <bottom style="thin">
          <color rgb="FFFFCC66"/>
        </bottom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color theme="0"/>
      </font>
    </dxf>
    <dxf>
      <font>
        <color auto="1"/>
      </font>
    </dxf>
    <dxf>
      <font>
        <color theme="0"/>
      </font>
    </dxf>
    <dxf>
      <font>
        <color rgb="FFFFFF00"/>
      </font>
    </dxf>
    <dxf>
      <font>
        <color auto="1"/>
      </font>
    </dxf>
    <dxf>
      <font>
        <color theme="0"/>
      </font>
    </dxf>
    <dxf>
      <font>
        <color rgb="FFFFFF00"/>
      </font>
    </dxf>
    <dxf>
      <font>
        <color auto="1"/>
      </font>
    </dxf>
    <dxf>
      <font>
        <b/>
        <i val="0"/>
        <color rgb="FFFFFF00"/>
      </font>
    </dxf>
    <dxf>
      <font>
        <color theme="0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numFmt numFmtId="213" formatCode="0.###&quot; µg&quot;"/>
    </dxf>
    <dxf>
      <numFmt numFmtId="214" formatCode="0.###&quot; mEq&quot;"/>
    </dxf>
    <dxf>
      <numFmt numFmtId="212" formatCode="0.###&quot; mg&quot;"/>
    </dxf>
    <dxf>
      <numFmt numFmtId="215" formatCode="0.###&quot; mg/ml&quot;"/>
    </dxf>
    <dxf>
      <numFmt numFmtId="216" formatCode="0.###&quot; mg/vial&quot;"/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</dxf>
    <dxf>
      <font>
        <color theme="8" tint="0.79998168889431442"/>
      </font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vertical/>
        <horizontal/>
      </border>
    </dxf>
    <dxf>
      <font>
        <b/>
        <i val="0"/>
        <color auto="1"/>
      </font>
      <fill>
        <patternFill>
          <bgColor theme="3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9" defaultPivotStyle="PivotStyleLight16"/>
  <colors>
    <mruColors>
      <color rgb="FF0000FF"/>
      <color rgb="FFFFCC66"/>
      <color rgb="FFCF6341"/>
      <color rgb="FFFF7C80"/>
      <color rgb="FFFFCC00"/>
      <color rgb="FF660033"/>
      <color rgb="FF231A2C"/>
      <color rgb="FF1636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'2.1.FDGL-US'!$C$69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'2.1.FDGL-US'!$D$69:$O$69</c:f>
              <c:numCache>
                <c:formatCode>"₹"\ #,##0.00</c:formatCode>
                <c:ptCount val="12"/>
                <c:pt idx="0">
                  <c:v>45000</c:v>
                </c:pt>
                <c:pt idx="1">
                  <c:v>90000</c:v>
                </c:pt>
                <c:pt idx="2">
                  <c:v>135000</c:v>
                </c:pt>
                <c:pt idx="3">
                  <c:v>180000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060-8C09-EB335AE61D8E}"/>
            </c:ext>
          </c:extLst>
        </c:ser>
        <c:ser>
          <c:idx val="1"/>
          <c:order val="1"/>
          <c:tx>
            <c:strRef>
              <c:f>'2.1.FDGL-US'!$C$70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'2.1.FDGL-US'!$D$70:$O$70</c:f>
              <c:numCache>
                <c:formatCode>"₹"\ #,##0.00</c:formatCode>
                <c:ptCount val="12"/>
                <c:pt idx="0">
                  <c:v>90000</c:v>
                </c:pt>
                <c:pt idx="1">
                  <c:v>180000</c:v>
                </c:pt>
                <c:pt idx="2">
                  <c:v>270000</c:v>
                </c:pt>
                <c:pt idx="3">
                  <c:v>360000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1-4060-8C09-EB335AE61D8E}"/>
            </c:ext>
          </c:extLst>
        </c:ser>
        <c:ser>
          <c:idx val="2"/>
          <c:order val="2"/>
          <c:tx>
            <c:strRef>
              <c:f>'2.1.FDGL-US'!$C$71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'2.1.FDGL-US'!$D$71:$O$71</c:f>
              <c:numCache>
                <c:formatCode>"₹"\ #,##0.00</c:formatCode>
                <c:ptCount val="12"/>
                <c:pt idx="0">
                  <c:v>279000</c:v>
                </c:pt>
                <c:pt idx="1">
                  <c:v>558000</c:v>
                </c:pt>
                <c:pt idx="2">
                  <c:v>837000</c:v>
                </c:pt>
                <c:pt idx="3">
                  <c:v>1116000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71-4060-8C09-EB335AE61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5320928"/>
        <c:axId val="2065323104"/>
      </c:barChart>
      <c:catAx>
        <c:axId val="2065320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5323104"/>
        <c:crosses val="autoZero"/>
        <c:auto val="1"/>
        <c:lblAlgn val="ctr"/>
        <c:lblOffset val="100"/>
        <c:noMultiLvlLbl val="0"/>
      </c:catAx>
      <c:valAx>
        <c:axId val="2065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1"/>
          <c:order val="0"/>
          <c:tx>
            <c:v>Commercial API Cost</c:v>
          </c:tx>
          <c:spPr>
            <a:solidFill>
              <a:srgbClr val="00206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Graphs!$D$100:$O$100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2-44E9-BBEC-F0BC4B874FC6}"/>
            </c:ext>
          </c:extLst>
        </c:ser>
        <c:ser>
          <c:idx val="0"/>
          <c:order val="1"/>
          <c:tx>
            <c:v>Projected Comm.      Batch Cost                                                  </c:v>
          </c:tx>
          <c:spPr>
            <a:solidFill>
              <a:srgbClr val="FFC00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Graphs!$D$107:$O$107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2-44E9-BBEC-F0BC4B874FC6}"/>
            </c:ext>
          </c:extLst>
        </c:ser>
        <c:ser>
          <c:idx val="2"/>
          <c:order val="2"/>
          <c:tx>
            <c:strRef>
              <c:f>Graphs!$C$9</c:f>
              <c:strCache>
                <c:ptCount val="1"/>
                <c:pt idx="0">
                  <c:v>Potential Revenue (INR)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Graphs!$D$9:$O$9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2-44E9-BBEC-F0BC4B874FC6}"/>
            </c:ext>
          </c:extLst>
        </c:ser>
        <c:ser>
          <c:idx val="3"/>
          <c:order val="3"/>
          <c:tx>
            <c:strRef>
              <c:f>Graphs!$C$10</c:f>
              <c:strCache>
                <c:ptCount val="1"/>
                <c:pt idx="0">
                  <c:v>Development Exp</c:v>
                </c:pt>
              </c:strCache>
            </c:strRef>
          </c:tx>
          <c:spPr>
            <a:solidFill>
              <a:srgbClr val="CF6341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Graphs!$D$10:$O$10</c:f>
              <c:numCache>
                <c:formatCode>General</c:formatCode>
                <c:ptCount val="12"/>
                <c:pt idx="0">
                  <c:v>44.604799179999993</c:v>
                </c:pt>
                <c:pt idx="1">
                  <c:v>39.311609249999997</c:v>
                </c:pt>
                <c:pt idx="2">
                  <c:v>42.878814460000008</c:v>
                </c:pt>
                <c:pt idx="3">
                  <c:v>68.065730559999992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2-44E9-BBEC-F0BC4B87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0466528"/>
        <c:axId val="2110462720"/>
      </c:barChart>
      <c:catAx>
        <c:axId val="2110466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0462720"/>
        <c:crosses val="autoZero"/>
        <c:auto val="1"/>
        <c:lblAlgn val="ctr"/>
        <c:lblOffset val="100"/>
        <c:noMultiLvlLbl val="0"/>
      </c:catAx>
      <c:valAx>
        <c:axId val="21104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46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55888313127974909"/>
          <c:w val="0.10656058554948857"/>
          <c:h val="0.4307539715048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Graphs!$C$143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Graphs!$D$143:$O$143</c:f>
              <c:numCache>
                <c:formatCode>"₹"\ #,##0.00</c:formatCode>
                <c:ptCount val="12"/>
                <c:pt idx="0">
                  <c:v>4782.165</c:v>
                </c:pt>
                <c:pt idx="1">
                  <c:v>7356.1875</c:v>
                </c:pt>
                <c:pt idx="2">
                  <c:v>9934.505000000001</c:v>
                </c:pt>
                <c:pt idx="3">
                  <c:v>12509.68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0-4375-A6CD-563F2C408B9A}"/>
            </c:ext>
          </c:extLst>
        </c:ser>
        <c:ser>
          <c:idx val="1"/>
          <c:order val="1"/>
          <c:tx>
            <c:strRef>
              <c:f>Graphs!$C$144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Graphs!$D$144:$O$144</c:f>
              <c:numCache>
                <c:formatCode>"₹"\ #,##0.00</c:formatCode>
                <c:ptCount val="12"/>
                <c:pt idx="0">
                  <c:v>8829.33</c:v>
                </c:pt>
                <c:pt idx="1">
                  <c:v>13977.375</c:v>
                </c:pt>
                <c:pt idx="2">
                  <c:v>19134.010000000002</c:v>
                </c:pt>
                <c:pt idx="3">
                  <c:v>24284.36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0-4375-A6CD-563F2C408B9A}"/>
            </c:ext>
          </c:extLst>
        </c:ser>
        <c:ser>
          <c:idx val="2"/>
          <c:order val="2"/>
          <c:tx>
            <c:strRef>
              <c:f>Graphs!$C$145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Graphs!$D$145:$O$145</c:f>
              <c:numCache>
                <c:formatCode>"₹"\ #,##0.00</c:formatCode>
                <c:ptCount val="12"/>
                <c:pt idx="0">
                  <c:v>126228.423</c:v>
                </c:pt>
                <c:pt idx="1">
                  <c:v>142187.36249999999</c:v>
                </c:pt>
                <c:pt idx="2">
                  <c:v>158172.93099999998</c:v>
                </c:pt>
                <c:pt idx="3">
                  <c:v>174139.016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0-4375-A6CD-563F2C40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65318208"/>
        <c:axId val="2065318752"/>
      </c:barChart>
      <c:catAx>
        <c:axId val="2065318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5318752"/>
        <c:crosses val="autoZero"/>
        <c:auto val="1"/>
        <c:lblAlgn val="ctr"/>
        <c:lblOffset val="100"/>
        <c:noMultiLvlLbl val="0"/>
      </c:catAx>
      <c:valAx>
        <c:axId val="2065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31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'2.1.FDGL-US'!$C$268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'2.1.FDGL-US'!$D$268:$O$268</c:f>
              <c:numCache>
                <c:formatCode>"₹"\ #,##0</c:formatCode>
                <c:ptCount val="12"/>
                <c:pt idx="0">
                  <c:v>366000</c:v>
                </c:pt>
                <c:pt idx="1">
                  <c:v>299000</c:v>
                </c:pt>
                <c:pt idx="2">
                  <c:v>299000</c:v>
                </c:pt>
                <c:pt idx="3">
                  <c:v>299000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C-4EC7-93F5-19E8BE6B8C6C}"/>
            </c:ext>
          </c:extLst>
        </c:ser>
        <c:ser>
          <c:idx val="1"/>
          <c:order val="1"/>
          <c:tx>
            <c:strRef>
              <c:f>'2.1.FDGL-US'!$C$269</c:f>
              <c:strCache>
                <c:ptCount val="1"/>
                <c:pt idx="0">
                  <c:v>Scale up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'2.1.FDGL-US'!$D$269:$O$269</c:f>
              <c:numCache>
                <c:formatCode>"₹"\ #,##0</c:formatCode>
                <c:ptCount val="12"/>
                <c:pt idx="0">
                  <c:v>178750</c:v>
                </c:pt>
                <c:pt idx="1">
                  <c:v>178750</c:v>
                </c:pt>
                <c:pt idx="2">
                  <c:v>178750</c:v>
                </c:pt>
                <c:pt idx="3">
                  <c:v>178750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C-4EC7-93F5-19E8BE6B8C6C}"/>
            </c:ext>
          </c:extLst>
        </c:ser>
        <c:ser>
          <c:idx val="2"/>
          <c:order val="2"/>
          <c:tx>
            <c:strRef>
              <c:f>'2.1.FDGL-US'!$C$270</c:f>
              <c:strCache>
                <c:ptCount val="1"/>
                <c:pt idx="0">
                  <c:v>Exhibit Batch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'2.1.FDGL-US'!$D$270:$O$270</c:f>
              <c:numCache>
                <c:formatCode>"₹"\ #,##0</c:formatCode>
                <c:ptCount val="12"/>
                <c:pt idx="0">
                  <c:v>600750</c:v>
                </c:pt>
                <c:pt idx="1">
                  <c:v>600750</c:v>
                </c:pt>
                <c:pt idx="2">
                  <c:v>600750</c:v>
                </c:pt>
                <c:pt idx="3">
                  <c:v>600750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1C-4EC7-93F5-19E8BE6B8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3868128"/>
        <c:axId val="2113878464"/>
      </c:barChart>
      <c:catAx>
        <c:axId val="21138681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8464"/>
        <c:crosses val="autoZero"/>
        <c:auto val="1"/>
        <c:lblAlgn val="ctr"/>
        <c:lblOffset val="100"/>
        <c:noMultiLvlLbl val="0"/>
      </c:catAx>
      <c:valAx>
        <c:axId val="21138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6.7894240831759614E-2"/>
          <c:h val="0.64348251629098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'2.1.FDGL-US'!$C$283</c:f>
              <c:strCache>
                <c:ptCount val="1"/>
                <c:pt idx="0">
                  <c:v>Prototype</c:v>
                </c:pt>
              </c:strCache>
            </c:strRef>
          </c:tx>
          <c:spPr>
            <a:solidFill>
              <a:prstClr val="black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'2.1.FDGL-US'!$D$283:$O$283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2-4651-A4A3-4A3438DA8B93}"/>
            </c:ext>
          </c:extLst>
        </c:ser>
        <c:ser>
          <c:idx val="1"/>
          <c:order val="1"/>
          <c:tx>
            <c:strRef>
              <c:f>'2.1.FDGL-US'!$C$284</c:f>
              <c:strCache>
                <c:ptCount val="1"/>
                <c:pt idx="0">
                  <c:v>Pilot Study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'2.1.FDGL-US'!$D$284:$O$284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B2-4651-A4A3-4A3438DA8B93}"/>
            </c:ext>
          </c:extLst>
        </c:ser>
        <c:ser>
          <c:idx val="2"/>
          <c:order val="2"/>
          <c:tx>
            <c:strRef>
              <c:f>'2.1.FDGL-US'!$C$285</c:f>
              <c:strCache>
                <c:ptCount val="1"/>
                <c:pt idx="0">
                  <c:v>Pivotal Study</c:v>
                </c:pt>
              </c:strCache>
            </c:strRef>
          </c:tx>
          <c:spPr>
            <a:pattFill prst="pct50">
              <a:fgClr>
                <a:prstClr val="black"/>
              </a:fgClr>
              <a:bgClr>
                <a:prstClr val="white"/>
              </a:bgClr>
            </a:patt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'2.1.FDGL-US'!$D$285:$O$285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B2-4651-A4A3-4A3438DA8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3863232"/>
        <c:axId val="2113871936"/>
      </c:barChart>
      <c:catAx>
        <c:axId val="2113863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1936"/>
        <c:crosses val="autoZero"/>
        <c:auto val="1"/>
        <c:lblAlgn val="ctr"/>
        <c:lblOffset val="100"/>
        <c:noMultiLvlLbl val="0"/>
      </c:catAx>
      <c:valAx>
        <c:axId val="21138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76106306494306E-4"/>
          <c:y val="0.33528290211011763"/>
          <c:w val="7.3917196878210564E-2"/>
          <c:h val="0.66471720307923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86-45A3-8DDE-43B99D6BAE6E}"/>
              </c:ext>
            </c:extLst>
          </c:dPt>
          <c:dPt>
            <c:idx val="1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86-45A3-8DDE-43B99D6BAE6E}"/>
              </c:ext>
            </c:extLst>
          </c:dPt>
          <c:dPt>
            <c:idx val="2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86-45A3-8DDE-43B99D6BAE6E}"/>
              </c:ext>
            </c:extLst>
          </c:dPt>
          <c:dPt>
            <c:idx val="3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86-45A3-8DDE-43B99D6BAE6E}"/>
              </c:ext>
            </c:extLst>
          </c:dPt>
          <c:dPt>
            <c:idx val="4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86-45A3-8DDE-43B99D6BAE6E}"/>
              </c:ext>
            </c:extLst>
          </c:dPt>
          <c:dPt>
            <c:idx val="5"/>
            <c:bubble3D val="0"/>
            <c:spPr>
              <a:ln w="19050" cap="rnd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86-45A3-8DDE-43B99D6BAE6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  <c15:showLeaderLines val="0"/>
              </c:ext>
            </c:extLst>
          </c:dLbls>
          <c:xVal>
            <c:strRef>
              <c:f>'2.1.FDGL-US'!$B$385:$B$390</c:f>
              <c:strCache>
                <c:ptCount val="6"/>
                <c:pt idx="0">
                  <c:v>Feasibility</c:v>
                </c:pt>
                <c:pt idx="1">
                  <c:v>Prototype Development</c:v>
                </c:pt>
                <c:pt idx="2">
                  <c:v>R&amp;D Scale Up</c:v>
                </c:pt>
                <c:pt idx="3">
                  <c:v>AMV/AMT</c:v>
                </c:pt>
                <c:pt idx="4">
                  <c:v>Exhibit &amp; Stability</c:v>
                </c:pt>
                <c:pt idx="5">
                  <c:v>Filing</c:v>
                </c:pt>
              </c:strCache>
            </c:strRef>
          </c:xVal>
          <c:yVal>
            <c:numRef>
              <c:f>'2.1.FDGL-US'!$P$385:$P$390</c:f>
              <c:numCache>
                <c:formatCode>"₹"\ #,##0</c:formatCode>
                <c:ptCount val="6"/>
                <c:pt idx="0">
                  <c:v>49679.999999999993</c:v>
                </c:pt>
                <c:pt idx="1">
                  <c:v>4958462.5374999996</c:v>
                </c:pt>
                <c:pt idx="2">
                  <c:v>2960425.0750000002</c:v>
                </c:pt>
                <c:pt idx="3">
                  <c:v>943000</c:v>
                </c:pt>
                <c:pt idx="4">
                  <c:v>10531327.732499998</c:v>
                </c:pt>
                <c:pt idx="5">
                  <c:v>43200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486-45A3-8DDE-43B99D6BA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72480"/>
        <c:axId val="21138703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8575" cap="rnd">
                    <a:solidFill>
                      <a:schemeClr val="bg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Pt>
                  <c:idx val="0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486-45A3-8DDE-43B99D6BAE6E}"/>
                    </c:ext>
                  </c:extLst>
                </c:dPt>
                <c:dPt>
                  <c:idx val="1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486-45A3-8DDE-43B99D6BAE6E}"/>
                    </c:ext>
                  </c:extLst>
                </c:dPt>
                <c:dPt>
                  <c:idx val="2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4486-45A3-8DDE-43B99D6BAE6E}"/>
                    </c:ext>
                  </c:extLst>
                </c:dPt>
                <c:dPt>
                  <c:idx val="3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4486-45A3-8DDE-43B99D6BAE6E}"/>
                    </c:ext>
                  </c:extLst>
                </c:dPt>
                <c:dPt>
                  <c:idx val="4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6-4486-45A3-8DDE-43B99D6BAE6E}"/>
                    </c:ext>
                  </c:extLst>
                </c:dPt>
                <c:dPt>
                  <c:idx val="5"/>
                  <c:bubble3D val="0"/>
                  <c:spPr>
                    <a:ln w="19050" cap="rnd">
                      <a:solidFill>
                        <a:schemeClr val="bg1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8-4486-45A3-8DDE-43B99D6BAE6E}"/>
                    </c:ext>
                  </c:extLst>
                </c:dPt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  <c15:showLeaderLines val="0"/>
                    </c:ext>
                  </c:extLst>
                </c:dLbls>
                <c:xVal>
                  <c:strRef>
                    <c:extLst>
                      <c:ext uri="{02D57815-91ED-43cb-92C2-25804820EDAC}">
                        <c15:formulaRef>
                          <c15:sqref>'2.1.FDGL-US'!$B$385:$B$390</c15:sqref>
                        </c15:formulaRef>
                      </c:ext>
                    </c:extLst>
                    <c:strCache>
                      <c:ptCount val="6"/>
                      <c:pt idx="0">
                        <c:v>Feasibility</c:v>
                      </c:pt>
                      <c:pt idx="1">
                        <c:v>Prototype Development</c:v>
                      </c:pt>
                      <c:pt idx="2">
                        <c:v>R&amp;D Scale Up</c:v>
                      </c:pt>
                      <c:pt idx="3">
                        <c:v>AMV/AMT</c:v>
                      </c:pt>
                      <c:pt idx="4">
                        <c:v>Exhibit &amp; Stability</c:v>
                      </c:pt>
                      <c:pt idx="5">
                        <c:v>Filing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'2.1.FDGL-US'!$C$385:$C$390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4486-45A3-8DDE-43B99D6BAE6E}"/>
                  </c:ext>
                </c:extLst>
              </c15:ser>
            </c15:filteredScatterSeries>
          </c:ext>
        </c:extLst>
      </c:scatterChart>
      <c:valAx>
        <c:axId val="211387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870304"/>
        <c:crosses val="autoZero"/>
        <c:crossBetween val="midCat"/>
      </c:valAx>
      <c:valAx>
        <c:axId val="2113870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30000"/>
                </a:sysClr>
              </a:solidFill>
              <a:round/>
            </a:ln>
            <a:effectLst/>
          </c:spPr>
        </c:majorGridlines>
        <c:numFmt formatCode="&quot;₹&quot;\ #,##0" sourceLinked="1"/>
        <c:majorTickMark val="out"/>
        <c:minorTickMark val="none"/>
        <c:tickLblPos val="nextTo"/>
        <c:crossAx val="211387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Graphs!$C$9</c:f>
              <c:strCache>
                <c:ptCount val="1"/>
                <c:pt idx="0">
                  <c:v>Potential Revenue (INR)</c:v>
                </c:pt>
              </c:strCache>
            </c:strRef>
          </c:tx>
          <c:spPr>
            <a:solidFill>
              <a:srgbClr val="92D05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Graphs!$D$9:$O$9</c:f>
              <c:numCache>
                <c:formatCode>"₹"\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F-481F-A184-82F0A9CD278D}"/>
            </c:ext>
          </c:extLst>
        </c:ser>
        <c:ser>
          <c:idx val="1"/>
          <c:order val="1"/>
          <c:tx>
            <c:strRef>
              <c:f>Graphs!$C$10</c:f>
              <c:strCache>
                <c:ptCount val="1"/>
                <c:pt idx="0">
                  <c:v>Development Exp</c:v>
                </c:pt>
              </c:strCache>
            </c:strRef>
          </c:tx>
          <c:spPr>
            <a:solidFill>
              <a:prstClr val="white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Graphs!$D$10:$O$10</c:f>
              <c:numCache>
                <c:formatCode>General</c:formatCode>
                <c:ptCount val="12"/>
                <c:pt idx="0">
                  <c:v>44.604799179999993</c:v>
                </c:pt>
                <c:pt idx="1">
                  <c:v>39.311609249999997</c:v>
                </c:pt>
                <c:pt idx="2">
                  <c:v>42.878814460000008</c:v>
                </c:pt>
                <c:pt idx="3">
                  <c:v>68.065730559999992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F-481F-A184-82F0A9CD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871392"/>
        <c:axId val="2113875200"/>
      </c:barChart>
      <c:catAx>
        <c:axId val="211387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5200"/>
        <c:crosses val="autoZero"/>
        <c:auto val="1"/>
        <c:lblAlgn val="ctr"/>
        <c:lblOffset val="100"/>
        <c:noMultiLvlLbl val="0"/>
      </c:catAx>
      <c:valAx>
        <c:axId val="21138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2671677060748007E-3"/>
          <c:y val="0.48742299845629555"/>
          <c:w val="8.9102829669785055E-2"/>
          <c:h val="0.19796904039664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4D-44B9-BB53-29E5E1BCDC3D}"/>
              </c:ext>
            </c:extLst>
          </c:dPt>
          <c:dPt>
            <c:idx val="1"/>
            <c:bubble3D val="0"/>
            <c:spPr>
              <a:solidFill>
                <a:prstClr val="white"/>
              </a:solidFill>
              <a:ln w="25400">
                <a:solidFill>
                  <a:schemeClr val="bg1"/>
                </a:solidFill>
              </a:ln>
              <a:effectLst/>
              <a:sp3d contourW="25400">
                <a:contourClr>
                  <a:schemeClr val="bg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4D-44B9-BB53-29E5E1BCDC3D}"/>
              </c:ext>
            </c:extLst>
          </c:dPt>
          <c:val>
            <c:numRef>
              <c:f>Graphs!$P$58:$P$59</c:f>
              <c:numCache>
                <c:formatCode>General</c:formatCode>
                <c:ptCount val="2"/>
                <c:pt idx="0" formatCode="&quot;₹&quot;\ #,##0.00">
                  <c:v>0</c:v>
                </c:pt>
                <c:pt idx="1">
                  <c:v>194.86095344999998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4D-44B9-BB53-29E5E1BCD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92351951245552"/>
          <c:y val="9.1075982199670683E-2"/>
          <c:w val="0.85807648048754448"/>
          <c:h val="0.85180152810536947"/>
        </c:manualLayout>
      </c:layout>
      <c:barChart>
        <c:barDir val="col"/>
        <c:grouping val="clustered"/>
        <c:varyColors val="0"/>
        <c:ser>
          <c:idx val="0"/>
          <c:order val="0"/>
          <c:tx>
            <c:v>Commercial Batch (Per Qtr)</c:v>
          </c:tx>
          <c:spPr>
            <a:solidFill>
              <a:srgbClr val="FFC000"/>
            </a:solidFill>
            <a:ln>
              <a:solidFill>
                <a:prstClr val="black"/>
              </a:solidFill>
            </a:ln>
            <a:effectLst/>
          </c:spPr>
          <c:invertIfNegative val="0"/>
          <c:val>
            <c:numRef>
              <c:f>'1.PM'!$C$27:$N$27</c:f>
              <c:numCache>
                <c:formatCode>_ * #,##0_ ;_ * \-#,##0_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C-4E96-A35A-E2B8BE360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13867040"/>
        <c:axId val="2113875744"/>
      </c:barChart>
      <c:catAx>
        <c:axId val="2113867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3875744"/>
        <c:crosses val="autoZero"/>
        <c:auto val="1"/>
        <c:lblAlgn val="ctr"/>
        <c:lblOffset val="100"/>
        <c:noMultiLvlLbl val="0"/>
      </c:catAx>
      <c:valAx>
        <c:axId val="21138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67040"/>
        <c:crosses val="autoZero"/>
        <c:crossBetween val="between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741519004439354"/>
          <c:w val="9.443676230402609E-2"/>
          <c:h val="0.19796904039664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3"/>
          <c:order val="3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65000"/>
                    <a:lumOff val="35000"/>
                  </a:sysClr>
                </a:solidFill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'Project Charter.'!$C$11:$C$19</c:f>
              <c:strCache>
                <c:ptCount val="9"/>
                <c:pt idx="0">
                  <c:v>Total Manpower Cost</c:v>
                </c:pt>
                <c:pt idx="1">
                  <c:v>Total Raw material Cost</c:v>
                </c:pt>
                <c:pt idx="2">
                  <c:v>Plant Support Cost</c:v>
                </c:pt>
                <c:pt idx="3">
                  <c:v>Reference Product Cost</c:v>
                </c:pt>
                <c:pt idx="4">
                  <c:v>Analytical Cost</c:v>
                </c:pt>
                <c:pt idx="5">
                  <c:v>Bio Study Cost *</c:v>
                </c:pt>
                <c:pt idx="6">
                  <c:v>Toolings &amp; Change Parts</c:v>
                </c:pt>
                <c:pt idx="7">
                  <c:v>Other Expenses</c:v>
                </c:pt>
                <c:pt idx="8">
                  <c:v>Filing Expenses</c:v>
                </c:pt>
              </c:strCache>
            </c:strRef>
          </c:cat>
          <c:val>
            <c:numRef>
              <c:f>'Project Charter.'!$H$11:$H$19</c:f>
              <c:numCache>
                <c:formatCode>_-[$₹-861]* #,##0.00_-;\-[$₹-861]* #,##0.00_-;_-[$₹-861]* "-"??_-;_-@_-</c:formatCode>
                <c:ptCount val="9"/>
                <c:pt idx="0">
                  <c:v>41.925600000000003</c:v>
                </c:pt>
                <c:pt idx="1">
                  <c:v>48.415353449999998</c:v>
                </c:pt>
                <c:pt idx="2">
                  <c:v>26.88</c:v>
                </c:pt>
                <c:pt idx="3">
                  <c:v>3</c:v>
                </c:pt>
                <c:pt idx="4">
                  <c:v>50.81</c:v>
                </c:pt>
                <c:pt idx="5">
                  <c:v>20</c:v>
                </c:pt>
                <c:pt idx="6">
                  <c:v>5.64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C-4332-9965-426C7D00E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cat>
                  <c:strRef>
                    <c:extLst>
                      <c:ext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'Project Charter.'!$E$11:$E$19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10.605600000000001</c:v>
                      </c:pt>
                      <c:pt idx="1">
                        <c:v>4.8458253749999995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12.63</c:v>
                      </c:pt>
                      <c:pt idx="5">
                        <c:v>20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43C-4332-9965-426C7D00EA20}"/>
                  </c:ext>
                </c:extLst>
              </c15:ser>
            </c15:filteredPieSeries>
            <c15:filteredPieSeries>
              <c15:ser>
                <c:idx val="1"/>
                <c:order val="1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Charter.'!$F$11:$F$19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0.432</c:v>
                      </c:pt>
                      <c:pt idx="1">
                        <c:v>9.6622507500000001</c:v>
                      </c:pt>
                      <c:pt idx="2">
                        <c:v>6.72</c:v>
                      </c:pt>
                      <c:pt idx="3">
                        <c:v>0</c:v>
                      </c:pt>
                      <c:pt idx="4">
                        <c:v>7.15</c:v>
                      </c:pt>
                      <c:pt idx="5">
                        <c:v>0</c:v>
                      </c:pt>
                      <c:pt idx="6">
                        <c:v>5.64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3C-4332-9965-426C7D00EA20}"/>
                  </c:ext>
                </c:extLst>
              </c15:ser>
            </c15:filteredPieSeries>
            <c15:filteredPieSeries>
              <c15:ser>
                <c:idx val="2"/>
                <c:order val="2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Charter.'!$G$11:$G$19</c15:sqref>
                        </c15:formulaRef>
                      </c:ext>
                    </c:extLst>
                    <c:numCache>
                      <c:formatCode>_-[$₹-861]* #,##0.00_-;\-[$₹-861]* #,##0.00_-;_-[$₹-861]* "-"??_-;_-@_-</c:formatCode>
                      <c:ptCount val="9"/>
                      <c:pt idx="0">
                        <c:v>30.888000000000002</c:v>
                      </c:pt>
                      <c:pt idx="1">
                        <c:v>33.907277325000003</c:v>
                      </c:pt>
                      <c:pt idx="2">
                        <c:v>20.16</c:v>
                      </c:pt>
                      <c:pt idx="3">
                        <c:v>3</c:v>
                      </c:pt>
                      <c:pt idx="4">
                        <c:v>31.03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3C-4332-9965-426C7D00EA20}"/>
                  </c:ext>
                </c:extLst>
              </c15:ser>
            </c15:filteredPieSeries>
            <c15:filteredPieSeries>
              <c15:ser>
                <c:idx val="4"/>
                <c:order val="4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Charter.'!$I$15:$I$24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3C-4332-9965-426C7D00EA20}"/>
                  </c:ext>
                </c:extLst>
              </c15:ser>
            </c15:filteredPieSeries>
            <c15:filteredPieSeries>
              <c15:ser>
                <c:idx val="5"/>
                <c:order val="5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43C-4332-9965-426C7D00EA20}"/>
                  </c:ext>
                </c:extLst>
              </c15:ser>
            </c15:filteredPieSeries>
            <c15:filteredPieSeries>
              <c15:ser>
                <c:idx val="6"/>
                <c:order val="6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Charter.'!$K$19:$K$26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43C-4332-9965-426C7D00EA20}"/>
                  </c:ext>
                </c:extLst>
              </c15:ser>
            </c15:filteredPieSeries>
            <c15:filteredPieSeries>
              <c15:ser>
                <c:idx val="7"/>
                <c:order val="7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Charter.'!$C$11:$C$19</c15:sqref>
                        </c15:formulaRef>
                      </c:ext>
                    </c:extLst>
                    <c:strCache>
                      <c:ptCount val="9"/>
                      <c:pt idx="0">
                        <c:v>Total Manpower Cost</c:v>
                      </c:pt>
                      <c:pt idx="1">
                        <c:v>Total Raw material Cost</c:v>
                      </c:pt>
                      <c:pt idx="2">
                        <c:v>Plant Support Cost</c:v>
                      </c:pt>
                      <c:pt idx="3">
                        <c:v>Reference Product Cost</c:v>
                      </c:pt>
                      <c:pt idx="4">
                        <c:v>Analytical Cost</c:v>
                      </c:pt>
                      <c:pt idx="5">
                        <c:v>Bio Study Cost *</c:v>
                      </c:pt>
                      <c:pt idx="6">
                        <c:v>Toolings &amp; Change Parts</c:v>
                      </c:pt>
                      <c:pt idx="7">
                        <c:v>Other Expenses</c:v>
                      </c:pt>
                      <c:pt idx="8">
                        <c:v>Filing Expenses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'Project Charter.'!$L$19:$L$26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125</c:v>
                      </c:pt>
                      <c:pt idx="2">
                        <c:v>250</c:v>
                      </c:pt>
                      <c:pt idx="3">
                        <c:v>775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3C-4332-9965-426C7D00EA20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74932533057755046"/>
          <c:y val="1.7580713634225188E-2"/>
          <c:w val="0.24961127486270906"/>
          <c:h val="0.87177368965377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C$5" lockText="1" noThreeD="1"/>
</file>

<file path=xl/ctrlProps/ctrlProp10.xml><?xml version="1.0" encoding="utf-8"?>
<formControlPr xmlns="http://schemas.microsoft.com/office/spreadsheetml/2009/9/main" objectType="CheckBox" fmlaLink="$L$5" lockText="1" noThreeD="1"/>
</file>

<file path=xl/ctrlProps/ctrlProp100.xml><?xml version="1.0" encoding="utf-8"?>
<formControlPr xmlns="http://schemas.microsoft.com/office/spreadsheetml/2009/9/main" objectType="CheckBox" fmlaLink="$I$69" lockText="1" noThreeD="1"/>
</file>

<file path=xl/ctrlProps/ctrlProp101.xml><?xml version="1.0" encoding="utf-8"?>
<formControlPr xmlns="http://schemas.microsoft.com/office/spreadsheetml/2009/9/main" objectType="CheckBox" fmlaLink="$J$69" lockText="1" noThreeD="1"/>
</file>

<file path=xl/ctrlProps/ctrlProp102.xml><?xml version="1.0" encoding="utf-8"?>
<formControlPr xmlns="http://schemas.microsoft.com/office/spreadsheetml/2009/9/main" objectType="CheckBox" fmlaLink="$K$69" lockText="1" noThreeD="1"/>
</file>

<file path=xl/ctrlProps/ctrlProp103.xml><?xml version="1.0" encoding="utf-8"?>
<formControlPr xmlns="http://schemas.microsoft.com/office/spreadsheetml/2009/9/main" objectType="CheckBox" fmlaLink="$L$69" lockText="1" noThreeD="1"/>
</file>

<file path=xl/ctrlProps/ctrlProp104.xml><?xml version="1.0" encoding="utf-8"?>
<formControlPr xmlns="http://schemas.microsoft.com/office/spreadsheetml/2009/9/main" objectType="CheckBox" fmlaLink="$M$69" lockText="1" noThreeD="1"/>
</file>

<file path=xl/ctrlProps/ctrlProp105.xml><?xml version="1.0" encoding="utf-8"?>
<formControlPr xmlns="http://schemas.microsoft.com/office/spreadsheetml/2009/9/main" objectType="CheckBox" fmlaLink="$N$69" lockText="1" noThreeD="1"/>
</file>

<file path=xl/ctrlProps/ctrlProp106.xml><?xml version="1.0" encoding="utf-8"?>
<formControlPr xmlns="http://schemas.microsoft.com/office/spreadsheetml/2009/9/main" objectType="CheckBox" fmlaLink="$O$69" lockText="1" noThreeD="1"/>
</file>

<file path=xl/ctrlProps/ctrlProp107.xml><?xml version="1.0" encoding="utf-8"?>
<formControlPr xmlns="http://schemas.microsoft.com/office/spreadsheetml/2009/9/main" objectType="CheckBox" fmlaLink="$D$71" lockText="1" noThreeD="1"/>
</file>

<file path=xl/ctrlProps/ctrlProp108.xml><?xml version="1.0" encoding="utf-8"?>
<formControlPr xmlns="http://schemas.microsoft.com/office/spreadsheetml/2009/9/main" objectType="CheckBox" fmlaLink="$E$71" lockText="1" noThreeD="1"/>
</file>

<file path=xl/ctrlProps/ctrlProp109.xml><?xml version="1.0" encoding="utf-8"?>
<formControlPr xmlns="http://schemas.microsoft.com/office/spreadsheetml/2009/9/main" objectType="CheckBox" fmlaLink="$F$71" lockText="1" noThreeD="1"/>
</file>

<file path=xl/ctrlProps/ctrlProp11.xml><?xml version="1.0" encoding="utf-8"?>
<formControlPr xmlns="http://schemas.microsoft.com/office/spreadsheetml/2009/9/main" objectType="CheckBox" fmlaLink="$M$5" lockText="1" noThreeD="1"/>
</file>

<file path=xl/ctrlProps/ctrlProp110.xml><?xml version="1.0" encoding="utf-8"?>
<formControlPr xmlns="http://schemas.microsoft.com/office/spreadsheetml/2009/9/main" objectType="CheckBox" fmlaLink="$G$71" lockText="1" noThreeD="1"/>
</file>

<file path=xl/ctrlProps/ctrlProp111.xml><?xml version="1.0" encoding="utf-8"?>
<formControlPr xmlns="http://schemas.microsoft.com/office/spreadsheetml/2009/9/main" objectType="CheckBox" fmlaLink="$H$71" lockText="1" noThreeD="1"/>
</file>

<file path=xl/ctrlProps/ctrlProp112.xml><?xml version="1.0" encoding="utf-8"?>
<formControlPr xmlns="http://schemas.microsoft.com/office/spreadsheetml/2009/9/main" objectType="CheckBox" fmlaLink="$I$71" lockText="1" noThreeD="1"/>
</file>

<file path=xl/ctrlProps/ctrlProp113.xml><?xml version="1.0" encoding="utf-8"?>
<formControlPr xmlns="http://schemas.microsoft.com/office/spreadsheetml/2009/9/main" objectType="CheckBox" fmlaLink="$J$71" lockText="1" noThreeD="1"/>
</file>

<file path=xl/ctrlProps/ctrlProp114.xml><?xml version="1.0" encoding="utf-8"?>
<formControlPr xmlns="http://schemas.microsoft.com/office/spreadsheetml/2009/9/main" objectType="CheckBox" fmlaLink="$K$71" lockText="1" noThreeD="1"/>
</file>

<file path=xl/ctrlProps/ctrlProp115.xml><?xml version="1.0" encoding="utf-8"?>
<formControlPr xmlns="http://schemas.microsoft.com/office/spreadsheetml/2009/9/main" objectType="CheckBox" fmlaLink="$L$71" lockText="1" noThreeD="1"/>
</file>

<file path=xl/ctrlProps/ctrlProp116.xml><?xml version="1.0" encoding="utf-8"?>
<formControlPr xmlns="http://schemas.microsoft.com/office/spreadsheetml/2009/9/main" objectType="CheckBox" fmlaLink="$M$71" lockText="1" noThreeD="1"/>
</file>

<file path=xl/ctrlProps/ctrlProp117.xml><?xml version="1.0" encoding="utf-8"?>
<formControlPr xmlns="http://schemas.microsoft.com/office/spreadsheetml/2009/9/main" objectType="CheckBox" fmlaLink="$N$71" lockText="1" noThreeD="1"/>
</file>

<file path=xl/ctrlProps/ctrlProp118.xml><?xml version="1.0" encoding="utf-8"?>
<formControlPr xmlns="http://schemas.microsoft.com/office/spreadsheetml/2009/9/main" objectType="CheckBox" fmlaLink="$O$71" lockText="1" noThreeD="1"/>
</file>

<file path=xl/ctrlProps/ctrlProp119.xml><?xml version="1.0" encoding="utf-8"?>
<formControlPr xmlns="http://schemas.microsoft.com/office/spreadsheetml/2009/9/main" objectType="Spin" dx="22" fmlaLink="$B$23" max="5" page="10" val="0"/>
</file>

<file path=xl/ctrlProps/ctrlProp12.xml><?xml version="1.0" encoding="utf-8"?>
<formControlPr xmlns="http://schemas.microsoft.com/office/spreadsheetml/2009/9/main" objectType="CheckBox" fmlaLink="$N$5" lockText="1" noThreeD="1"/>
</file>

<file path=xl/ctrlProps/ctrlProp120.xml><?xml version="1.0" encoding="utf-8"?>
<formControlPr xmlns="http://schemas.microsoft.com/office/spreadsheetml/2009/9/main" objectType="Spin" dx="22" fmlaLink="$B$25" max="5" page="10" val="0"/>
</file>

<file path=xl/ctrlProps/ctrlProp121.xml><?xml version="1.0" encoding="utf-8"?>
<formControlPr xmlns="http://schemas.microsoft.com/office/spreadsheetml/2009/9/main" objectType="Spin" dx="22" fmlaLink="$B$27" max="50" page="10" val="18"/>
</file>

<file path=xl/ctrlProps/ctrlProp122.xml><?xml version="1.0" encoding="utf-8"?>
<formControlPr xmlns="http://schemas.microsoft.com/office/spreadsheetml/2009/9/main" objectType="Spin" dx="22" fmlaLink="$B$29" inc="1000" max="30000" page="10" val="10000"/>
</file>

<file path=xl/ctrlProps/ctrlProp123.xml><?xml version="1.0" encoding="utf-8"?>
<formControlPr xmlns="http://schemas.microsoft.com/office/spreadsheetml/2009/9/main" objectType="Spin" dx="22" fmlaLink="$B$31" inc="1000" max="30000" page="10" val="30000"/>
</file>

<file path=xl/ctrlProps/ctrlProp124.xml><?xml version="1.0" encoding="utf-8"?>
<formControlPr xmlns="http://schemas.microsoft.com/office/spreadsheetml/2009/9/main" objectType="Spin" dx="22" fmlaLink="$B$33" inc="50" max="1000" page="10" val="200"/>
</file>

<file path=xl/ctrlProps/ctrlProp125.xml><?xml version="1.0" encoding="utf-8"?>
<formControlPr xmlns="http://schemas.microsoft.com/office/spreadsheetml/2009/9/main" objectType="Spin" dx="22" fmlaLink="$B$37" max="5" page="10" val="0"/>
</file>

<file path=xl/ctrlProps/ctrlProp126.xml><?xml version="1.0" encoding="utf-8"?>
<formControlPr xmlns="http://schemas.microsoft.com/office/spreadsheetml/2009/9/main" objectType="Spin" dx="22" fmlaLink="$B$39" max="5" page="10" val="0"/>
</file>

<file path=xl/ctrlProps/ctrlProp127.xml><?xml version="1.0" encoding="utf-8"?>
<formControlPr xmlns="http://schemas.microsoft.com/office/spreadsheetml/2009/9/main" objectType="Spin" dx="22" fmlaLink="$B$41" max="50" page="10" val="33"/>
</file>

<file path=xl/ctrlProps/ctrlProp128.xml><?xml version="1.0" encoding="utf-8"?>
<formControlPr xmlns="http://schemas.microsoft.com/office/spreadsheetml/2009/9/main" objectType="Spin" dx="22" fmlaLink="$B$43" inc="1000" max="30000" page="10" val="10000"/>
</file>

<file path=xl/ctrlProps/ctrlProp129.xml><?xml version="1.0" encoding="utf-8"?>
<formControlPr xmlns="http://schemas.microsoft.com/office/spreadsheetml/2009/9/main" objectType="Spin" dx="22" fmlaLink="$B$45" inc="1000" max="30000" page="10" val="6000"/>
</file>

<file path=xl/ctrlProps/ctrlProp13.xml><?xml version="1.0" encoding="utf-8"?>
<formControlPr xmlns="http://schemas.microsoft.com/office/spreadsheetml/2009/9/main" objectType="CheckBox" fmlaLink="$C$8" lockText="1" noThreeD="1"/>
</file>

<file path=xl/ctrlProps/ctrlProp130.xml><?xml version="1.0" encoding="utf-8"?>
<formControlPr xmlns="http://schemas.microsoft.com/office/spreadsheetml/2009/9/main" objectType="Spin" dx="22" fmlaLink="$B$47" inc="50" max="1000" page="10" val="200"/>
</file>

<file path=xl/ctrlProps/ctrlProp131.xml><?xml version="1.0" encoding="utf-8"?>
<formControlPr xmlns="http://schemas.microsoft.com/office/spreadsheetml/2009/9/main" objectType="CheckBox" fmlaLink="$D$5" lockText="1" noThreeD="1"/>
</file>

<file path=xl/ctrlProps/ctrlProp132.xml><?xml version="1.0" encoding="utf-8"?>
<formControlPr xmlns="http://schemas.microsoft.com/office/spreadsheetml/2009/9/main" objectType="CheckBox" fmlaLink="$E$5" lockText="1" noThreeD="1"/>
</file>

<file path=xl/ctrlProps/ctrlProp133.xml><?xml version="1.0" encoding="utf-8"?>
<formControlPr xmlns="http://schemas.microsoft.com/office/spreadsheetml/2009/9/main" objectType="CheckBox" checked="Checked" fmlaLink="$F$5" lockText="1" noThreeD="1"/>
</file>

<file path=xl/ctrlProps/ctrlProp134.xml><?xml version="1.0" encoding="utf-8"?>
<formControlPr xmlns="http://schemas.microsoft.com/office/spreadsheetml/2009/9/main" objectType="CheckBox" fmlaLink="$G$5" lockText="1" noThreeD="1"/>
</file>

<file path=xl/ctrlProps/ctrlProp135.xml><?xml version="1.0" encoding="utf-8"?>
<formControlPr xmlns="http://schemas.microsoft.com/office/spreadsheetml/2009/9/main" objectType="CheckBox" fmlaLink="$H$5" lockText="1" noThreeD="1"/>
</file>

<file path=xl/ctrlProps/ctrlProp136.xml><?xml version="1.0" encoding="utf-8"?>
<formControlPr xmlns="http://schemas.microsoft.com/office/spreadsheetml/2009/9/main" objectType="CheckBox" fmlaLink="$I$5" lockText="1" noThreeD="1"/>
</file>

<file path=xl/ctrlProps/ctrlProp137.xml><?xml version="1.0" encoding="utf-8"?>
<formControlPr xmlns="http://schemas.microsoft.com/office/spreadsheetml/2009/9/main" objectType="CheckBox" fmlaLink="$J$5" lockText="1" noThreeD="1"/>
</file>

<file path=xl/ctrlProps/ctrlProp138.xml><?xml version="1.0" encoding="utf-8"?>
<formControlPr xmlns="http://schemas.microsoft.com/office/spreadsheetml/2009/9/main" objectType="CheckBox" fmlaLink="$K$5" lockText="1" noThreeD="1"/>
</file>

<file path=xl/ctrlProps/ctrlProp139.xml><?xml version="1.0" encoding="utf-8"?>
<formControlPr xmlns="http://schemas.microsoft.com/office/spreadsheetml/2009/9/main" objectType="CheckBox" fmlaLink="$L$5" lockText="1" noThreeD="1"/>
</file>

<file path=xl/ctrlProps/ctrlProp14.xml><?xml version="1.0" encoding="utf-8"?>
<formControlPr xmlns="http://schemas.microsoft.com/office/spreadsheetml/2009/9/main" objectType="CheckBox" fmlaLink="$D$8" lockText="1" noThreeD="1"/>
</file>

<file path=xl/ctrlProps/ctrlProp140.xml><?xml version="1.0" encoding="utf-8"?>
<formControlPr xmlns="http://schemas.microsoft.com/office/spreadsheetml/2009/9/main" objectType="CheckBox" fmlaLink="$M$5" lockText="1" noThreeD="1"/>
</file>

<file path=xl/ctrlProps/ctrlProp141.xml><?xml version="1.0" encoding="utf-8"?>
<formControlPr xmlns="http://schemas.microsoft.com/office/spreadsheetml/2009/9/main" objectType="CheckBox" fmlaLink="$N$5" lockText="1" noThreeD="1"/>
</file>

<file path=xl/ctrlProps/ctrlProp142.xml><?xml version="1.0" encoding="utf-8"?>
<formControlPr xmlns="http://schemas.microsoft.com/office/spreadsheetml/2009/9/main" objectType="CheckBox" fmlaLink="$O$5" lockText="1" noThreeD="1"/>
</file>

<file path=xl/ctrlProps/ctrlProp143.xml><?xml version="1.0" encoding="utf-8"?>
<formControlPr xmlns="http://schemas.microsoft.com/office/spreadsheetml/2009/9/main" objectType="CheckBox" fmlaLink="$D$5" lockText="1" noThreeD="1"/>
</file>

<file path=xl/ctrlProps/ctrlProp144.xml><?xml version="1.0" encoding="utf-8"?>
<formControlPr xmlns="http://schemas.microsoft.com/office/spreadsheetml/2009/9/main" objectType="CheckBox" fmlaLink="$D$5" lockText="1" noThreeD="1"/>
</file>

<file path=xl/ctrlProps/ctrlProp145.xml><?xml version="1.0" encoding="utf-8"?>
<formControlPr xmlns="http://schemas.microsoft.com/office/spreadsheetml/2009/9/main" objectType="CheckBox" fmlaLink="$D$5" lockText="1" noThreeD="1"/>
</file>

<file path=xl/ctrlProps/ctrlProp146.xml><?xml version="1.0" encoding="utf-8"?>
<formControlPr xmlns="http://schemas.microsoft.com/office/spreadsheetml/2009/9/main" objectType="CheckBox" fmlaLink="$D$5" lockText="1" noThreeD="1"/>
</file>

<file path=xl/ctrlProps/ctrlProp147.xml><?xml version="1.0" encoding="utf-8"?>
<formControlPr xmlns="http://schemas.microsoft.com/office/spreadsheetml/2009/9/main" objectType="CheckBox" fmlaLink="$D$5" lockText="1" noThreeD="1"/>
</file>

<file path=xl/ctrlProps/ctrlProp148.xml><?xml version="1.0" encoding="utf-8"?>
<formControlPr xmlns="http://schemas.microsoft.com/office/spreadsheetml/2009/9/main" objectType="CheckBox" fmlaLink="$D$5" lockText="1" noThreeD="1"/>
</file>

<file path=xl/ctrlProps/ctrlProp149.xml><?xml version="1.0" encoding="utf-8"?>
<formControlPr xmlns="http://schemas.microsoft.com/office/spreadsheetml/2009/9/main" objectType="CheckBox" fmlaLink="$D$5" lockText="1" noThreeD="1"/>
</file>

<file path=xl/ctrlProps/ctrlProp15.xml><?xml version="1.0" encoding="utf-8"?>
<formControlPr xmlns="http://schemas.microsoft.com/office/spreadsheetml/2009/9/main" objectType="CheckBox" fmlaLink="$E$8" lockText="1" noThreeD="1"/>
</file>

<file path=xl/ctrlProps/ctrlProp150.xml><?xml version="1.0" encoding="utf-8"?>
<formControlPr xmlns="http://schemas.microsoft.com/office/spreadsheetml/2009/9/main" objectType="CheckBox" fmlaLink="$D$5" lockText="1" noThreeD="1"/>
</file>

<file path=xl/ctrlProps/ctrlProp151.xml><?xml version="1.0" encoding="utf-8"?>
<formControlPr xmlns="http://schemas.microsoft.com/office/spreadsheetml/2009/9/main" objectType="CheckBox" fmlaLink="$D$5" lockText="1" noThreeD="1"/>
</file>

<file path=xl/ctrlProps/ctrlProp152.xml><?xml version="1.0" encoding="utf-8"?>
<formControlPr xmlns="http://schemas.microsoft.com/office/spreadsheetml/2009/9/main" objectType="CheckBox" fmlaLink="$D$5" lockText="1" noThreeD="1"/>
</file>

<file path=xl/ctrlProps/ctrlProp153.xml><?xml version="1.0" encoding="utf-8"?>
<formControlPr xmlns="http://schemas.microsoft.com/office/spreadsheetml/2009/9/main" objectType="CheckBox" fmlaLink="$D$5" lockText="1" noThreeD="1"/>
</file>

<file path=xl/ctrlProps/ctrlProp154.xml><?xml version="1.0" encoding="utf-8"?>
<formControlPr xmlns="http://schemas.microsoft.com/office/spreadsheetml/2009/9/main" objectType="CheckBox" fmlaLink="$C$5" lockText="1" noThreeD="1"/>
</file>

<file path=xl/ctrlProps/ctrlProp155.xml><?xml version="1.0" encoding="utf-8"?>
<formControlPr xmlns="http://schemas.microsoft.com/office/spreadsheetml/2009/9/main" objectType="CheckBox" fmlaLink="$D$5" lockText="1" noThreeD="1"/>
</file>

<file path=xl/ctrlProps/ctrlProp156.xml><?xml version="1.0" encoding="utf-8"?>
<formControlPr xmlns="http://schemas.microsoft.com/office/spreadsheetml/2009/9/main" objectType="CheckBox" fmlaLink="$E$5" lockText="1" noThreeD="1"/>
</file>

<file path=xl/ctrlProps/ctrlProp157.xml><?xml version="1.0" encoding="utf-8"?>
<formControlPr xmlns="http://schemas.microsoft.com/office/spreadsheetml/2009/9/main" objectType="CheckBox" fmlaLink="$D$5" lockText="1" noThreeD="1"/>
</file>

<file path=xl/ctrlProps/ctrlProp158.xml><?xml version="1.0" encoding="utf-8"?>
<formControlPr xmlns="http://schemas.microsoft.com/office/spreadsheetml/2009/9/main" objectType="CheckBox" fmlaLink="$D$67" lockText="1" noThreeD="1"/>
</file>

<file path=xl/ctrlProps/ctrlProp159.xml><?xml version="1.0" encoding="utf-8"?>
<formControlPr xmlns="http://schemas.microsoft.com/office/spreadsheetml/2009/9/main" objectType="CheckBox" fmlaLink="$E$67" lockText="1" noThreeD="1"/>
</file>

<file path=xl/ctrlProps/ctrlProp16.xml><?xml version="1.0" encoding="utf-8"?>
<formControlPr xmlns="http://schemas.microsoft.com/office/spreadsheetml/2009/9/main" objectType="CheckBox" checked="Checked" fmlaLink="$F$8" lockText="1" noThreeD="1"/>
</file>

<file path=xl/ctrlProps/ctrlProp160.xml><?xml version="1.0" encoding="utf-8"?>
<formControlPr xmlns="http://schemas.microsoft.com/office/spreadsheetml/2009/9/main" objectType="CheckBox" fmlaLink="$F$67" lockText="1" noThreeD="1"/>
</file>

<file path=xl/ctrlProps/ctrlProp161.xml><?xml version="1.0" encoding="utf-8"?>
<formControlPr xmlns="http://schemas.microsoft.com/office/spreadsheetml/2009/9/main" objectType="CheckBox" fmlaLink="$G$67" lockText="1" noThreeD="1"/>
</file>

<file path=xl/ctrlProps/ctrlProp162.xml><?xml version="1.0" encoding="utf-8"?>
<formControlPr xmlns="http://schemas.microsoft.com/office/spreadsheetml/2009/9/main" objectType="CheckBox" fmlaLink="$H$67" lockText="1" noThreeD="1"/>
</file>

<file path=xl/ctrlProps/ctrlProp163.xml><?xml version="1.0" encoding="utf-8"?>
<formControlPr xmlns="http://schemas.microsoft.com/office/spreadsheetml/2009/9/main" objectType="CheckBox" fmlaLink="$I$67" lockText="1" noThreeD="1"/>
</file>

<file path=xl/ctrlProps/ctrlProp164.xml><?xml version="1.0" encoding="utf-8"?>
<formControlPr xmlns="http://schemas.microsoft.com/office/spreadsheetml/2009/9/main" objectType="CheckBox" fmlaLink="$J$67" lockText="1" noThreeD="1"/>
</file>

<file path=xl/ctrlProps/ctrlProp165.xml><?xml version="1.0" encoding="utf-8"?>
<formControlPr xmlns="http://schemas.microsoft.com/office/spreadsheetml/2009/9/main" objectType="CheckBox" fmlaLink="$K$67" lockText="1" noThreeD="1"/>
</file>

<file path=xl/ctrlProps/ctrlProp166.xml><?xml version="1.0" encoding="utf-8"?>
<formControlPr xmlns="http://schemas.microsoft.com/office/spreadsheetml/2009/9/main" objectType="CheckBox" fmlaLink="$L$67" lockText="1" noThreeD="1"/>
</file>

<file path=xl/ctrlProps/ctrlProp167.xml><?xml version="1.0" encoding="utf-8"?>
<formControlPr xmlns="http://schemas.microsoft.com/office/spreadsheetml/2009/9/main" objectType="CheckBox" fmlaLink="$M$67" lockText="1" noThreeD="1"/>
</file>

<file path=xl/ctrlProps/ctrlProp168.xml><?xml version="1.0" encoding="utf-8"?>
<formControlPr xmlns="http://schemas.microsoft.com/office/spreadsheetml/2009/9/main" objectType="CheckBox" fmlaLink="$N$67" lockText="1" noThreeD="1"/>
</file>

<file path=xl/ctrlProps/ctrlProp169.xml><?xml version="1.0" encoding="utf-8"?>
<formControlPr xmlns="http://schemas.microsoft.com/office/spreadsheetml/2009/9/main" objectType="CheckBox" fmlaLink="$O$67" lockText="1" noThreeD="1"/>
</file>

<file path=xl/ctrlProps/ctrlProp17.xml><?xml version="1.0" encoding="utf-8"?>
<formControlPr xmlns="http://schemas.microsoft.com/office/spreadsheetml/2009/9/main" objectType="CheckBox" fmlaLink="$G$8" lockText="1" noThreeD="1"/>
</file>

<file path=xl/ctrlProps/ctrlProp170.xml><?xml version="1.0" encoding="utf-8"?>
<formControlPr xmlns="http://schemas.microsoft.com/office/spreadsheetml/2009/9/main" objectType="CheckBox" fmlaLink="$D$69" lockText="1" noThreeD="1"/>
</file>

<file path=xl/ctrlProps/ctrlProp171.xml><?xml version="1.0" encoding="utf-8"?>
<formControlPr xmlns="http://schemas.microsoft.com/office/spreadsheetml/2009/9/main" objectType="CheckBox" fmlaLink="$E$69" lockText="1" noThreeD="1"/>
</file>

<file path=xl/ctrlProps/ctrlProp172.xml><?xml version="1.0" encoding="utf-8"?>
<formControlPr xmlns="http://schemas.microsoft.com/office/spreadsheetml/2009/9/main" objectType="CheckBox" fmlaLink="$F$69" lockText="1" noThreeD="1"/>
</file>

<file path=xl/ctrlProps/ctrlProp173.xml><?xml version="1.0" encoding="utf-8"?>
<formControlPr xmlns="http://schemas.microsoft.com/office/spreadsheetml/2009/9/main" objectType="CheckBox" fmlaLink="$G$69" lockText="1" noThreeD="1"/>
</file>

<file path=xl/ctrlProps/ctrlProp174.xml><?xml version="1.0" encoding="utf-8"?>
<formControlPr xmlns="http://schemas.microsoft.com/office/spreadsheetml/2009/9/main" objectType="CheckBox" fmlaLink="$H$69" lockText="1" noThreeD="1"/>
</file>

<file path=xl/ctrlProps/ctrlProp175.xml><?xml version="1.0" encoding="utf-8"?>
<formControlPr xmlns="http://schemas.microsoft.com/office/spreadsheetml/2009/9/main" objectType="CheckBox" fmlaLink="$I$69" lockText="1" noThreeD="1"/>
</file>

<file path=xl/ctrlProps/ctrlProp176.xml><?xml version="1.0" encoding="utf-8"?>
<formControlPr xmlns="http://schemas.microsoft.com/office/spreadsheetml/2009/9/main" objectType="CheckBox" fmlaLink="$J$69" lockText="1" noThreeD="1"/>
</file>

<file path=xl/ctrlProps/ctrlProp177.xml><?xml version="1.0" encoding="utf-8"?>
<formControlPr xmlns="http://schemas.microsoft.com/office/spreadsheetml/2009/9/main" objectType="CheckBox" fmlaLink="$K$69" lockText="1" noThreeD="1"/>
</file>

<file path=xl/ctrlProps/ctrlProp178.xml><?xml version="1.0" encoding="utf-8"?>
<formControlPr xmlns="http://schemas.microsoft.com/office/spreadsheetml/2009/9/main" objectType="CheckBox" fmlaLink="$L$69" lockText="1" noThreeD="1"/>
</file>

<file path=xl/ctrlProps/ctrlProp179.xml><?xml version="1.0" encoding="utf-8"?>
<formControlPr xmlns="http://schemas.microsoft.com/office/spreadsheetml/2009/9/main" objectType="CheckBox" fmlaLink="$M$69" lockText="1" noThreeD="1"/>
</file>

<file path=xl/ctrlProps/ctrlProp18.xml><?xml version="1.0" encoding="utf-8"?>
<formControlPr xmlns="http://schemas.microsoft.com/office/spreadsheetml/2009/9/main" objectType="CheckBox" checked="Checked" fmlaLink="$E$10" lockText="1" noThreeD="1"/>
</file>

<file path=xl/ctrlProps/ctrlProp180.xml><?xml version="1.0" encoding="utf-8"?>
<formControlPr xmlns="http://schemas.microsoft.com/office/spreadsheetml/2009/9/main" objectType="CheckBox" fmlaLink="$N$69" lockText="1" noThreeD="1"/>
</file>

<file path=xl/ctrlProps/ctrlProp181.xml><?xml version="1.0" encoding="utf-8"?>
<formControlPr xmlns="http://schemas.microsoft.com/office/spreadsheetml/2009/9/main" objectType="CheckBox" fmlaLink="$O$69" lockText="1" noThreeD="1"/>
</file>

<file path=xl/ctrlProps/ctrlProp182.xml><?xml version="1.0" encoding="utf-8"?>
<formControlPr xmlns="http://schemas.microsoft.com/office/spreadsheetml/2009/9/main" objectType="CheckBox" fmlaLink="$D$71" lockText="1" noThreeD="1"/>
</file>

<file path=xl/ctrlProps/ctrlProp183.xml><?xml version="1.0" encoding="utf-8"?>
<formControlPr xmlns="http://schemas.microsoft.com/office/spreadsheetml/2009/9/main" objectType="CheckBox" fmlaLink="$E$71" lockText="1" noThreeD="1"/>
</file>

<file path=xl/ctrlProps/ctrlProp184.xml><?xml version="1.0" encoding="utf-8"?>
<formControlPr xmlns="http://schemas.microsoft.com/office/spreadsheetml/2009/9/main" objectType="CheckBox" fmlaLink="$F$71" lockText="1" noThreeD="1"/>
</file>

<file path=xl/ctrlProps/ctrlProp185.xml><?xml version="1.0" encoding="utf-8"?>
<formControlPr xmlns="http://schemas.microsoft.com/office/spreadsheetml/2009/9/main" objectType="CheckBox" fmlaLink="$G$71" lockText="1" noThreeD="1"/>
</file>

<file path=xl/ctrlProps/ctrlProp186.xml><?xml version="1.0" encoding="utf-8"?>
<formControlPr xmlns="http://schemas.microsoft.com/office/spreadsheetml/2009/9/main" objectType="CheckBox" fmlaLink="$H$71" lockText="1" noThreeD="1"/>
</file>

<file path=xl/ctrlProps/ctrlProp187.xml><?xml version="1.0" encoding="utf-8"?>
<formControlPr xmlns="http://schemas.microsoft.com/office/spreadsheetml/2009/9/main" objectType="CheckBox" fmlaLink="$I$71" lockText="1" noThreeD="1"/>
</file>

<file path=xl/ctrlProps/ctrlProp188.xml><?xml version="1.0" encoding="utf-8"?>
<formControlPr xmlns="http://schemas.microsoft.com/office/spreadsheetml/2009/9/main" objectType="CheckBox" fmlaLink="$J$71" lockText="1" noThreeD="1"/>
</file>

<file path=xl/ctrlProps/ctrlProp189.xml><?xml version="1.0" encoding="utf-8"?>
<formControlPr xmlns="http://schemas.microsoft.com/office/spreadsheetml/2009/9/main" objectType="CheckBox" fmlaLink="$K$71" lockText="1" noThreeD="1"/>
</file>

<file path=xl/ctrlProps/ctrlProp19.xml><?xml version="1.0" encoding="utf-8"?>
<formControlPr xmlns="http://schemas.microsoft.com/office/spreadsheetml/2009/9/main" objectType="CheckBox" fmlaLink="$F$10" lockText="1" noThreeD="1"/>
</file>

<file path=xl/ctrlProps/ctrlProp190.xml><?xml version="1.0" encoding="utf-8"?>
<formControlPr xmlns="http://schemas.microsoft.com/office/spreadsheetml/2009/9/main" objectType="CheckBox" fmlaLink="$L$71" lockText="1" noThreeD="1"/>
</file>

<file path=xl/ctrlProps/ctrlProp191.xml><?xml version="1.0" encoding="utf-8"?>
<formControlPr xmlns="http://schemas.microsoft.com/office/spreadsheetml/2009/9/main" objectType="CheckBox" fmlaLink="$M$71" lockText="1" noThreeD="1"/>
</file>

<file path=xl/ctrlProps/ctrlProp192.xml><?xml version="1.0" encoding="utf-8"?>
<formControlPr xmlns="http://schemas.microsoft.com/office/spreadsheetml/2009/9/main" objectType="CheckBox" fmlaLink="$N$71" lockText="1" noThreeD="1"/>
</file>

<file path=xl/ctrlProps/ctrlProp193.xml><?xml version="1.0" encoding="utf-8"?>
<formControlPr xmlns="http://schemas.microsoft.com/office/spreadsheetml/2009/9/main" objectType="CheckBox" fmlaLink="$O$71" lockText="1" noThreeD="1"/>
</file>

<file path=xl/ctrlProps/ctrlProp194.xml><?xml version="1.0" encoding="utf-8"?>
<formControlPr xmlns="http://schemas.microsoft.com/office/spreadsheetml/2009/9/main" objectType="Spin" dx="22" fmlaLink="$B$23" max="5" page="10" val="0"/>
</file>

<file path=xl/ctrlProps/ctrlProp195.xml><?xml version="1.0" encoding="utf-8"?>
<formControlPr xmlns="http://schemas.microsoft.com/office/spreadsheetml/2009/9/main" objectType="Spin" dx="22" fmlaLink="$B$25" max="5" page="10" val="0"/>
</file>

<file path=xl/ctrlProps/ctrlProp196.xml><?xml version="1.0" encoding="utf-8"?>
<formControlPr xmlns="http://schemas.microsoft.com/office/spreadsheetml/2009/9/main" objectType="Spin" dx="22" fmlaLink="$B$27" max="50" page="10" val="18"/>
</file>

<file path=xl/ctrlProps/ctrlProp197.xml><?xml version="1.0" encoding="utf-8"?>
<formControlPr xmlns="http://schemas.microsoft.com/office/spreadsheetml/2009/9/main" objectType="Spin" dx="22" fmlaLink="$B$29" inc="1000" max="30000" page="10" val="10000"/>
</file>

<file path=xl/ctrlProps/ctrlProp198.xml><?xml version="1.0" encoding="utf-8"?>
<formControlPr xmlns="http://schemas.microsoft.com/office/spreadsheetml/2009/9/main" objectType="Spin" dx="22" fmlaLink="$B$31" inc="1000" max="30000" page="10" val="30000"/>
</file>

<file path=xl/ctrlProps/ctrlProp199.xml><?xml version="1.0" encoding="utf-8"?>
<formControlPr xmlns="http://schemas.microsoft.com/office/spreadsheetml/2009/9/main" objectType="Spin" dx="22" fmlaLink="$B$33" inc="50" max="1000" page="10" val="200"/>
</file>

<file path=xl/ctrlProps/ctrlProp2.xml><?xml version="1.0" encoding="utf-8"?>
<formControlPr xmlns="http://schemas.microsoft.com/office/spreadsheetml/2009/9/main" objectType="CheckBox" checked="Checked" fmlaLink="$D$5" lockText="1" noThreeD="1"/>
</file>

<file path=xl/ctrlProps/ctrlProp20.xml><?xml version="1.0" encoding="utf-8"?>
<formControlPr xmlns="http://schemas.microsoft.com/office/spreadsheetml/2009/9/main" objectType="CheckBox" fmlaLink="$G$10" lockText="1" noThreeD="1"/>
</file>

<file path=xl/ctrlProps/ctrlProp200.xml><?xml version="1.0" encoding="utf-8"?>
<formControlPr xmlns="http://schemas.microsoft.com/office/spreadsheetml/2009/9/main" objectType="Spin" dx="22" fmlaLink="$B$37" max="5" page="10" val="0"/>
</file>

<file path=xl/ctrlProps/ctrlProp201.xml><?xml version="1.0" encoding="utf-8"?>
<formControlPr xmlns="http://schemas.microsoft.com/office/spreadsheetml/2009/9/main" objectType="Spin" dx="22" fmlaLink="$B$39" max="5" page="10" val="0"/>
</file>

<file path=xl/ctrlProps/ctrlProp202.xml><?xml version="1.0" encoding="utf-8"?>
<formControlPr xmlns="http://schemas.microsoft.com/office/spreadsheetml/2009/9/main" objectType="Spin" dx="22" fmlaLink="$B$41" max="50" page="10" val="33"/>
</file>

<file path=xl/ctrlProps/ctrlProp203.xml><?xml version="1.0" encoding="utf-8"?>
<formControlPr xmlns="http://schemas.microsoft.com/office/spreadsheetml/2009/9/main" objectType="Spin" dx="22" fmlaLink="$B$43" inc="1000" max="30000" page="10" val="10000"/>
</file>

<file path=xl/ctrlProps/ctrlProp204.xml><?xml version="1.0" encoding="utf-8"?>
<formControlPr xmlns="http://schemas.microsoft.com/office/spreadsheetml/2009/9/main" objectType="Spin" dx="22" fmlaLink="$B$45" inc="1000" max="30000" page="10" val="6000"/>
</file>

<file path=xl/ctrlProps/ctrlProp205.xml><?xml version="1.0" encoding="utf-8"?>
<formControlPr xmlns="http://schemas.microsoft.com/office/spreadsheetml/2009/9/main" objectType="Spin" dx="22" fmlaLink="$B$47" inc="50" max="1000" page="10" val="200"/>
</file>

<file path=xl/ctrlProps/ctrlProp206.xml><?xml version="1.0" encoding="utf-8"?>
<formControlPr xmlns="http://schemas.microsoft.com/office/spreadsheetml/2009/9/main" objectType="CheckBox" fmlaLink="$D$5" lockText="1" noThreeD="1"/>
</file>

<file path=xl/ctrlProps/ctrlProp207.xml><?xml version="1.0" encoding="utf-8"?>
<formControlPr xmlns="http://schemas.microsoft.com/office/spreadsheetml/2009/9/main" objectType="CheckBox" fmlaLink="$E$5" lockText="1" noThreeD="1"/>
</file>

<file path=xl/ctrlProps/ctrlProp208.xml><?xml version="1.0" encoding="utf-8"?>
<formControlPr xmlns="http://schemas.microsoft.com/office/spreadsheetml/2009/9/main" objectType="CheckBox" fmlaLink="$F$5" lockText="1" noThreeD="1"/>
</file>

<file path=xl/ctrlProps/ctrlProp209.xml><?xml version="1.0" encoding="utf-8"?>
<formControlPr xmlns="http://schemas.microsoft.com/office/spreadsheetml/2009/9/main" objectType="CheckBox" fmlaLink="$G$5" lockText="1" noThreeD="1"/>
</file>

<file path=xl/ctrlProps/ctrlProp21.xml><?xml version="1.0" encoding="utf-8"?>
<formControlPr xmlns="http://schemas.microsoft.com/office/spreadsheetml/2009/9/main" objectType="CheckBox" fmlaLink="$D$377" lockText="1" noThreeD="1"/>
</file>

<file path=xl/ctrlProps/ctrlProp210.xml><?xml version="1.0" encoding="utf-8"?>
<formControlPr xmlns="http://schemas.microsoft.com/office/spreadsheetml/2009/9/main" objectType="CheckBox" fmlaLink="$H$5" lockText="1" noThreeD="1"/>
</file>

<file path=xl/ctrlProps/ctrlProp211.xml><?xml version="1.0" encoding="utf-8"?>
<formControlPr xmlns="http://schemas.microsoft.com/office/spreadsheetml/2009/9/main" objectType="CheckBox" fmlaLink="$I$5" lockText="1" noThreeD="1"/>
</file>

<file path=xl/ctrlProps/ctrlProp212.xml><?xml version="1.0" encoding="utf-8"?>
<formControlPr xmlns="http://schemas.microsoft.com/office/spreadsheetml/2009/9/main" objectType="CheckBox" fmlaLink="$J$5" lockText="1" noThreeD="1"/>
</file>

<file path=xl/ctrlProps/ctrlProp213.xml><?xml version="1.0" encoding="utf-8"?>
<formControlPr xmlns="http://schemas.microsoft.com/office/spreadsheetml/2009/9/main" objectType="CheckBox" fmlaLink="$K$5" lockText="1" noThreeD="1"/>
</file>

<file path=xl/ctrlProps/ctrlProp214.xml><?xml version="1.0" encoding="utf-8"?>
<formControlPr xmlns="http://schemas.microsoft.com/office/spreadsheetml/2009/9/main" objectType="CheckBox" fmlaLink="$L$5" lockText="1" noThreeD="1"/>
</file>

<file path=xl/ctrlProps/ctrlProp215.xml><?xml version="1.0" encoding="utf-8"?>
<formControlPr xmlns="http://schemas.microsoft.com/office/spreadsheetml/2009/9/main" objectType="CheckBox" fmlaLink="$M$5" lockText="1" noThreeD="1"/>
</file>

<file path=xl/ctrlProps/ctrlProp216.xml><?xml version="1.0" encoding="utf-8"?>
<formControlPr xmlns="http://schemas.microsoft.com/office/spreadsheetml/2009/9/main" objectType="CheckBox" fmlaLink="$N$5" lockText="1" noThreeD="1"/>
</file>

<file path=xl/ctrlProps/ctrlProp217.xml><?xml version="1.0" encoding="utf-8"?>
<formControlPr xmlns="http://schemas.microsoft.com/office/spreadsheetml/2009/9/main" objectType="CheckBox" fmlaLink="$O$5" lockText="1" noThreeD="1"/>
</file>

<file path=xl/ctrlProps/ctrlProp218.xml><?xml version="1.0" encoding="utf-8"?>
<formControlPr xmlns="http://schemas.microsoft.com/office/spreadsheetml/2009/9/main" objectType="CheckBox" fmlaLink="$D$67" lockText="1" noThreeD="1"/>
</file>

<file path=xl/ctrlProps/ctrlProp219.xml><?xml version="1.0" encoding="utf-8"?>
<formControlPr xmlns="http://schemas.microsoft.com/office/spreadsheetml/2009/9/main" objectType="CheckBox" fmlaLink="$E$67" lockText="1" noThreeD="1"/>
</file>

<file path=xl/ctrlProps/ctrlProp22.xml><?xml version="1.0" encoding="utf-8"?>
<formControlPr xmlns="http://schemas.microsoft.com/office/spreadsheetml/2009/9/main" objectType="CheckBox" fmlaLink="$E$377" lockText="1" noThreeD="1"/>
</file>

<file path=xl/ctrlProps/ctrlProp220.xml><?xml version="1.0" encoding="utf-8"?>
<formControlPr xmlns="http://schemas.microsoft.com/office/spreadsheetml/2009/9/main" objectType="CheckBox" fmlaLink="$F$67" lockText="1" noThreeD="1"/>
</file>

<file path=xl/ctrlProps/ctrlProp221.xml><?xml version="1.0" encoding="utf-8"?>
<formControlPr xmlns="http://schemas.microsoft.com/office/spreadsheetml/2009/9/main" objectType="CheckBox" fmlaLink="$G$67" lockText="1" noThreeD="1"/>
</file>

<file path=xl/ctrlProps/ctrlProp222.xml><?xml version="1.0" encoding="utf-8"?>
<formControlPr xmlns="http://schemas.microsoft.com/office/spreadsheetml/2009/9/main" objectType="CheckBox" fmlaLink="$H$67" lockText="1" noThreeD="1"/>
</file>

<file path=xl/ctrlProps/ctrlProp223.xml><?xml version="1.0" encoding="utf-8"?>
<formControlPr xmlns="http://schemas.microsoft.com/office/spreadsheetml/2009/9/main" objectType="CheckBox" fmlaLink="$I$67" lockText="1" noThreeD="1"/>
</file>

<file path=xl/ctrlProps/ctrlProp224.xml><?xml version="1.0" encoding="utf-8"?>
<formControlPr xmlns="http://schemas.microsoft.com/office/spreadsheetml/2009/9/main" objectType="CheckBox" fmlaLink="$J$67" lockText="1" noThreeD="1"/>
</file>

<file path=xl/ctrlProps/ctrlProp225.xml><?xml version="1.0" encoding="utf-8"?>
<formControlPr xmlns="http://schemas.microsoft.com/office/spreadsheetml/2009/9/main" objectType="CheckBox" fmlaLink="$K$67" lockText="1" noThreeD="1"/>
</file>

<file path=xl/ctrlProps/ctrlProp226.xml><?xml version="1.0" encoding="utf-8"?>
<formControlPr xmlns="http://schemas.microsoft.com/office/spreadsheetml/2009/9/main" objectType="CheckBox" fmlaLink="$L$67" lockText="1" noThreeD="1"/>
</file>

<file path=xl/ctrlProps/ctrlProp227.xml><?xml version="1.0" encoding="utf-8"?>
<formControlPr xmlns="http://schemas.microsoft.com/office/spreadsheetml/2009/9/main" objectType="CheckBox" fmlaLink="$M$67" lockText="1" noThreeD="1"/>
</file>

<file path=xl/ctrlProps/ctrlProp228.xml><?xml version="1.0" encoding="utf-8"?>
<formControlPr xmlns="http://schemas.microsoft.com/office/spreadsheetml/2009/9/main" objectType="CheckBox" fmlaLink="$N$67" lockText="1" noThreeD="1"/>
</file>

<file path=xl/ctrlProps/ctrlProp229.xml><?xml version="1.0" encoding="utf-8"?>
<formControlPr xmlns="http://schemas.microsoft.com/office/spreadsheetml/2009/9/main" objectType="CheckBox" fmlaLink="$O$67" lockText="1" noThreeD="1"/>
</file>

<file path=xl/ctrlProps/ctrlProp23.xml><?xml version="1.0" encoding="utf-8"?>
<formControlPr xmlns="http://schemas.microsoft.com/office/spreadsheetml/2009/9/main" objectType="CheckBox" fmlaLink="$F$377" lockText="1" noThreeD="1"/>
</file>

<file path=xl/ctrlProps/ctrlProp230.xml><?xml version="1.0" encoding="utf-8"?>
<formControlPr xmlns="http://schemas.microsoft.com/office/spreadsheetml/2009/9/main" objectType="CheckBox" fmlaLink="$D$69" lockText="1" noThreeD="1"/>
</file>

<file path=xl/ctrlProps/ctrlProp231.xml><?xml version="1.0" encoding="utf-8"?>
<formControlPr xmlns="http://schemas.microsoft.com/office/spreadsheetml/2009/9/main" objectType="CheckBox" fmlaLink="$E$69" lockText="1" noThreeD="1"/>
</file>

<file path=xl/ctrlProps/ctrlProp232.xml><?xml version="1.0" encoding="utf-8"?>
<formControlPr xmlns="http://schemas.microsoft.com/office/spreadsheetml/2009/9/main" objectType="CheckBox" fmlaLink="$F$69" lockText="1" noThreeD="1"/>
</file>

<file path=xl/ctrlProps/ctrlProp233.xml><?xml version="1.0" encoding="utf-8"?>
<formControlPr xmlns="http://schemas.microsoft.com/office/spreadsheetml/2009/9/main" objectType="CheckBox" fmlaLink="$G$69" lockText="1" noThreeD="1"/>
</file>

<file path=xl/ctrlProps/ctrlProp234.xml><?xml version="1.0" encoding="utf-8"?>
<formControlPr xmlns="http://schemas.microsoft.com/office/spreadsheetml/2009/9/main" objectType="CheckBox" fmlaLink="$H$69" lockText="1" noThreeD="1"/>
</file>

<file path=xl/ctrlProps/ctrlProp235.xml><?xml version="1.0" encoding="utf-8"?>
<formControlPr xmlns="http://schemas.microsoft.com/office/spreadsheetml/2009/9/main" objectType="CheckBox" fmlaLink="$I$69" lockText="1" noThreeD="1"/>
</file>

<file path=xl/ctrlProps/ctrlProp236.xml><?xml version="1.0" encoding="utf-8"?>
<formControlPr xmlns="http://schemas.microsoft.com/office/spreadsheetml/2009/9/main" objectType="CheckBox" fmlaLink="$J$69" lockText="1" noThreeD="1"/>
</file>

<file path=xl/ctrlProps/ctrlProp237.xml><?xml version="1.0" encoding="utf-8"?>
<formControlPr xmlns="http://schemas.microsoft.com/office/spreadsheetml/2009/9/main" objectType="CheckBox" fmlaLink="$K$69" lockText="1" noThreeD="1"/>
</file>

<file path=xl/ctrlProps/ctrlProp238.xml><?xml version="1.0" encoding="utf-8"?>
<formControlPr xmlns="http://schemas.microsoft.com/office/spreadsheetml/2009/9/main" objectType="CheckBox" fmlaLink="$L$69" lockText="1" noThreeD="1"/>
</file>

<file path=xl/ctrlProps/ctrlProp239.xml><?xml version="1.0" encoding="utf-8"?>
<formControlPr xmlns="http://schemas.microsoft.com/office/spreadsheetml/2009/9/main" objectType="CheckBox" fmlaLink="$M$69" lockText="1" noThreeD="1"/>
</file>

<file path=xl/ctrlProps/ctrlProp24.xml><?xml version="1.0" encoding="utf-8"?>
<formControlPr xmlns="http://schemas.microsoft.com/office/spreadsheetml/2009/9/main" objectType="CheckBox" fmlaLink="$G$377" lockText="1" noThreeD="1"/>
</file>

<file path=xl/ctrlProps/ctrlProp240.xml><?xml version="1.0" encoding="utf-8"?>
<formControlPr xmlns="http://schemas.microsoft.com/office/spreadsheetml/2009/9/main" objectType="CheckBox" fmlaLink="$N$69" lockText="1" noThreeD="1"/>
</file>

<file path=xl/ctrlProps/ctrlProp241.xml><?xml version="1.0" encoding="utf-8"?>
<formControlPr xmlns="http://schemas.microsoft.com/office/spreadsheetml/2009/9/main" objectType="CheckBox" fmlaLink="$O$69" lockText="1" noThreeD="1"/>
</file>

<file path=xl/ctrlProps/ctrlProp242.xml><?xml version="1.0" encoding="utf-8"?>
<formControlPr xmlns="http://schemas.microsoft.com/office/spreadsheetml/2009/9/main" objectType="CheckBox" fmlaLink="$D$71" lockText="1" noThreeD="1"/>
</file>

<file path=xl/ctrlProps/ctrlProp243.xml><?xml version="1.0" encoding="utf-8"?>
<formControlPr xmlns="http://schemas.microsoft.com/office/spreadsheetml/2009/9/main" objectType="CheckBox" fmlaLink="$E$71" lockText="1" noThreeD="1"/>
</file>

<file path=xl/ctrlProps/ctrlProp244.xml><?xml version="1.0" encoding="utf-8"?>
<formControlPr xmlns="http://schemas.microsoft.com/office/spreadsheetml/2009/9/main" objectType="CheckBox" fmlaLink="$F$71" lockText="1" noThreeD="1"/>
</file>

<file path=xl/ctrlProps/ctrlProp245.xml><?xml version="1.0" encoding="utf-8"?>
<formControlPr xmlns="http://schemas.microsoft.com/office/spreadsheetml/2009/9/main" objectType="CheckBox" fmlaLink="$G$71" lockText="1" noThreeD="1"/>
</file>

<file path=xl/ctrlProps/ctrlProp246.xml><?xml version="1.0" encoding="utf-8"?>
<formControlPr xmlns="http://schemas.microsoft.com/office/spreadsheetml/2009/9/main" objectType="CheckBox" fmlaLink="$H$71" lockText="1" noThreeD="1"/>
</file>

<file path=xl/ctrlProps/ctrlProp247.xml><?xml version="1.0" encoding="utf-8"?>
<formControlPr xmlns="http://schemas.microsoft.com/office/spreadsheetml/2009/9/main" objectType="CheckBox" fmlaLink="$I$71" lockText="1" noThreeD="1"/>
</file>

<file path=xl/ctrlProps/ctrlProp248.xml><?xml version="1.0" encoding="utf-8"?>
<formControlPr xmlns="http://schemas.microsoft.com/office/spreadsheetml/2009/9/main" objectType="CheckBox" fmlaLink="$J$71" lockText="1" noThreeD="1"/>
</file>

<file path=xl/ctrlProps/ctrlProp249.xml><?xml version="1.0" encoding="utf-8"?>
<formControlPr xmlns="http://schemas.microsoft.com/office/spreadsheetml/2009/9/main" objectType="CheckBox" fmlaLink="$K$71" lockText="1" noThreeD="1"/>
</file>

<file path=xl/ctrlProps/ctrlProp25.xml><?xml version="1.0" encoding="utf-8"?>
<formControlPr xmlns="http://schemas.microsoft.com/office/spreadsheetml/2009/9/main" objectType="CheckBox" fmlaLink="$H$377" lockText="1" noThreeD="1"/>
</file>

<file path=xl/ctrlProps/ctrlProp250.xml><?xml version="1.0" encoding="utf-8"?>
<formControlPr xmlns="http://schemas.microsoft.com/office/spreadsheetml/2009/9/main" objectType="CheckBox" fmlaLink="$L$71" lockText="1" noThreeD="1"/>
</file>

<file path=xl/ctrlProps/ctrlProp251.xml><?xml version="1.0" encoding="utf-8"?>
<formControlPr xmlns="http://schemas.microsoft.com/office/spreadsheetml/2009/9/main" objectType="CheckBox" fmlaLink="$M$71" lockText="1" noThreeD="1"/>
</file>

<file path=xl/ctrlProps/ctrlProp252.xml><?xml version="1.0" encoding="utf-8"?>
<formControlPr xmlns="http://schemas.microsoft.com/office/spreadsheetml/2009/9/main" objectType="CheckBox" fmlaLink="$N$71" lockText="1" noThreeD="1"/>
</file>

<file path=xl/ctrlProps/ctrlProp253.xml><?xml version="1.0" encoding="utf-8"?>
<formControlPr xmlns="http://schemas.microsoft.com/office/spreadsheetml/2009/9/main" objectType="CheckBox" fmlaLink="$O$71" lockText="1" noThreeD="1"/>
</file>

<file path=xl/ctrlProps/ctrlProp254.xml><?xml version="1.0" encoding="utf-8"?>
<formControlPr xmlns="http://schemas.microsoft.com/office/spreadsheetml/2009/9/main" objectType="Spin" dx="22" fmlaLink="$B$23" max="5" page="10" val="0"/>
</file>

<file path=xl/ctrlProps/ctrlProp255.xml><?xml version="1.0" encoding="utf-8"?>
<formControlPr xmlns="http://schemas.microsoft.com/office/spreadsheetml/2009/9/main" objectType="Spin" dx="22" fmlaLink="$B$25" max="5" page="10" val="0"/>
</file>

<file path=xl/ctrlProps/ctrlProp256.xml><?xml version="1.0" encoding="utf-8"?>
<formControlPr xmlns="http://schemas.microsoft.com/office/spreadsheetml/2009/9/main" objectType="Spin" dx="22" fmlaLink="$B$27" max="50" page="10" val="18"/>
</file>

<file path=xl/ctrlProps/ctrlProp257.xml><?xml version="1.0" encoding="utf-8"?>
<formControlPr xmlns="http://schemas.microsoft.com/office/spreadsheetml/2009/9/main" objectType="Spin" dx="22" fmlaLink="$B$29" inc="1000" max="30000" page="10" val="10000"/>
</file>

<file path=xl/ctrlProps/ctrlProp258.xml><?xml version="1.0" encoding="utf-8"?>
<formControlPr xmlns="http://schemas.microsoft.com/office/spreadsheetml/2009/9/main" objectType="Spin" dx="22" fmlaLink="$B$31" inc="1000" max="30000" page="10" val="30000"/>
</file>

<file path=xl/ctrlProps/ctrlProp259.xml><?xml version="1.0" encoding="utf-8"?>
<formControlPr xmlns="http://schemas.microsoft.com/office/spreadsheetml/2009/9/main" objectType="Spin" dx="22" fmlaLink="$B$33" inc="50" max="1000" page="10" val="200"/>
</file>

<file path=xl/ctrlProps/ctrlProp26.xml><?xml version="1.0" encoding="utf-8"?>
<formControlPr xmlns="http://schemas.microsoft.com/office/spreadsheetml/2009/9/main" objectType="CheckBox" fmlaLink="$I$377" lockText="1" noThreeD="1"/>
</file>

<file path=xl/ctrlProps/ctrlProp260.xml><?xml version="1.0" encoding="utf-8"?>
<formControlPr xmlns="http://schemas.microsoft.com/office/spreadsheetml/2009/9/main" objectType="Spin" dx="22" fmlaLink="$B$37" max="5" page="10" val="0"/>
</file>

<file path=xl/ctrlProps/ctrlProp261.xml><?xml version="1.0" encoding="utf-8"?>
<formControlPr xmlns="http://schemas.microsoft.com/office/spreadsheetml/2009/9/main" objectType="Spin" dx="22" fmlaLink="$B$39" max="5" page="10" val="0"/>
</file>

<file path=xl/ctrlProps/ctrlProp262.xml><?xml version="1.0" encoding="utf-8"?>
<formControlPr xmlns="http://schemas.microsoft.com/office/spreadsheetml/2009/9/main" objectType="Spin" dx="22" fmlaLink="$B$41" max="50" page="10" val="33"/>
</file>

<file path=xl/ctrlProps/ctrlProp263.xml><?xml version="1.0" encoding="utf-8"?>
<formControlPr xmlns="http://schemas.microsoft.com/office/spreadsheetml/2009/9/main" objectType="Spin" dx="22" fmlaLink="$B$43" inc="1000" max="30000" page="10" val="10000"/>
</file>

<file path=xl/ctrlProps/ctrlProp264.xml><?xml version="1.0" encoding="utf-8"?>
<formControlPr xmlns="http://schemas.microsoft.com/office/spreadsheetml/2009/9/main" objectType="Spin" dx="22" fmlaLink="$B$45" inc="1000" max="30000" page="10" val="6000"/>
</file>

<file path=xl/ctrlProps/ctrlProp265.xml><?xml version="1.0" encoding="utf-8"?>
<formControlPr xmlns="http://schemas.microsoft.com/office/spreadsheetml/2009/9/main" objectType="Spin" dx="22" fmlaLink="$B$47" inc="50" max="1000" page="10" val="200"/>
</file>

<file path=xl/ctrlProps/ctrlProp266.xml><?xml version="1.0" encoding="utf-8"?>
<formControlPr xmlns="http://schemas.microsoft.com/office/spreadsheetml/2009/9/main" objectType="CheckBox" fmlaLink="$D$5" lockText="1" noThreeD="1"/>
</file>

<file path=xl/ctrlProps/ctrlProp267.xml><?xml version="1.0" encoding="utf-8"?>
<formControlPr xmlns="http://schemas.microsoft.com/office/spreadsheetml/2009/9/main" objectType="CheckBox" fmlaLink="$E$5" lockText="1" noThreeD="1"/>
</file>

<file path=xl/ctrlProps/ctrlProp268.xml><?xml version="1.0" encoding="utf-8"?>
<formControlPr xmlns="http://schemas.microsoft.com/office/spreadsheetml/2009/9/main" objectType="CheckBox" fmlaLink="$F$5" lockText="1" noThreeD="1"/>
</file>

<file path=xl/ctrlProps/ctrlProp269.xml><?xml version="1.0" encoding="utf-8"?>
<formControlPr xmlns="http://schemas.microsoft.com/office/spreadsheetml/2009/9/main" objectType="CheckBox" fmlaLink="$G$5" lockText="1" noThreeD="1"/>
</file>

<file path=xl/ctrlProps/ctrlProp27.xml><?xml version="1.0" encoding="utf-8"?>
<formControlPr xmlns="http://schemas.microsoft.com/office/spreadsheetml/2009/9/main" objectType="CheckBox" fmlaLink="$J$377" lockText="1" noThreeD="1"/>
</file>

<file path=xl/ctrlProps/ctrlProp270.xml><?xml version="1.0" encoding="utf-8"?>
<formControlPr xmlns="http://schemas.microsoft.com/office/spreadsheetml/2009/9/main" objectType="CheckBox" fmlaLink="$H$5" lockText="1" noThreeD="1"/>
</file>

<file path=xl/ctrlProps/ctrlProp271.xml><?xml version="1.0" encoding="utf-8"?>
<formControlPr xmlns="http://schemas.microsoft.com/office/spreadsheetml/2009/9/main" objectType="CheckBox" fmlaLink="$I$5" lockText="1" noThreeD="1"/>
</file>

<file path=xl/ctrlProps/ctrlProp272.xml><?xml version="1.0" encoding="utf-8"?>
<formControlPr xmlns="http://schemas.microsoft.com/office/spreadsheetml/2009/9/main" objectType="CheckBox" fmlaLink="$J$5" lockText="1" noThreeD="1"/>
</file>

<file path=xl/ctrlProps/ctrlProp273.xml><?xml version="1.0" encoding="utf-8"?>
<formControlPr xmlns="http://schemas.microsoft.com/office/spreadsheetml/2009/9/main" objectType="CheckBox" fmlaLink="$K$5" lockText="1" noThreeD="1"/>
</file>

<file path=xl/ctrlProps/ctrlProp274.xml><?xml version="1.0" encoding="utf-8"?>
<formControlPr xmlns="http://schemas.microsoft.com/office/spreadsheetml/2009/9/main" objectType="CheckBox" fmlaLink="$L$5" lockText="1" noThreeD="1"/>
</file>

<file path=xl/ctrlProps/ctrlProp275.xml><?xml version="1.0" encoding="utf-8"?>
<formControlPr xmlns="http://schemas.microsoft.com/office/spreadsheetml/2009/9/main" objectType="CheckBox" fmlaLink="$M$5" lockText="1" noThreeD="1"/>
</file>

<file path=xl/ctrlProps/ctrlProp276.xml><?xml version="1.0" encoding="utf-8"?>
<formControlPr xmlns="http://schemas.microsoft.com/office/spreadsheetml/2009/9/main" objectType="CheckBox" fmlaLink="$N$5" lockText="1" noThreeD="1"/>
</file>

<file path=xl/ctrlProps/ctrlProp277.xml><?xml version="1.0" encoding="utf-8"?>
<formControlPr xmlns="http://schemas.microsoft.com/office/spreadsheetml/2009/9/main" objectType="CheckBox" fmlaLink="$O$5" lockText="1" noThreeD="1"/>
</file>

<file path=xl/ctrlProps/ctrlProp278.xml><?xml version="1.0" encoding="utf-8"?>
<formControlPr xmlns="http://schemas.microsoft.com/office/spreadsheetml/2009/9/main" objectType="CheckBox" fmlaLink="$D$67" lockText="1" noThreeD="1"/>
</file>

<file path=xl/ctrlProps/ctrlProp279.xml><?xml version="1.0" encoding="utf-8"?>
<formControlPr xmlns="http://schemas.microsoft.com/office/spreadsheetml/2009/9/main" objectType="CheckBox" fmlaLink="$E$67" lockText="1" noThreeD="1"/>
</file>

<file path=xl/ctrlProps/ctrlProp28.xml><?xml version="1.0" encoding="utf-8"?>
<formControlPr xmlns="http://schemas.microsoft.com/office/spreadsheetml/2009/9/main" objectType="CheckBox" fmlaLink="$K$377" lockText="1" noThreeD="1"/>
</file>

<file path=xl/ctrlProps/ctrlProp280.xml><?xml version="1.0" encoding="utf-8"?>
<formControlPr xmlns="http://schemas.microsoft.com/office/spreadsheetml/2009/9/main" objectType="CheckBox" fmlaLink="$F$67" lockText="1" noThreeD="1"/>
</file>

<file path=xl/ctrlProps/ctrlProp281.xml><?xml version="1.0" encoding="utf-8"?>
<formControlPr xmlns="http://schemas.microsoft.com/office/spreadsheetml/2009/9/main" objectType="CheckBox" fmlaLink="$G$67" lockText="1" noThreeD="1"/>
</file>

<file path=xl/ctrlProps/ctrlProp282.xml><?xml version="1.0" encoding="utf-8"?>
<formControlPr xmlns="http://schemas.microsoft.com/office/spreadsheetml/2009/9/main" objectType="CheckBox" fmlaLink="$H$67" lockText="1" noThreeD="1"/>
</file>

<file path=xl/ctrlProps/ctrlProp283.xml><?xml version="1.0" encoding="utf-8"?>
<formControlPr xmlns="http://schemas.microsoft.com/office/spreadsheetml/2009/9/main" objectType="CheckBox" fmlaLink="$I$67" lockText="1" noThreeD="1"/>
</file>

<file path=xl/ctrlProps/ctrlProp284.xml><?xml version="1.0" encoding="utf-8"?>
<formControlPr xmlns="http://schemas.microsoft.com/office/spreadsheetml/2009/9/main" objectType="CheckBox" fmlaLink="$J$67" lockText="1" noThreeD="1"/>
</file>

<file path=xl/ctrlProps/ctrlProp285.xml><?xml version="1.0" encoding="utf-8"?>
<formControlPr xmlns="http://schemas.microsoft.com/office/spreadsheetml/2009/9/main" objectType="CheckBox" fmlaLink="$K$67" lockText="1" noThreeD="1"/>
</file>

<file path=xl/ctrlProps/ctrlProp286.xml><?xml version="1.0" encoding="utf-8"?>
<formControlPr xmlns="http://schemas.microsoft.com/office/spreadsheetml/2009/9/main" objectType="CheckBox" fmlaLink="$L$67" lockText="1" noThreeD="1"/>
</file>

<file path=xl/ctrlProps/ctrlProp287.xml><?xml version="1.0" encoding="utf-8"?>
<formControlPr xmlns="http://schemas.microsoft.com/office/spreadsheetml/2009/9/main" objectType="CheckBox" fmlaLink="$M$67" lockText="1" noThreeD="1"/>
</file>

<file path=xl/ctrlProps/ctrlProp288.xml><?xml version="1.0" encoding="utf-8"?>
<formControlPr xmlns="http://schemas.microsoft.com/office/spreadsheetml/2009/9/main" objectType="CheckBox" fmlaLink="$N$67" lockText="1" noThreeD="1"/>
</file>

<file path=xl/ctrlProps/ctrlProp289.xml><?xml version="1.0" encoding="utf-8"?>
<formControlPr xmlns="http://schemas.microsoft.com/office/spreadsheetml/2009/9/main" objectType="CheckBox" fmlaLink="$O$67" lockText="1" noThreeD="1"/>
</file>

<file path=xl/ctrlProps/ctrlProp29.xml><?xml version="1.0" encoding="utf-8"?>
<formControlPr xmlns="http://schemas.microsoft.com/office/spreadsheetml/2009/9/main" objectType="CheckBox" fmlaLink="$L$377" lockText="1" noThreeD="1"/>
</file>

<file path=xl/ctrlProps/ctrlProp290.xml><?xml version="1.0" encoding="utf-8"?>
<formControlPr xmlns="http://schemas.microsoft.com/office/spreadsheetml/2009/9/main" objectType="CheckBox" fmlaLink="$D$69" lockText="1" noThreeD="1"/>
</file>

<file path=xl/ctrlProps/ctrlProp291.xml><?xml version="1.0" encoding="utf-8"?>
<formControlPr xmlns="http://schemas.microsoft.com/office/spreadsheetml/2009/9/main" objectType="CheckBox" fmlaLink="$E$69" lockText="1" noThreeD="1"/>
</file>

<file path=xl/ctrlProps/ctrlProp292.xml><?xml version="1.0" encoding="utf-8"?>
<formControlPr xmlns="http://schemas.microsoft.com/office/spreadsheetml/2009/9/main" objectType="CheckBox" fmlaLink="$F$69" lockText="1" noThreeD="1"/>
</file>

<file path=xl/ctrlProps/ctrlProp293.xml><?xml version="1.0" encoding="utf-8"?>
<formControlPr xmlns="http://schemas.microsoft.com/office/spreadsheetml/2009/9/main" objectType="CheckBox" fmlaLink="$G$69" lockText="1" noThreeD="1"/>
</file>

<file path=xl/ctrlProps/ctrlProp294.xml><?xml version="1.0" encoding="utf-8"?>
<formControlPr xmlns="http://schemas.microsoft.com/office/spreadsheetml/2009/9/main" objectType="CheckBox" fmlaLink="$H$69" lockText="1" noThreeD="1"/>
</file>

<file path=xl/ctrlProps/ctrlProp295.xml><?xml version="1.0" encoding="utf-8"?>
<formControlPr xmlns="http://schemas.microsoft.com/office/spreadsheetml/2009/9/main" objectType="CheckBox" fmlaLink="$I$69" lockText="1" noThreeD="1"/>
</file>

<file path=xl/ctrlProps/ctrlProp296.xml><?xml version="1.0" encoding="utf-8"?>
<formControlPr xmlns="http://schemas.microsoft.com/office/spreadsheetml/2009/9/main" objectType="CheckBox" fmlaLink="$J$69" lockText="1" noThreeD="1"/>
</file>

<file path=xl/ctrlProps/ctrlProp297.xml><?xml version="1.0" encoding="utf-8"?>
<formControlPr xmlns="http://schemas.microsoft.com/office/spreadsheetml/2009/9/main" objectType="CheckBox" fmlaLink="$K$69" lockText="1" noThreeD="1"/>
</file>

<file path=xl/ctrlProps/ctrlProp298.xml><?xml version="1.0" encoding="utf-8"?>
<formControlPr xmlns="http://schemas.microsoft.com/office/spreadsheetml/2009/9/main" objectType="CheckBox" fmlaLink="$L$69" lockText="1" noThreeD="1"/>
</file>

<file path=xl/ctrlProps/ctrlProp299.xml><?xml version="1.0" encoding="utf-8"?>
<formControlPr xmlns="http://schemas.microsoft.com/office/spreadsheetml/2009/9/main" objectType="CheckBox" fmlaLink="$M$69" lockText="1" noThreeD="1"/>
</file>

<file path=xl/ctrlProps/ctrlProp3.xml><?xml version="1.0" encoding="utf-8"?>
<formControlPr xmlns="http://schemas.microsoft.com/office/spreadsheetml/2009/9/main" objectType="CheckBox" checked="Checked" fmlaLink="$E$5" lockText="1" noThreeD="1"/>
</file>

<file path=xl/ctrlProps/ctrlProp30.xml><?xml version="1.0" encoding="utf-8"?>
<formControlPr xmlns="http://schemas.microsoft.com/office/spreadsheetml/2009/9/main" objectType="CheckBox" fmlaLink="$M$377" lockText="1" noThreeD="1"/>
</file>

<file path=xl/ctrlProps/ctrlProp300.xml><?xml version="1.0" encoding="utf-8"?>
<formControlPr xmlns="http://schemas.microsoft.com/office/spreadsheetml/2009/9/main" objectType="CheckBox" fmlaLink="$N$69" lockText="1" noThreeD="1"/>
</file>

<file path=xl/ctrlProps/ctrlProp301.xml><?xml version="1.0" encoding="utf-8"?>
<formControlPr xmlns="http://schemas.microsoft.com/office/spreadsheetml/2009/9/main" objectType="CheckBox" fmlaLink="$O$69" lockText="1" noThreeD="1"/>
</file>

<file path=xl/ctrlProps/ctrlProp302.xml><?xml version="1.0" encoding="utf-8"?>
<formControlPr xmlns="http://schemas.microsoft.com/office/spreadsheetml/2009/9/main" objectType="CheckBox" fmlaLink="$D$71" lockText="1" noThreeD="1"/>
</file>

<file path=xl/ctrlProps/ctrlProp303.xml><?xml version="1.0" encoding="utf-8"?>
<formControlPr xmlns="http://schemas.microsoft.com/office/spreadsheetml/2009/9/main" objectType="CheckBox" fmlaLink="$E$71" lockText="1" noThreeD="1"/>
</file>

<file path=xl/ctrlProps/ctrlProp304.xml><?xml version="1.0" encoding="utf-8"?>
<formControlPr xmlns="http://schemas.microsoft.com/office/spreadsheetml/2009/9/main" objectType="CheckBox" fmlaLink="$F$71" lockText="1" noThreeD="1"/>
</file>

<file path=xl/ctrlProps/ctrlProp305.xml><?xml version="1.0" encoding="utf-8"?>
<formControlPr xmlns="http://schemas.microsoft.com/office/spreadsheetml/2009/9/main" objectType="CheckBox" fmlaLink="$G$71" lockText="1" noThreeD="1"/>
</file>

<file path=xl/ctrlProps/ctrlProp306.xml><?xml version="1.0" encoding="utf-8"?>
<formControlPr xmlns="http://schemas.microsoft.com/office/spreadsheetml/2009/9/main" objectType="CheckBox" fmlaLink="$H$71" lockText="1" noThreeD="1"/>
</file>

<file path=xl/ctrlProps/ctrlProp307.xml><?xml version="1.0" encoding="utf-8"?>
<formControlPr xmlns="http://schemas.microsoft.com/office/spreadsheetml/2009/9/main" objectType="CheckBox" fmlaLink="$I$71" lockText="1" noThreeD="1"/>
</file>

<file path=xl/ctrlProps/ctrlProp308.xml><?xml version="1.0" encoding="utf-8"?>
<formControlPr xmlns="http://schemas.microsoft.com/office/spreadsheetml/2009/9/main" objectType="CheckBox" fmlaLink="$J$71" lockText="1" noThreeD="1"/>
</file>

<file path=xl/ctrlProps/ctrlProp309.xml><?xml version="1.0" encoding="utf-8"?>
<formControlPr xmlns="http://schemas.microsoft.com/office/spreadsheetml/2009/9/main" objectType="CheckBox" fmlaLink="$K$71" lockText="1" noThreeD="1"/>
</file>

<file path=xl/ctrlProps/ctrlProp31.xml><?xml version="1.0" encoding="utf-8"?>
<formControlPr xmlns="http://schemas.microsoft.com/office/spreadsheetml/2009/9/main" objectType="CheckBox" fmlaLink="$N$377" lockText="1" noThreeD="1"/>
</file>

<file path=xl/ctrlProps/ctrlProp310.xml><?xml version="1.0" encoding="utf-8"?>
<formControlPr xmlns="http://schemas.microsoft.com/office/spreadsheetml/2009/9/main" objectType="CheckBox" fmlaLink="$L$71" lockText="1" noThreeD="1"/>
</file>

<file path=xl/ctrlProps/ctrlProp311.xml><?xml version="1.0" encoding="utf-8"?>
<formControlPr xmlns="http://schemas.microsoft.com/office/spreadsheetml/2009/9/main" objectType="CheckBox" fmlaLink="$M$71" lockText="1" noThreeD="1"/>
</file>

<file path=xl/ctrlProps/ctrlProp312.xml><?xml version="1.0" encoding="utf-8"?>
<formControlPr xmlns="http://schemas.microsoft.com/office/spreadsheetml/2009/9/main" objectType="CheckBox" fmlaLink="$N$71" lockText="1" noThreeD="1"/>
</file>

<file path=xl/ctrlProps/ctrlProp313.xml><?xml version="1.0" encoding="utf-8"?>
<formControlPr xmlns="http://schemas.microsoft.com/office/spreadsheetml/2009/9/main" objectType="CheckBox" fmlaLink="$O$71" lockText="1" noThreeD="1"/>
</file>

<file path=xl/ctrlProps/ctrlProp314.xml><?xml version="1.0" encoding="utf-8"?>
<formControlPr xmlns="http://schemas.microsoft.com/office/spreadsheetml/2009/9/main" objectType="Spin" dx="22" fmlaLink="$B$23" max="5" page="10" val="0"/>
</file>

<file path=xl/ctrlProps/ctrlProp315.xml><?xml version="1.0" encoding="utf-8"?>
<formControlPr xmlns="http://schemas.microsoft.com/office/spreadsheetml/2009/9/main" objectType="Spin" dx="22" fmlaLink="$B$25" max="5" page="10" val="0"/>
</file>

<file path=xl/ctrlProps/ctrlProp316.xml><?xml version="1.0" encoding="utf-8"?>
<formControlPr xmlns="http://schemas.microsoft.com/office/spreadsheetml/2009/9/main" objectType="Spin" dx="22" fmlaLink="$B$27" max="50" page="10" val="18"/>
</file>

<file path=xl/ctrlProps/ctrlProp317.xml><?xml version="1.0" encoding="utf-8"?>
<formControlPr xmlns="http://schemas.microsoft.com/office/spreadsheetml/2009/9/main" objectType="Spin" dx="22" fmlaLink="$B$29" inc="1000" max="30000" page="10" val="10000"/>
</file>

<file path=xl/ctrlProps/ctrlProp318.xml><?xml version="1.0" encoding="utf-8"?>
<formControlPr xmlns="http://schemas.microsoft.com/office/spreadsheetml/2009/9/main" objectType="Spin" dx="22" fmlaLink="$B$31" inc="1000" max="30000" page="10" val="30000"/>
</file>

<file path=xl/ctrlProps/ctrlProp319.xml><?xml version="1.0" encoding="utf-8"?>
<formControlPr xmlns="http://schemas.microsoft.com/office/spreadsheetml/2009/9/main" objectType="Spin" dx="22" fmlaLink="$B$33" inc="50" max="1000" page="10" val="200"/>
</file>

<file path=xl/ctrlProps/ctrlProp32.xml><?xml version="1.0" encoding="utf-8"?>
<formControlPr xmlns="http://schemas.microsoft.com/office/spreadsheetml/2009/9/main" objectType="CheckBox" fmlaLink="$O$377" lockText="1" noThreeD="1"/>
</file>

<file path=xl/ctrlProps/ctrlProp320.xml><?xml version="1.0" encoding="utf-8"?>
<formControlPr xmlns="http://schemas.microsoft.com/office/spreadsheetml/2009/9/main" objectType="Spin" dx="22" fmlaLink="$B$37" max="5" page="10" val="0"/>
</file>

<file path=xl/ctrlProps/ctrlProp321.xml><?xml version="1.0" encoding="utf-8"?>
<formControlPr xmlns="http://schemas.microsoft.com/office/spreadsheetml/2009/9/main" objectType="Spin" dx="22" fmlaLink="$B$39" max="5" page="10" val="0"/>
</file>

<file path=xl/ctrlProps/ctrlProp322.xml><?xml version="1.0" encoding="utf-8"?>
<formControlPr xmlns="http://schemas.microsoft.com/office/spreadsheetml/2009/9/main" objectType="Spin" dx="22" fmlaLink="$B$41" max="50" page="10" val="33"/>
</file>

<file path=xl/ctrlProps/ctrlProp323.xml><?xml version="1.0" encoding="utf-8"?>
<formControlPr xmlns="http://schemas.microsoft.com/office/spreadsheetml/2009/9/main" objectType="Spin" dx="22" fmlaLink="$B$43" inc="1000" max="30000" page="10" val="10000"/>
</file>

<file path=xl/ctrlProps/ctrlProp324.xml><?xml version="1.0" encoding="utf-8"?>
<formControlPr xmlns="http://schemas.microsoft.com/office/spreadsheetml/2009/9/main" objectType="Spin" dx="22" fmlaLink="$B$45" inc="1000" max="30000" page="10" val="6000"/>
</file>

<file path=xl/ctrlProps/ctrlProp325.xml><?xml version="1.0" encoding="utf-8"?>
<formControlPr xmlns="http://schemas.microsoft.com/office/spreadsheetml/2009/9/main" objectType="Spin" dx="22" fmlaLink="$B$47" inc="50" max="1000" page="10" val="200"/>
</file>

<file path=xl/ctrlProps/ctrlProp326.xml><?xml version="1.0" encoding="utf-8"?>
<formControlPr xmlns="http://schemas.microsoft.com/office/spreadsheetml/2009/9/main" objectType="CheckBox" fmlaLink="$D$5" lockText="1" noThreeD="1"/>
</file>

<file path=xl/ctrlProps/ctrlProp327.xml><?xml version="1.0" encoding="utf-8"?>
<formControlPr xmlns="http://schemas.microsoft.com/office/spreadsheetml/2009/9/main" objectType="CheckBox" fmlaLink="$E$5" lockText="1" noThreeD="1"/>
</file>

<file path=xl/ctrlProps/ctrlProp328.xml><?xml version="1.0" encoding="utf-8"?>
<formControlPr xmlns="http://schemas.microsoft.com/office/spreadsheetml/2009/9/main" objectType="CheckBox" fmlaLink="$F$5" lockText="1" noThreeD="1"/>
</file>

<file path=xl/ctrlProps/ctrlProp329.xml><?xml version="1.0" encoding="utf-8"?>
<formControlPr xmlns="http://schemas.microsoft.com/office/spreadsheetml/2009/9/main" objectType="CheckBox" fmlaLink="$G$5" lockText="1" noThreeD="1"/>
</file>

<file path=xl/ctrlProps/ctrlProp33.xml><?xml version="1.0" encoding="utf-8"?>
<formControlPr xmlns="http://schemas.microsoft.com/office/spreadsheetml/2009/9/main" objectType="CheckBox" fmlaLink="$D$379" lockText="1" noThreeD="1"/>
</file>

<file path=xl/ctrlProps/ctrlProp330.xml><?xml version="1.0" encoding="utf-8"?>
<formControlPr xmlns="http://schemas.microsoft.com/office/spreadsheetml/2009/9/main" objectType="CheckBox" fmlaLink="$H$5" lockText="1" noThreeD="1"/>
</file>

<file path=xl/ctrlProps/ctrlProp331.xml><?xml version="1.0" encoding="utf-8"?>
<formControlPr xmlns="http://schemas.microsoft.com/office/spreadsheetml/2009/9/main" objectType="CheckBox" fmlaLink="$I$5" lockText="1" noThreeD="1"/>
</file>

<file path=xl/ctrlProps/ctrlProp332.xml><?xml version="1.0" encoding="utf-8"?>
<formControlPr xmlns="http://schemas.microsoft.com/office/spreadsheetml/2009/9/main" objectType="CheckBox" fmlaLink="$J$5" lockText="1" noThreeD="1"/>
</file>

<file path=xl/ctrlProps/ctrlProp333.xml><?xml version="1.0" encoding="utf-8"?>
<formControlPr xmlns="http://schemas.microsoft.com/office/spreadsheetml/2009/9/main" objectType="CheckBox" fmlaLink="$K$5" lockText="1" noThreeD="1"/>
</file>

<file path=xl/ctrlProps/ctrlProp334.xml><?xml version="1.0" encoding="utf-8"?>
<formControlPr xmlns="http://schemas.microsoft.com/office/spreadsheetml/2009/9/main" objectType="CheckBox" fmlaLink="$L$5" lockText="1" noThreeD="1"/>
</file>

<file path=xl/ctrlProps/ctrlProp335.xml><?xml version="1.0" encoding="utf-8"?>
<formControlPr xmlns="http://schemas.microsoft.com/office/spreadsheetml/2009/9/main" objectType="CheckBox" fmlaLink="$M$5" lockText="1" noThreeD="1"/>
</file>

<file path=xl/ctrlProps/ctrlProp336.xml><?xml version="1.0" encoding="utf-8"?>
<formControlPr xmlns="http://schemas.microsoft.com/office/spreadsheetml/2009/9/main" objectType="CheckBox" fmlaLink="$N$5" lockText="1" noThreeD="1"/>
</file>

<file path=xl/ctrlProps/ctrlProp337.xml><?xml version="1.0" encoding="utf-8"?>
<formControlPr xmlns="http://schemas.microsoft.com/office/spreadsheetml/2009/9/main" objectType="CheckBox" fmlaLink="$O$5" lockText="1" noThreeD="1"/>
</file>

<file path=xl/ctrlProps/ctrlProp34.xml><?xml version="1.0" encoding="utf-8"?>
<formControlPr xmlns="http://schemas.microsoft.com/office/spreadsheetml/2009/9/main" objectType="CheckBox" fmlaLink="$E$379" lockText="1" noThreeD="1"/>
</file>

<file path=xl/ctrlProps/ctrlProp35.xml><?xml version="1.0" encoding="utf-8"?>
<formControlPr xmlns="http://schemas.microsoft.com/office/spreadsheetml/2009/9/main" objectType="CheckBox" fmlaLink="$F$379" lockText="1" noThreeD="1"/>
</file>

<file path=xl/ctrlProps/ctrlProp36.xml><?xml version="1.0" encoding="utf-8"?>
<formControlPr xmlns="http://schemas.microsoft.com/office/spreadsheetml/2009/9/main" objectType="CheckBox" fmlaLink="$G$379" lockText="1" noThreeD="1"/>
</file>

<file path=xl/ctrlProps/ctrlProp37.xml><?xml version="1.0" encoding="utf-8"?>
<formControlPr xmlns="http://schemas.microsoft.com/office/spreadsheetml/2009/9/main" objectType="CheckBox" fmlaLink="$H$379" lockText="1" noThreeD="1"/>
</file>

<file path=xl/ctrlProps/ctrlProp38.xml><?xml version="1.0" encoding="utf-8"?>
<formControlPr xmlns="http://schemas.microsoft.com/office/spreadsheetml/2009/9/main" objectType="CheckBox" fmlaLink="$I$379" lockText="1" noThreeD="1"/>
</file>

<file path=xl/ctrlProps/ctrlProp39.xml><?xml version="1.0" encoding="utf-8"?>
<formControlPr xmlns="http://schemas.microsoft.com/office/spreadsheetml/2009/9/main" objectType="CheckBox" fmlaLink="$J$379" lockText="1" noThreeD="1"/>
</file>

<file path=xl/ctrlProps/ctrlProp4.xml><?xml version="1.0" encoding="utf-8"?>
<formControlPr xmlns="http://schemas.microsoft.com/office/spreadsheetml/2009/9/main" objectType="CheckBox" checked="Checked" fmlaLink="$F$5" lockText="1" noThreeD="1"/>
</file>

<file path=xl/ctrlProps/ctrlProp40.xml><?xml version="1.0" encoding="utf-8"?>
<formControlPr xmlns="http://schemas.microsoft.com/office/spreadsheetml/2009/9/main" objectType="CheckBox" fmlaLink="$K$379" lockText="1" noThreeD="1"/>
</file>

<file path=xl/ctrlProps/ctrlProp41.xml><?xml version="1.0" encoding="utf-8"?>
<formControlPr xmlns="http://schemas.microsoft.com/office/spreadsheetml/2009/9/main" objectType="CheckBox" fmlaLink="$L$379" lockText="1" noThreeD="1"/>
</file>

<file path=xl/ctrlProps/ctrlProp42.xml><?xml version="1.0" encoding="utf-8"?>
<formControlPr xmlns="http://schemas.microsoft.com/office/spreadsheetml/2009/9/main" objectType="CheckBox" fmlaLink="$M$379" lockText="1" noThreeD="1"/>
</file>

<file path=xl/ctrlProps/ctrlProp43.xml><?xml version="1.0" encoding="utf-8"?>
<formControlPr xmlns="http://schemas.microsoft.com/office/spreadsheetml/2009/9/main" objectType="CheckBox" fmlaLink="$N$379" lockText="1" noThreeD="1"/>
</file>

<file path=xl/ctrlProps/ctrlProp44.xml><?xml version="1.0" encoding="utf-8"?>
<formControlPr xmlns="http://schemas.microsoft.com/office/spreadsheetml/2009/9/main" objectType="CheckBox" fmlaLink="$O$379" lockText="1" noThreeD="1"/>
</file>

<file path=xl/ctrlProps/ctrlProp45.xml><?xml version="1.0" encoding="utf-8"?>
<formControlPr xmlns="http://schemas.microsoft.com/office/spreadsheetml/2009/9/main" objectType="CheckBox" fmlaLink="$D$381" lockText="1" noThreeD="1"/>
</file>

<file path=xl/ctrlProps/ctrlProp46.xml><?xml version="1.0" encoding="utf-8"?>
<formControlPr xmlns="http://schemas.microsoft.com/office/spreadsheetml/2009/9/main" objectType="CheckBox" fmlaLink="$E$381" lockText="1" noThreeD="1"/>
</file>

<file path=xl/ctrlProps/ctrlProp47.xml><?xml version="1.0" encoding="utf-8"?>
<formControlPr xmlns="http://schemas.microsoft.com/office/spreadsheetml/2009/9/main" objectType="CheckBox" fmlaLink="$F$381" lockText="1" noThreeD="1"/>
</file>

<file path=xl/ctrlProps/ctrlProp48.xml><?xml version="1.0" encoding="utf-8"?>
<formControlPr xmlns="http://schemas.microsoft.com/office/spreadsheetml/2009/9/main" objectType="CheckBox" fmlaLink="$G$381" lockText="1" noThreeD="1"/>
</file>

<file path=xl/ctrlProps/ctrlProp49.xml><?xml version="1.0" encoding="utf-8"?>
<formControlPr xmlns="http://schemas.microsoft.com/office/spreadsheetml/2009/9/main" objectType="CheckBox" fmlaLink="$H$381" lockText="1" noThreeD="1"/>
</file>

<file path=xl/ctrlProps/ctrlProp5.xml><?xml version="1.0" encoding="utf-8"?>
<formControlPr xmlns="http://schemas.microsoft.com/office/spreadsheetml/2009/9/main" objectType="CheckBox" fmlaLink="$G$5" lockText="1" noThreeD="1"/>
</file>

<file path=xl/ctrlProps/ctrlProp50.xml><?xml version="1.0" encoding="utf-8"?>
<formControlPr xmlns="http://schemas.microsoft.com/office/spreadsheetml/2009/9/main" objectType="CheckBox" fmlaLink="$I$381" lockText="1" noThreeD="1"/>
</file>

<file path=xl/ctrlProps/ctrlProp51.xml><?xml version="1.0" encoding="utf-8"?>
<formControlPr xmlns="http://schemas.microsoft.com/office/spreadsheetml/2009/9/main" objectType="CheckBox" fmlaLink="$J$381" lockText="1" noThreeD="1"/>
</file>

<file path=xl/ctrlProps/ctrlProp52.xml><?xml version="1.0" encoding="utf-8"?>
<formControlPr xmlns="http://schemas.microsoft.com/office/spreadsheetml/2009/9/main" objectType="CheckBox" fmlaLink="$K$381" lockText="1" noThreeD="1"/>
</file>

<file path=xl/ctrlProps/ctrlProp53.xml><?xml version="1.0" encoding="utf-8"?>
<formControlPr xmlns="http://schemas.microsoft.com/office/spreadsheetml/2009/9/main" objectType="CheckBox" fmlaLink="$L$381" lockText="1" noThreeD="1"/>
</file>

<file path=xl/ctrlProps/ctrlProp54.xml><?xml version="1.0" encoding="utf-8"?>
<formControlPr xmlns="http://schemas.microsoft.com/office/spreadsheetml/2009/9/main" objectType="CheckBox" fmlaLink="$M$381" lockText="1" noThreeD="1"/>
</file>

<file path=xl/ctrlProps/ctrlProp55.xml><?xml version="1.0" encoding="utf-8"?>
<formControlPr xmlns="http://schemas.microsoft.com/office/spreadsheetml/2009/9/main" objectType="CheckBox" fmlaLink="$N$381" lockText="1" noThreeD="1"/>
</file>

<file path=xl/ctrlProps/ctrlProp56.xml><?xml version="1.0" encoding="utf-8"?>
<formControlPr xmlns="http://schemas.microsoft.com/office/spreadsheetml/2009/9/main" objectType="CheckBox" fmlaLink="$O$381" lockText="1" noThreeD="1"/>
</file>

<file path=xl/ctrlProps/ctrlProp57.xml><?xml version="1.0" encoding="utf-8"?>
<formControlPr xmlns="http://schemas.microsoft.com/office/spreadsheetml/2009/9/main" objectType="Spin" dx="22" fmlaLink="$B$290" max="5" page="10"/>
</file>

<file path=xl/ctrlProps/ctrlProp58.xml><?xml version="1.0" encoding="utf-8"?>
<formControlPr xmlns="http://schemas.microsoft.com/office/spreadsheetml/2009/9/main" objectType="Spin" dx="22" fmlaLink="$B$292" max="5" page="10"/>
</file>

<file path=xl/ctrlProps/ctrlProp59.xml><?xml version="1.0" encoding="utf-8"?>
<formControlPr xmlns="http://schemas.microsoft.com/office/spreadsheetml/2009/9/main" objectType="Spin" dx="22" fmlaLink="$B$294" max="50" page="10" val="30"/>
</file>

<file path=xl/ctrlProps/ctrlProp6.xml><?xml version="1.0" encoding="utf-8"?>
<formControlPr xmlns="http://schemas.microsoft.com/office/spreadsheetml/2009/9/main" objectType="CheckBox" fmlaLink="$H$5" lockText="1" noThreeD="1"/>
</file>

<file path=xl/ctrlProps/ctrlProp60.xml><?xml version="1.0" encoding="utf-8"?>
<formControlPr xmlns="http://schemas.microsoft.com/office/spreadsheetml/2009/9/main" objectType="Spin" dx="22" fmlaLink="$B$296" inc="1000" max="30000" page="10" val="30000"/>
</file>

<file path=xl/ctrlProps/ctrlProp61.xml><?xml version="1.0" encoding="utf-8"?>
<formControlPr xmlns="http://schemas.microsoft.com/office/spreadsheetml/2009/9/main" objectType="Spin" dx="22" fmlaLink="$B$298" inc="1000" max="30000" page="10" val="28000"/>
</file>

<file path=xl/ctrlProps/ctrlProp62.xml><?xml version="1.0" encoding="utf-8"?>
<formControlPr xmlns="http://schemas.microsoft.com/office/spreadsheetml/2009/9/main" objectType="Spin" dx="22" fmlaLink="$B$300" inc="50" max="1000" page="10" val="110"/>
</file>

<file path=xl/ctrlProps/ctrlProp63.xml><?xml version="1.0" encoding="utf-8"?>
<formControlPr xmlns="http://schemas.microsoft.com/office/spreadsheetml/2009/9/main" objectType="Spin" dx="22" fmlaLink="$B$304" max="5" page="10" val="0"/>
</file>

<file path=xl/ctrlProps/ctrlProp64.xml><?xml version="1.0" encoding="utf-8"?>
<formControlPr xmlns="http://schemas.microsoft.com/office/spreadsheetml/2009/9/main" objectType="Spin" dx="22" fmlaLink="$B$306" max="5" page="10"/>
</file>

<file path=xl/ctrlProps/ctrlProp65.xml><?xml version="1.0" encoding="utf-8"?>
<formControlPr xmlns="http://schemas.microsoft.com/office/spreadsheetml/2009/9/main" objectType="Spin" dx="22" fmlaLink="$B$308" max="50" page="10" val="48"/>
</file>

<file path=xl/ctrlProps/ctrlProp66.xml><?xml version="1.0" encoding="utf-8"?>
<formControlPr xmlns="http://schemas.microsoft.com/office/spreadsheetml/2009/9/main" objectType="Spin" dx="22" fmlaLink="$B$310" inc="1000" max="30000" page="10" val="24400"/>
</file>

<file path=xl/ctrlProps/ctrlProp67.xml><?xml version="1.0" encoding="utf-8"?>
<formControlPr xmlns="http://schemas.microsoft.com/office/spreadsheetml/2009/9/main" objectType="Spin" dx="22" fmlaLink="$B$312" inc="1000" max="30000" page="10" val="30000"/>
</file>

<file path=xl/ctrlProps/ctrlProp68.xml><?xml version="1.0" encoding="utf-8"?>
<formControlPr xmlns="http://schemas.microsoft.com/office/spreadsheetml/2009/9/main" objectType="Spin" dx="22" fmlaLink="$B$314" inc="50" max="1000" page="10" val="1000"/>
</file>

<file path=xl/ctrlProps/ctrlProp69.xml><?xml version="1.0" encoding="utf-8"?>
<formControlPr xmlns="http://schemas.microsoft.com/office/spreadsheetml/2009/9/main" objectType="CheckBox" checked="Checked" fmlaLink="$D$267" lockText="1" noThreeD="1"/>
</file>

<file path=xl/ctrlProps/ctrlProp7.xml><?xml version="1.0" encoding="utf-8"?>
<formControlPr xmlns="http://schemas.microsoft.com/office/spreadsheetml/2009/9/main" objectType="CheckBox" fmlaLink="$I$5" lockText="1" noThreeD="1"/>
</file>

<file path=xl/ctrlProps/ctrlProp70.xml><?xml version="1.0" encoding="utf-8"?>
<formControlPr xmlns="http://schemas.microsoft.com/office/spreadsheetml/2009/9/main" objectType="CheckBox" fmlaLink="$E$267" lockText="1" noThreeD="1"/>
</file>

<file path=xl/ctrlProps/ctrlProp71.xml><?xml version="1.0" encoding="utf-8"?>
<formControlPr xmlns="http://schemas.microsoft.com/office/spreadsheetml/2009/9/main" objectType="CheckBox" fmlaLink="$F$267" lockText="1" noThreeD="1"/>
</file>

<file path=xl/ctrlProps/ctrlProp72.xml><?xml version="1.0" encoding="utf-8"?>
<formControlPr xmlns="http://schemas.microsoft.com/office/spreadsheetml/2009/9/main" objectType="CheckBox" fmlaLink="$G$267" lockText="1" noThreeD="1"/>
</file>

<file path=xl/ctrlProps/ctrlProp73.xml><?xml version="1.0" encoding="utf-8"?>
<formControlPr xmlns="http://schemas.microsoft.com/office/spreadsheetml/2009/9/main" objectType="CheckBox" fmlaLink="$H$267" lockText="1" noThreeD="1"/>
</file>

<file path=xl/ctrlProps/ctrlProp74.xml><?xml version="1.0" encoding="utf-8"?>
<formControlPr xmlns="http://schemas.microsoft.com/office/spreadsheetml/2009/9/main" objectType="CheckBox" fmlaLink="$I$267" lockText="1" noThreeD="1"/>
</file>

<file path=xl/ctrlProps/ctrlProp75.xml><?xml version="1.0" encoding="utf-8"?>
<formControlPr xmlns="http://schemas.microsoft.com/office/spreadsheetml/2009/9/main" objectType="CheckBox" fmlaLink="$J$267" lockText="1" noThreeD="1"/>
</file>

<file path=xl/ctrlProps/ctrlProp76.xml><?xml version="1.0" encoding="utf-8"?>
<formControlPr xmlns="http://schemas.microsoft.com/office/spreadsheetml/2009/9/main" objectType="CheckBox" fmlaLink="$K$267" lockText="1" noThreeD="1"/>
</file>

<file path=xl/ctrlProps/ctrlProp77.xml><?xml version="1.0" encoding="utf-8"?>
<formControlPr xmlns="http://schemas.microsoft.com/office/spreadsheetml/2009/9/main" objectType="CheckBox" fmlaLink="$L$267" lockText="1" noThreeD="1"/>
</file>

<file path=xl/ctrlProps/ctrlProp78.xml><?xml version="1.0" encoding="utf-8"?>
<formControlPr xmlns="http://schemas.microsoft.com/office/spreadsheetml/2009/9/main" objectType="CheckBox" fmlaLink="$M$267" lockText="1" noThreeD="1"/>
</file>

<file path=xl/ctrlProps/ctrlProp79.xml><?xml version="1.0" encoding="utf-8"?>
<formControlPr xmlns="http://schemas.microsoft.com/office/spreadsheetml/2009/9/main" objectType="CheckBox" fmlaLink="$N$267" lockText="1" noThreeD="1"/>
</file>

<file path=xl/ctrlProps/ctrlProp8.xml><?xml version="1.0" encoding="utf-8"?>
<formControlPr xmlns="http://schemas.microsoft.com/office/spreadsheetml/2009/9/main" objectType="CheckBox" fmlaLink="$J$5" lockText="1" noThreeD="1"/>
</file>

<file path=xl/ctrlProps/ctrlProp80.xml><?xml version="1.0" encoding="utf-8"?>
<formControlPr xmlns="http://schemas.microsoft.com/office/spreadsheetml/2009/9/main" objectType="CheckBox" fmlaLink="$O$267" lockText="1" noThreeD="1"/>
</file>

<file path=xl/ctrlProps/ctrlProp81.xml><?xml version="1.0" encoding="utf-8"?>
<formControlPr xmlns="http://schemas.microsoft.com/office/spreadsheetml/2009/9/main" objectType="CheckBox" fmlaLink="$E$267" lockText="1" noThreeD="1"/>
</file>

<file path=xl/ctrlProps/ctrlProp82.xml><?xml version="1.0" encoding="utf-8"?>
<formControlPr xmlns="http://schemas.microsoft.com/office/spreadsheetml/2009/9/main" objectType="CheckBox" fmlaLink="$H$10" lockText="1" noThreeD="1"/>
</file>

<file path=xl/ctrlProps/ctrlProp83.xml><?xml version="1.0" encoding="utf-8"?>
<formControlPr xmlns="http://schemas.microsoft.com/office/spreadsheetml/2009/9/main" objectType="CheckBox" fmlaLink="$D$67" lockText="1" noThreeD="1"/>
</file>

<file path=xl/ctrlProps/ctrlProp84.xml><?xml version="1.0" encoding="utf-8"?>
<formControlPr xmlns="http://schemas.microsoft.com/office/spreadsheetml/2009/9/main" objectType="CheckBox" fmlaLink="$E$67" lockText="1" noThreeD="1"/>
</file>

<file path=xl/ctrlProps/ctrlProp85.xml><?xml version="1.0" encoding="utf-8"?>
<formControlPr xmlns="http://schemas.microsoft.com/office/spreadsheetml/2009/9/main" objectType="CheckBox" fmlaLink="$F$67" lockText="1" noThreeD="1"/>
</file>

<file path=xl/ctrlProps/ctrlProp86.xml><?xml version="1.0" encoding="utf-8"?>
<formControlPr xmlns="http://schemas.microsoft.com/office/spreadsheetml/2009/9/main" objectType="CheckBox" fmlaLink="$G$67" lockText="1" noThreeD="1"/>
</file>

<file path=xl/ctrlProps/ctrlProp87.xml><?xml version="1.0" encoding="utf-8"?>
<formControlPr xmlns="http://schemas.microsoft.com/office/spreadsheetml/2009/9/main" objectType="CheckBox" fmlaLink="$H$67" lockText="1" noThreeD="1"/>
</file>

<file path=xl/ctrlProps/ctrlProp88.xml><?xml version="1.0" encoding="utf-8"?>
<formControlPr xmlns="http://schemas.microsoft.com/office/spreadsheetml/2009/9/main" objectType="CheckBox" fmlaLink="$I$67" lockText="1" noThreeD="1"/>
</file>

<file path=xl/ctrlProps/ctrlProp89.xml><?xml version="1.0" encoding="utf-8"?>
<formControlPr xmlns="http://schemas.microsoft.com/office/spreadsheetml/2009/9/main" objectType="CheckBox" fmlaLink="$J$67" lockText="1" noThreeD="1"/>
</file>

<file path=xl/ctrlProps/ctrlProp9.xml><?xml version="1.0" encoding="utf-8"?>
<formControlPr xmlns="http://schemas.microsoft.com/office/spreadsheetml/2009/9/main" objectType="CheckBox" fmlaLink="$K$5" lockText="1" noThreeD="1"/>
</file>

<file path=xl/ctrlProps/ctrlProp90.xml><?xml version="1.0" encoding="utf-8"?>
<formControlPr xmlns="http://schemas.microsoft.com/office/spreadsheetml/2009/9/main" objectType="CheckBox" fmlaLink="$K$67" lockText="1" noThreeD="1"/>
</file>

<file path=xl/ctrlProps/ctrlProp91.xml><?xml version="1.0" encoding="utf-8"?>
<formControlPr xmlns="http://schemas.microsoft.com/office/spreadsheetml/2009/9/main" objectType="CheckBox" fmlaLink="$L$67" lockText="1" noThreeD="1"/>
</file>

<file path=xl/ctrlProps/ctrlProp92.xml><?xml version="1.0" encoding="utf-8"?>
<formControlPr xmlns="http://schemas.microsoft.com/office/spreadsheetml/2009/9/main" objectType="CheckBox" fmlaLink="$M$67" lockText="1" noThreeD="1"/>
</file>

<file path=xl/ctrlProps/ctrlProp93.xml><?xml version="1.0" encoding="utf-8"?>
<formControlPr xmlns="http://schemas.microsoft.com/office/spreadsheetml/2009/9/main" objectType="CheckBox" fmlaLink="$N$67" lockText="1" noThreeD="1"/>
</file>

<file path=xl/ctrlProps/ctrlProp94.xml><?xml version="1.0" encoding="utf-8"?>
<formControlPr xmlns="http://schemas.microsoft.com/office/spreadsheetml/2009/9/main" objectType="CheckBox" fmlaLink="$O$67" lockText="1" noThreeD="1"/>
</file>

<file path=xl/ctrlProps/ctrlProp95.xml><?xml version="1.0" encoding="utf-8"?>
<formControlPr xmlns="http://schemas.microsoft.com/office/spreadsheetml/2009/9/main" objectType="CheckBox" fmlaLink="$D$69" lockText="1" noThreeD="1"/>
</file>

<file path=xl/ctrlProps/ctrlProp96.xml><?xml version="1.0" encoding="utf-8"?>
<formControlPr xmlns="http://schemas.microsoft.com/office/spreadsheetml/2009/9/main" objectType="CheckBox" fmlaLink="$E$69" lockText="1" noThreeD="1"/>
</file>

<file path=xl/ctrlProps/ctrlProp97.xml><?xml version="1.0" encoding="utf-8"?>
<formControlPr xmlns="http://schemas.microsoft.com/office/spreadsheetml/2009/9/main" objectType="CheckBox" fmlaLink="$F$69" lockText="1" noThreeD="1"/>
</file>

<file path=xl/ctrlProps/ctrlProp98.xml><?xml version="1.0" encoding="utf-8"?>
<formControlPr xmlns="http://schemas.microsoft.com/office/spreadsheetml/2009/9/main" objectType="CheckBox" fmlaLink="$G$69" lockText="1" noThreeD="1"/>
</file>

<file path=xl/ctrlProps/ctrlProp99.xml><?xml version="1.0" encoding="utf-8"?>
<formControlPr xmlns="http://schemas.microsoft.com/office/spreadsheetml/2009/9/main" objectType="CheckBox" fmlaLink="$H$69" lockText="1" noThreeD="1"/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190500</xdr:colOff>
          <xdr:row>7</xdr:row>
          <xdr:rowOff>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190500</xdr:colOff>
          <xdr:row>4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190500</xdr:colOff>
          <xdr:row>7</xdr:row>
          <xdr:rowOff>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190500</xdr:colOff>
          <xdr:row>7</xdr:row>
          <xdr:rowOff>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190500</xdr:colOff>
          <xdr:row>7</xdr:row>
          <xdr:rowOff>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190500</xdr:colOff>
          <xdr:row>7</xdr:row>
          <xdr:rowOff>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0</xdr:rowOff>
        </xdr:from>
        <xdr:to>
          <xdr:col>4</xdr:col>
          <xdr:colOff>238125</xdr:colOff>
          <xdr:row>8</xdr:row>
          <xdr:rowOff>190500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228600</xdr:colOff>
          <xdr:row>8</xdr:row>
          <xdr:rowOff>190500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0</xdr:rowOff>
        </xdr:from>
        <xdr:to>
          <xdr:col>6</xdr:col>
          <xdr:colOff>238125</xdr:colOff>
          <xdr:row>8</xdr:row>
          <xdr:rowOff>190500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375</xdr:row>
          <xdr:rowOff>9525</xdr:rowOff>
        </xdr:from>
        <xdr:to>
          <xdr:col>3</xdr:col>
          <xdr:colOff>219075</xdr:colOff>
          <xdr:row>376</xdr:row>
          <xdr:rowOff>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375</xdr:row>
          <xdr:rowOff>9525</xdr:rowOff>
        </xdr:from>
        <xdr:to>
          <xdr:col>4</xdr:col>
          <xdr:colOff>209550</xdr:colOff>
          <xdr:row>376</xdr:row>
          <xdr:rowOff>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375</xdr:row>
          <xdr:rowOff>9525</xdr:rowOff>
        </xdr:from>
        <xdr:to>
          <xdr:col>5</xdr:col>
          <xdr:colOff>209550</xdr:colOff>
          <xdr:row>376</xdr:row>
          <xdr:rowOff>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375</xdr:row>
          <xdr:rowOff>9525</xdr:rowOff>
        </xdr:from>
        <xdr:to>
          <xdr:col>6</xdr:col>
          <xdr:colOff>209550</xdr:colOff>
          <xdr:row>376</xdr:row>
          <xdr:rowOff>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375</xdr:row>
          <xdr:rowOff>9525</xdr:rowOff>
        </xdr:from>
        <xdr:to>
          <xdr:col>7</xdr:col>
          <xdr:colOff>209550</xdr:colOff>
          <xdr:row>376</xdr:row>
          <xdr:rowOff>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375</xdr:row>
          <xdr:rowOff>9525</xdr:rowOff>
        </xdr:from>
        <xdr:to>
          <xdr:col>8</xdr:col>
          <xdr:colOff>209550</xdr:colOff>
          <xdr:row>376</xdr:row>
          <xdr:rowOff>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375</xdr:row>
          <xdr:rowOff>9525</xdr:rowOff>
        </xdr:from>
        <xdr:to>
          <xdr:col>9</xdr:col>
          <xdr:colOff>209550</xdr:colOff>
          <xdr:row>376</xdr:row>
          <xdr:rowOff>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375</xdr:row>
          <xdr:rowOff>9525</xdr:rowOff>
        </xdr:from>
        <xdr:to>
          <xdr:col>10</xdr:col>
          <xdr:colOff>209550</xdr:colOff>
          <xdr:row>376</xdr:row>
          <xdr:rowOff>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375</xdr:row>
          <xdr:rowOff>9525</xdr:rowOff>
        </xdr:from>
        <xdr:to>
          <xdr:col>11</xdr:col>
          <xdr:colOff>209550</xdr:colOff>
          <xdr:row>376</xdr:row>
          <xdr:rowOff>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375</xdr:row>
          <xdr:rowOff>9525</xdr:rowOff>
        </xdr:from>
        <xdr:to>
          <xdr:col>12</xdr:col>
          <xdr:colOff>209550</xdr:colOff>
          <xdr:row>376</xdr:row>
          <xdr:rowOff>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375</xdr:row>
          <xdr:rowOff>9525</xdr:rowOff>
        </xdr:from>
        <xdr:to>
          <xdr:col>13</xdr:col>
          <xdr:colOff>209550</xdr:colOff>
          <xdr:row>376</xdr:row>
          <xdr:rowOff>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375</xdr:row>
          <xdr:rowOff>9525</xdr:rowOff>
        </xdr:from>
        <xdr:to>
          <xdr:col>14</xdr:col>
          <xdr:colOff>209550</xdr:colOff>
          <xdr:row>376</xdr:row>
          <xdr:rowOff>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376</xdr:row>
          <xdr:rowOff>0</xdr:rowOff>
        </xdr:from>
        <xdr:to>
          <xdr:col>3</xdr:col>
          <xdr:colOff>219075</xdr:colOff>
          <xdr:row>378</xdr:row>
          <xdr:rowOff>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376</xdr:row>
          <xdr:rowOff>0</xdr:rowOff>
        </xdr:from>
        <xdr:to>
          <xdr:col>4</xdr:col>
          <xdr:colOff>209550</xdr:colOff>
          <xdr:row>378</xdr:row>
          <xdr:rowOff>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376</xdr:row>
          <xdr:rowOff>0</xdr:rowOff>
        </xdr:from>
        <xdr:to>
          <xdr:col>5</xdr:col>
          <xdr:colOff>209550</xdr:colOff>
          <xdr:row>378</xdr:row>
          <xdr:rowOff>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376</xdr:row>
          <xdr:rowOff>0</xdr:rowOff>
        </xdr:from>
        <xdr:to>
          <xdr:col>6</xdr:col>
          <xdr:colOff>209550</xdr:colOff>
          <xdr:row>378</xdr:row>
          <xdr:rowOff>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376</xdr:row>
          <xdr:rowOff>0</xdr:rowOff>
        </xdr:from>
        <xdr:to>
          <xdr:col>7</xdr:col>
          <xdr:colOff>209550</xdr:colOff>
          <xdr:row>378</xdr:row>
          <xdr:rowOff>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376</xdr:row>
          <xdr:rowOff>0</xdr:rowOff>
        </xdr:from>
        <xdr:to>
          <xdr:col>8</xdr:col>
          <xdr:colOff>209550</xdr:colOff>
          <xdr:row>378</xdr:row>
          <xdr:rowOff>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376</xdr:row>
          <xdr:rowOff>0</xdr:rowOff>
        </xdr:from>
        <xdr:to>
          <xdr:col>9</xdr:col>
          <xdr:colOff>209550</xdr:colOff>
          <xdr:row>378</xdr:row>
          <xdr:rowOff>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376</xdr:row>
          <xdr:rowOff>0</xdr:rowOff>
        </xdr:from>
        <xdr:to>
          <xdr:col>10</xdr:col>
          <xdr:colOff>209550</xdr:colOff>
          <xdr:row>378</xdr:row>
          <xdr:rowOff>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376</xdr:row>
          <xdr:rowOff>0</xdr:rowOff>
        </xdr:from>
        <xdr:to>
          <xdr:col>11</xdr:col>
          <xdr:colOff>209550</xdr:colOff>
          <xdr:row>378</xdr:row>
          <xdr:rowOff>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376</xdr:row>
          <xdr:rowOff>0</xdr:rowOff>
        </xdr:from>
        <xdr:to>
          <xdr:col>12</xdr:col>
          <xdr:colOff>209550</xdr:colOff>
          <xdr:row>378</xdr:row>
          <xdr:rowOff>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376</xdr:row>
          <xdr:rowOff>0</xdr:rowOff>
        </xdr:from>
        <xdr:to>
          <xdr:col>13</xdr:col>
          <xdr:colOff>209550</xdr:colOff>
          <xdr:row>378</xdr:row>
          <xdr:rowOff>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376</xdr:row>
          <xdr:rowOff>0</xdr:rowOff>
        </xdr:from>
        <xdr:to>
          <xdr:col>14</xdr:col>
          <xdr:colOff>209550</xdr:colOff>
          <xdr:row>378</xdr:row>
          <xdr:rowOff>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378</xdr:row>
          <xdr:rowOff>0</xdr:rowOff>
        </xdr:from>
        <xdr:to>
          <xdr:col>3</xdr:col>
          <xdr:colOff>219075</xdr:colOff>
          <xdr:row>380</xdr:row>
          <xdr:rowOff>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378</xdr:row>
          <xdr:rowOff>0</xdr:rowOff>
        </xdr:from>
        <xdr:to>
          <xdr:col>4</xdr:col>
          <xdr:colOff>209550</xdr:colOff>
          <xdr:row>380</xdr:row>
          <xdr:rowOff>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378</xdr:row>
          <xdr:rowOff>0</xdr:rowOff>
        </xdr:from>
        <xdr:to>
          <xdr:col>5</xdr:col>
          <xdr:colOff>209550</xdr:colOff>
          <xdr:row>380</xdr:row>
          <xdr:rowOff>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378</xdr:row>
          <xdr:rowOff>0</xdr:rowOff>
        </xdr:from>
        <xdr:to>
          <xdr:col>6</xdr:col>
          <xdr:colOff>209550</xdr:colOff>
          <xdr:row>380</xdr:row>
          <xdr:rowOff>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378</xdr:row>
          <xdr:rowOff>0</xdr:rowOff>
        </xdr:from>
        <xdr:to>
          <xdr:col>7</xdr:col>
          <xdr:colOff>209550</xdr:colOff>
          <xdr:row>380</xdr:row>
          <xdr:rowOff>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378</xdr:row>
          <xdr:rowOff>0</xdr:rowOff>
        </xdr:from>
        <xdr:to>
          <xdr:col>8</xdr:col>
          <xdr:colOff>209550</xdr:colOff>
          <xdr:row>380</xdr:row>
          <xdr:rowOff>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378</xdr:row>
          <xdr:rowOff>0</xdr:rowOff>
        </xdr:from>
        <xdr:to>
          <xdr:col>9</xdr:col>
          <xdr:colOff>209550</xdr:colOff>
          <xdr:row>380</xdr:row>
          <xdr:rowOff>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378</xdr:row>
          <xdr:rowOff>0</xdr:rowOff>
        </xdr:from>
        <xdr:to>
          <xdr:col>10</xdr:col>
          <xdr:colOff>209550</xdr:colOff>
          <xdr:row>380</xdr:row>
          <xdr:rowOff>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378</xdr:row>
          <xdr:rowOff>0</xdr:rowOff>
        </xdr:from>
        <xdr:to>
          <xdr:col>11</xdr:col>
          <xdr:colOff>209550</xdr:colOff>
          <xdr:row>380</xdr:row>
          <xdr:rowOff>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378</xdr:row>
          <xdr:rowOff>0</xdr:rowOff>
        </xdr:from>
        <xdr:to>
          <xdr:col>12</xdr:col>
          <xdr:colOff>209550</xdr:colOff>
          <xdr:row>380</xdr:row>
          <xdr:rowOff>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378</xdr:row>
          <xdr:rowOff>0</xdr:rowOff>
        </xdr:from>
        <xdr:to>
          <xdr:col>13</xdr:col>
          <xdr:colOff>209550</xdr:colOff>
          <xdr:row>380</xdr:row>
          <xdr:rowOff>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378</xdr:row>
          <xdr:rowOff>0</xdr:rowOff>
        </xdr:from>
        <xdr:to>
          <xdr:col>14</xdr:col>
          <xdr:colOff>209550</xdr:colOff>
          <xdr:row>380</xdr:row>
          <xdr:rowOff>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288</xdr:row>
          <xdr:rowOff>9525</xdr:rowOff>
        </xdr:from>
        <xdr:to>
          <xdr:col>1</xdr:col>
          <xdr:colOff>342900</xdr:colOff>
          <xdr:row>288</xdr:row>
          <xdr:rowOff>180975</xdr:rowOff>
        </xdr:to>
        <xdr:sp macro="" textlink="">
          <xdr:nvSpPr>
            <xdr:cNvPr id="4162" name="Spinner 66" hidden="1">
              <a:extLst>
                <a:ext uri="{63B3BB69-23CF-44E3-9099-C40C66FF867C}">
                  <a14:compatExt spid="_x0000_s4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289</xdr:row>
          <xdr:rowOff>0</xdr:rowOff>
        </xdr:from>
        <xdr:to>
          <xdr:col>1</xdr:col>
          <xdr:colOff>342900</xdr:colOff>
          <xdr:row>290</xdr:row>
          <xdr:rowOff>180975</xdr:rowOff>
        </xdr:to>
        <xdr:sp macro="" textlink="">
          <xdr:nvSpPr>
            <xdr:cNvPr id="4163" name="Spinner 67" hidden="1">
              <a:extLst>
                <a:ext uri="{63B3BB69-23CF-44E3-9099-C40C66FF867C}">
                  <a14:compatExt spid="_x0000_s4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291</xdr:row>
          <xdr:rowOff>0</xdr:rowOff>
        </xdr:from>
        <xdr:to>
          <xdr:col>1</xdr:col>
          <xdr:colOff>342900</xdr:colOff>
          <xdr:row>292</xdr:row>
          <xdr:rowOff>180975</xdr:rowOff>
        </xdr:to>
        <xdr:sp macro="" textlink="">
          <xdr:nvSpPr>
            <xdr:cNvPr id="4164" name="Spinner 68" hidden="1">
              <a:extLst>
                <a:ext uri="{63B3BB69-23CF-44E3-9099-C40C66FF867C}">
                  <a14:compatExt spid="_x0000_s4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293</xdr:row>
          <xdr:rowOff>0</xdr:rowOff>
        </xdr:from>
        <xdr:to>
          <xdr:col>1</xdr:col>
          <xdr:colOff>342900</xdr:colOff>
          <xdr:row>295</xdr:row>
          <xdr:rowOff>0</xdr:rowOff>
        </xdr:to>
        <xdr:sp macro="" textlink="">
          <xdr:nvSpPr>
            <xdr:cNvPr id="4165" name="Spinner 69" hidden="1">
              <a:extLst>
                <a:ext uri="{63B3BB69-23CF-44E3-9099-C40C66FF867C}">
                  <a14:compatExt spid="_x0000_s4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295</xdr:row>
          <xdr:rowOff>0</xdr:rowOff>
        </xdr:from>
        <xdr:to>
          <xdr:col>1</xdr:col>
          <xdr:colOff>342900</xdr:colOff>
          <xdr:row>296</xdr:row>
          <xdr:rowOff>180975</xdr:rowOff>
        </xdr:to>
        <xdr:sp macro="" textlink="">
          <xdr:nvSpPr>
            <xdr:cNvPr id="4166" name="Spinner 70" hidden="1">
              <a:extLst>
                <a:ext uri="{63B3BB69-23CF-44E3-9099-C40C66FF867C}">
                  <a14:compatExt spid="_x0000_s4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297</xdr:row>
          <xdr:rowOff>0</xdr:rowOff>
        </xdr:from>
        <xdr:to>
          <xdr:col>1</xdr:col>
          <xdr:colOff>342900</xdr:colOff>
          <xdr:row>298</xdr:row>
          <xdr:rowOff>180975</xdr:rowOff>
        </xdr:to>
        <xdr:sp macro="" textlink="">
          <xdr:nvSpPr>
            <xdr:cNvPr id="4167" name="Spinner 71" hidden="1">
              <a:extLst>
                <a:ext uri="{63B3BB69-23CF-44E3-9099-C40C66FF867C}">
                  <a14:compatExt spid="_x0000_s4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302</xdr:row>
          <xdr:rowOff>0</xdr:rowOff>
        </xdr:from>
        <xdr:to>
          <xdr:col>1</xdr:col>
          <xdr:colOff>342900</xdr:colOff>
          <xdr:row>303</xdr:row>
          <xdr:rowOff>0</xdr:rowOff>
        </xdr:to>
        <xdr:sp macro="" textlink="">
          <xdr:nvSpPr>
            <xdr:cNvPr id="4174" name="Spinner 78" hidden="1">
              <a:extLst>
                <a:ext uri="{63B3BB69-23CF-44E3-9099-C40C66FF867C}">
                  <a14:compatExt spid="_x0000_s4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303</xdr:row>
          <xdr:rowOff>0</xdr:rowOff>
        </xdr:from>
        <xdr:to>
          <xdr:col>1</xdr:col>
          <xdr:colOff>342900</xdr:colOff>
          <xdr:row>305</xdr:row>
          <xdr:rowOff>0</xdr:rowOff>
        </xdr:to>
        <xdr:sp macro="" textlink="">
          <xdr:nvSpPr>
            <xdr:cNvPr id="4175" name="Spinner 79" hidden="1">
              <a:extLst>
                <a:ext uri="{63B3BB69-23CF-44E3-9099-C40C66FF867C}">
                  <a14:compatExt spid="_x0000_s4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305</xdr:row>
          <xdr:rowOff>0</xdr:rowOff>
        </xdr:from>
        <xdr:to>
          <xdr:col>1</xdr:col>
          <xdr:colOff>342900</xdr:colOff>
          <xdr:row>306</xdr:row>
          <xdr:rowOff>180975</xdr:rowOff>
        </xdr:to>
        <xdr:sp macro="" textlink="">
          <xdr:nvSpPr>
            <xdr:cNvPr id="4176" name="Spinner 80" hidden="1">
              <a:extLst>
                <a:ext uri="{63B3BB69-23CF-44E3-9099-C40C66FF867C}">
                  <a14:compatExt spid="_x0000_s4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307</xdr:row>
          <xdr:rowOff>0</xdr:rowOff>
        </xdr:from>
        <xdr:to>
          <xdr:col>1</xdr:col>
          <xdr:colOff>342900</xdr:colOff>
          <xdr:row>309</xdr:row>
          <xdr:rowOff>0</xdr:rowOff>
        </xdr:to>
        <xdr:sp macro="" textlink="">
          <xdr:nvSpPr>
            <xdr:cNvPr id="4177" name="Spinner 81" hidden="1">
              <a:extLst>
                <a:ext uri="{63B3BB69-23CF-44E3-9099-C40C66FF867C}">
                  <a14:compatExt spid="_x0000_s4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309</xdr:row>
          <xdr:rowOff>0</xdr:rowOff>
        </xdr:from>
        <xdr:to>
          <xdr:col>1</xdr:col>
          <xdr:colOff>342900</xdr:colOff>
          <xdr:row>310</xdr:row>
          <xdr:rowOff>180975</xdr:rowOff>
        </xdr:to>
        <xdr:sp macro="" textlink="">
          <xdr:nvSpPr>
            <xdr:cNvPr id="4178" name="Spinner 82" hidden="1">
              <a:extLst>
                <a:ext uri="{63B3BB69-23CF-44E3-9099-C40C66FF867C}">
                  <a14:compatExt spid="_x0000_s4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312</xdr:row>
          <xdr:rowOff>19050</xdr:rowOff>
        </xdr:from>
        <xdr:to>
          <xdr:col>1</xdr:col>
          <xdr:colOff>333375</xdr:colOff>
          <xdr:row>312</xdr:row>
          <xdr:rowOff>180975</xdr:rowOff>
        </xdr:to>
        <xdr:sp macro="" textlink="">
          <xdr:nvSpPr>
            <xdr:cNvPr id="4179" name="Spinner 83" hidden="1">
              <a:extLst>
                <a:ext uri="{63B3BB69-23CF-44E3-9099-C40C66FF867C}">
                  <a14:compatExt spid="_x0000_s4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265</xdr:row>
          <xdr:rowOff>0</xdr:rowOff>
        </xdr:from>
        <xdr:to>
          <xdr:col>3</xdr:col>
          <xdr:colOff>228600</xdr:colOff>
          <xdr:row>265</xdr:row>
          <xdr:rowOff>190500</xdr:rowOff>
        </xdr:to>
        <xdr:sp macro="" textlink="">
          <xdr:nvSpPr>
            <xdr:cNvPr id="4186" name="Check Box 90" hidden="1">
              <a:extLst>
                <a:ext uri="{63B3BB69-23CF-44E3-9099-C40C66FF867C}">
                  <a14:compatExt spid="_x0000_s4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265</xdr:row>
          <xdr:rowOff>0</xdr:rowOff>
        </xdr:from>
        <xdr:to>
          <xdr:col>4</xdr:col>
          <xdr:colOff>228600</xdr:colOff>
          <xdr:row>265</xdr:row>
          <xdr:rowOff>190500</xdr:rowOff>
        </xdr:to>
        <xdr:sp macro="" textlink="">
          <xdr:nvSpPr>
            <xdr:cNvPr id="4187" name="Check Box 91" hidden="1">
              <a:extLst>
                <a:ext uri="{63B3BB69-23CF-44E3-9099-C40C66FF867C}">
                  <a14:compatExt spid="_x0000_s4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265</xdr:row>
          <xdr:rowOff>0</xdr:rowOff>
        </xdr:from>
        <xdr:to>
          <xdr:col>5</xdr:col>
          <xdr:colOff>228600</xdr:colOff>
          <xdr:row>265</xdr:row>
          <xdr:rowOff>190500</xdr:rowOff>
        </xdr:to>
        <xdr:sp macro="" textlink="">
          <xdr:nvSpPr>
            <xdr:cNvPr id="4188" name="Check Box 92" hidden="1">
              <a:extLst>
                <a:ext uri="{63B3BB69-23CF-44E3-9099-C40C66FF867C}">
                  <a14:compatExt spid="_x0000_s4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265</xdr:row>
          <xdr:rowOff>0</xdr:rowOff>
        </xdr:from>
        <xdr:to>
          <xdr:col>6</xdr:col>
          <xdr:colOff>228600</xdr:colOff>
          <xdr:row>265</xdr:row>
          <xdr:rowOff>190500</xdr:rowOff>
        </xdr:to>
        <xdr:sp macro="" textlink="">
          <xdr:nvSpPr>
            <xdr:cNvPr id="4189" name="Check Box 93" hidden="1">
              <a:extLst>
                <a:ext uri="{63B3BB69-23CF-44E3-9099-C40C66FF867C}">
                  <a14:compatExt spid="_x0000_s4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265</xdr:row>
          <xdr:rowOff>0</xdr:rowOff>
        </xdr:from>
        <xdr:to>
          <xdr:col>7</xdr:col>
          <xdr:colOff>228600</xdr:colOff>
          <xdr:row>265</xdr:row>
          <xdr:rowOff>190500</xdr:rowOff>
        </xdr:to>
        <xdr:sp macro="" textlink="">
          <xdr:nvSpPr>
            <xdr:cNvPr id="4190" name="Check Box 94" hidden="1">
              <a:extLst>
                <a:ext uri="{63B3BB69-23CF-44E3-9099-C40C66FF867C}">
                  <a14:compatExt spid="_x0000_s4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265</xdr:row>
          <xdr:rowOff>0</xdr:rowOff>
        </xdr:from>
        <xdr:to>
          <xdr:col>8</xdr:col>
          <xdr:colOff>228600</xdr:colOff>
          <xdr:row>265</xdr:row>
          <xdr:rowOff>190500</xdr:rowOff>
        </xdr:to>
        <xdr:sp macro="" textlink="">
          <xdr:nvSpPr>
            <xdr:cNvPr id="4191" name="Check Box 95" hidden="1">
              <a:extLst>
                <a:ext uri="{63B3BB69-23CF-44E3-9099-C40C66FF867C}">
                  <a14:compatExt spid="_x0000_s4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265</xdr:row>
          <xdr:rowOff>0</xdr:rowOff>
        </xdr:from>
        <xdr:to>
          <xdr:col>9</xdr:col>
          <xdr:colOff>228600</xdr:colOff>
          <xdr:row>265</xdr:row>
          <xdr:rowOff>190500</xdr:rowOff>
        </xdr:to>
        <xdr:sp macro="" textlink="">
          <xdr:nvSpPr>
            <xdr:cNvPr id="4192" name="Check Box 96" hidden="1">
              <a:extLst>
                <a:ext uri="{63B3BB69-23CF-44E3-9099-C40C66FF867C}">
                  <a14:compatExt spid="_x0000_s4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265</xdr:row>
          <xdr:rowOff>0</xdr:rowOff>
        </xdr:from>
        <xdr:to>
          <xdr:col>10</xdr:col>
          <xdr:colOff>228600</xdr:colOff>
          <xdr:row>265</xdr:row>
          <xdr:rowOff>190500</xdr:rowOff>
        </xdr:to>
        <xdr:sp macro="" textlink="">
          <xdr:nvSpPr>
            <xdr:cNvPr id="4193" name="Check Box 97" hidden="1">
              <a:extLst>
                <a:ext uri="{63B3BB69-23CF-44E3-9099-C40C66FF867C}">
                  <a14:compatExt spid="_x0000_s4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265</xdr:row>
          <xdr:rowOff>0</xdr:rowOff>
        </xdr:from>
        <xdr:to>
          <xdr:col>11</xdr:col>
          <xdr:colOff>228600</xdr:colOff>
          <xdr:row>265</xdr:row>
          <xdr:rowOff>190500</xdr:rowOff>
        </xdr:to>
        <xdr:sp macro="" textlink="">
          <xdr:nvSpPr>
            <xdr:cNvPr id="4194" name="Check Box 98" hidden="1">
              <a:extLst>
                <a:ext uri="{63B3BB69-23CF-44E3-9099-C40C66FF867C}">
                  <a14:compatExt spid="_x0000_s4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265</xdr:row>
          <xdr:rowOff>0</xdr:rowOff>
        </xdr:from>
        <xdr:to>
          <xdr:col>12</xdr:col>
          <xdr:colOff>228600</xdr:colOff>
          <xdr:row>265</xdr:row>
          <xdr:rowOff>190500</xdr:rowOff>
        </xdr:to>
        <xdr:sp macro="" textlink="">
          <xdr:nvSpPr>
            <xdr:cNvPr id="4195" name="Check Box 99" hidden="1">
              <a:extLst>
                <a:ext uri="{63B3BB69-23CF-44E3-9099-C40C66FF867C}">
                  <a14:compatExt spid="_x0000_s4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265</xdr:row>
          <xdr:rowOff>0</xdr:rowOff>
        </xdr:from>
        <xdr:to>
          <xdr:col>13</xdr:col>
          <xdr:colOff>228600</xdr:colOff>
          <xdr:row>265</xdr:row>
          <xdr:rowOff>190500</xdr:rowOff>
        </xdr:to>
        <xdr:sp macro="" textlink="">
          <xdr:nvSpPr>
            <xdr:cNvPr id="4196" name="Check Box 100" hidden="1">
              <a:extLst>
                <a:ext uri="{63B3BB69-23CF-44E3-9099-C40C66FF867C}">
                  <a14:compatExt spid="_x0000_s4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265</xdr:row>
          <xdr:rowOff>0</xdr:rowOff>
        </xdr:from>
        <xdr:to>
          <xdr:col>14</xdr:col>
          <xdr:colOff>228600</xdr:colOff>
          <xdr:row>265</xdr:row>
          <xdr:rowOff>190500</xdr:rowOff>
        </xdr:to>
        <xdr:sp macro="" textlink="">
          <xdr:nvSpPr>
            <xdr:cNvPr id="4197" name="Check Box 101" hidden="1">
              <a:extLst>
                <a:ext uri="{63B3BB69-23CF-44E3-9099-C40C66FF867C}">
                  <a14:compatExt spid="_x0000_s4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265</xdr:row>
          <xdr:rowOff>0</xdr:rowOff>
        </xdr:from>
        <xdr:to>
          <xdr:col>4</xdr:col>
          <xdr:colOff>228600</xdr:colOff>
          <xdr:row>265</xdr:row>
          <xdr:rowOff>190500</xdr:rowOff>
        </xdr:to>
        <xdr:sp macro="" textlink="">
          <xdr:nvSpPr>
            <xdr:cNvPr id="4210" name="Check Box 114" hidden="1">
              <a:extLst>
                <a:ext uri="{63B3BB69-23CF-44E3-9099-C40C66FF867C}">
                  <a14:compatExt spid="_x0000_s4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8</xdr:row>
          <xdr:rowOff>0</xdr:rowOff>
        </xdr:from>
        <xdr:to>
          <xdr:col>7</xdr:col>
          <xdr:colOff>295275</xdr:colOff>
          <xdr:row>8</xdr:row>
          <xdr:rowOff>190500</xdr:rowOff>
        </xdr:to>
        <xdr:sp macro="" textlink="">
          <xdr:nvSpPr>
            <xdr:cNvPr id="4213" name="Check Box 117" hidden="1">
              <a:extLst>
                <a:ext uri="{63B3BB69-23CF-44E3-9099-C40C66FF867C}">
                  <a14:compatExt spid="_x0000_s4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12292" name="Check Box 4" hidden="1">
              <a:extLst>
                <a:ext uri="{63B3BB69-23CF-44E3-9099-C40C66FF867C}">
                  <a14:compatExt spid="_x0000_s12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12293" name="Check Box 5" hidden="1">
              <a:extLst>
                <a:ext uri="{63B3BB69-23CF-44E3-9099-C40C66FF867C}">
                  <a14:compatExt spid="_x0000_s12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12294" name="Check Box 6" hidden="1">
              <a:extLst>
                <a:ext uri="{63B3BB69-23CF-44E3-9099-C40C66FF867C}">
                  <a14:compatExt spid="_x0000_s12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12295" name="Check Box 7" hidden="1">
              <a:extLst>
                <a:ext uri="{63B3BB69-23CF-44E3-9099-C40C66FF867C}">
                  <a14:compatExt spid="_x0000_s12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12296" name="Check Box 8" hidden="1">
              <a:extLst>
                <a:ext uri="{63B3BB69-23CF-44E3-9099-C40C66FF867C}">
                  <a14:compatExt spid="_x0000_s12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12297" name="Check Box 9" hidden="1">
              <a:extLst>
                <a:ext uri="{63B3BB69-23CF-44E3-9099-C40C66FF867C}">
                  <a14:compatExt spid="_x0000_s12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12298" name="Check Box 10" hidden="1">
              <a:extLst>
                <a:ext uri="{63B3BB69-23CF-44E3-9099-C40C66FF867C}">
                  <a14:compatExt spid="_x0000_s12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12299" name="Check Box 11" hidden="1">
              <a:extLst>
                <a:ext uri="{63B3BB69-23CF-44E3-9099-C40C66FF867C}">
                  <a14:compatExt spid="_x0000_s12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12300" name="Check Box 12" hidden="1">
              <a:extLst>
                <a:ext uri="{63B3BB69-23CF-44E3-9099-C40C66FF867C}">
                  <a14:compatExt spid="_x0000_s12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12301" name="Check Box 13" hidden="1">
              <a:extLst>
                <a:ext uri="{63B3BB69-23CF-44E3-9099-C40C66FF867C}">
                  <a14:compatExt spid="_x0000_s12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12302" name="Check Box 14" hidden="1">
              <a:extLst>
                <a:ext uri="{63B3BB69-23CF-44E3-9099-C40C66FF867C}">
                  <a14:compatExt spid="_x0000_s12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12303" name="Check Box 15" hidden="1">
              <a:extLst>
                <a:ext uri="{63B3BB69-23CF-44E3-9099-C40C66FF867C}">
                  <a14:compatExt spid="_x0000_s12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12304" name="Check Box 16" hidden="1">
              <a:extLst>
                <a:ext uri="{63B3BB69-23CF-44E3-9099-C40C66FF867C}">
                  <a14:compatExt spid="_x0000_s12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12305" name="Check Box 17" hidden="1">
              <a:extLst>
                <a:ext uri="{63B3BB69-23CF-44E3-9099-C40C66FF867C}">
                  <a14:compatExt spid="_x0000_s12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12306" name="Check Box 18" hidden="1">
              <a:extLst>
                <a:ext uri="{63B3BB69-23CF-44E3-9099-C40C66FF867C}">
                  <a14:compatExt spid="_x0000_s12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12307" name="Check Box 19" hidden="1">
              <a:extLst>
                <a:ext uri="{63B3BB69-23CF-44E3-9099-C40C66FF867C}">
                  <a14:compatExt spid="_x0000_s12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12308" name="Check Box 20" hidden="1">
              <a:extLst>
                <a:ext uri="{63B3BB69-23CF-44E3-9099-C40C66FF867C}">
                  <a14:compatExt spid="_x0000_s12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12309" name="Check Box 21" hidden="1">
              <a:extLst>
                <a:ext uri="{63B3BB69-23CF-44E3-9099-C40C66FF867C}">
                  <a14:compatExt spid="_x0000_s12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12310" name="Check Box 22" hidden="1">
              <a:extLst>
                <a:ext uri="{63B3BB69-23CF-44E3-9099-C40C66FF867C}">
                  <a14:compatExt spid="_x0000_s12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12311" name="Check Box 23" hidden="1">
              <a:extLst>
                <a:ext uri="{63B3BB69-23CF-44E3-9099-C40C66FF867C}">
                  <a14:compatExt spid="_x0000_s12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12312" name="Check Box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12313" name="Check Box 25" hidden="1">
              <a:extLst>
                <a:ext uri="{63B3BB69-23CF-44E3-9099-C40C66FF867C}">
                  <a14:compatExt spid="_x0000_s12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12314" name="Check Box 26" hidden="1">
              <a:extLst>
                <a:ext uri="{63B3BB69-23CF-44E3-9099-C40C66FF867C}">
                  <a14:compatExt spid="_x0000_s12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12315" name="Check Box 27" hidden="1">
              <a:extLst>
                <a:ext uri="{63B3BB69-23CF-44E3-9099-C40C66FF867C}">
                  <a14:compatExt spid="_x0000_s12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12316" name="Check Box 28" hidden="1">
              <a:extLst>
                <a:ext uri="{63B3BB69-23CF-44E3-9099-C40C66FF867C}">
                  <a14:compatExt spid="_x0000_s12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12317" name="Check Box 29" hidden="1">
              <a:extLst>
                <a:ext uri="{63B3BB69-23CF-44E3-9099-C40C66FF867C}">
                  <a14:compatExt spid="_x0000_s12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12318" name="Check Box 30" hidden="1">
              <a:extLst>
                <a:ext uri="{63B3BB69-23CF-44E3-9099-C40C66FF867C}">
                  <a14:compatExt spid="_x0000_s12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12319" name="Check Box 31" hidden="1">
              <a:extLst>
                <a:ext uri="{63B3BB69-23CF-44E3-9099-C40C66FF867C}">
                  <a14:compatExt spid="_x0000_s12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12320" name="Check Box 32" hidden="1">
              <a:extLst>
                <a:ext uri="{63B3BB69-23CF-44E3-9099-C40C66FF867C}">
                  <a14:compatExt spid="_x0000_s12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12321" name="Check Box 33" hidden="1">
              <a:extLst>
                <a:ext uri="{63B3BB69-23CF-44E3-9099-C40C66FF867C}">
                  <a14:compatExt spid="_x0000_s12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12322" name="Check Box 34" hidden="1">
              <a:extLst>
                <a:ext uri="{63B3BB69-23CF-44E3-9099-C40C66FF867C}">
                  <a14:compatExt spid="_x0000_s12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12323" name="Check Box 35" hidden="1">
              <a:extLst>
                <a:ext uri="{63B3BB69-23CF-44E3-9099-C40C66FF867C}">
                  <a14:compatExt spid="_x0000_s12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12324" name="Check Box 36" hidden="1">
              <a:extLst>
                <a:ext uri="{63B3BB69-23CF-44E3-9099-C40C66FF867C}">
                  <a14:compatExt spid="_x0000_s12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12325" name="Check Box 37" hidden="1">
              <a:extLst>
                <a:ext uri="{63B3BB69-23CF-44E3-9099-C40C66FF867C}">
                  <a14:compatExt spid="_x0000_s12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12326" name="Check Box 38" hidden="1">
              <a:extLst>
                <a:ext uri="{63B3BB69-23CF-44E3-9099-C40C66FF867C}">
                  <a14:compatExt spid="_x0000_s12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12327" name="Check Box 39" hidden="1">
              <a:extLst>
                <a:ext uri="{63B3BB69-23CF-44E3-9099-C40C66FF867C}">
                  <a14:compatExt spid="_x0000_s12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12328" name="Spinner 40" hidden="1">
              <a:extLst>
                <a:ext uri="{63B3BB69-23CF-44E3-9099-C40C66FF867C}">
                  <a14:compatExt spid="_x0000_s12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12329" name="Spinner 41" hidden="1">
              <a:extLst>
                <a:ext uri="{63B3BB69-23CF-44E3-9099-C40C66FF867C}">
                  <a14:compatExt spid="_x0000_s12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12330" name="Spinner 42" hidden="1">
              <a:extLst>
                <a:ext uri="{63B3BB69-23CF-44E3-9099-C40C66FF867C}">
                  <a14:compatExt spid="_x0000_s12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12331" name="Spinner 43" hidden="1">
              <a:extLst>
                <a:ext uri="{63B3BB69-23CF-44E3-9099-C40C66FF867C}">
                  <a14:compatExt spid="_x0000_s12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12332" name="Spinner 44" hidden="1">
              <a:extLst>
                <a:ext uri="{63B3BB69-23CF-44E3-9099-C40C66FF867C}">
                  <a14:compatExt spid="_x0000_s12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12333" name="Spinner 45" hidden="1">
              <a:extLst>
                <a:ext uri="{63B3BB69-23CF-44E3-9099-C40C66FF867C}">
                  <a14:compatExt spid="_x0000_s12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12334" name="Spinner 46" hidden="1">
              <a:extLst>
                <a:ext uri="{63B3BB69-23CF-44E3-9099-C40C66FF867C}">
                  <a14:compatExt spid="_x0000_s12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12335" name="Spinner 47" hidden="1">
              <a:extLst>
                <a:ext uri="{63B3BB69-23CF-44E3-9099-C40C66FF867C}">
                  <a14:compatExt spid="_x0000_s12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12336" name="Spinner 48" hidden="1">
              <a:extLst>
                <a:ext uri="{63B3BB69-23CF-44E3-9099-C40C66FF867C}">
                  <a14:compatExt spid="_x0000_s12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12337" name="Spinner 49" hidden="1">
              <a:extLst>
                <a:ext uri="{63B3BB69-23CF-44E3-9099-C40C66FF867C}">
                  <a14:compatExt spid="_x0000_s12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12338" name="Spinner 50" hidden="1">
              <a:extLst>
                <a:ext uri="{63B3BB69-23CF-44E3-9099-C40C66FF867C}">
                  <a14:compatExt spid="_x0000_s1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12339" name="Spinner 51" hidden="1">
              <a:extLst>
                <a:ext uri="{63B3BB69-23CF-44E3-9099-C40C66FF867C}">
                  <a14:compatExt spid="_x0000_s12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12353" name="Check Box 65" hidden="1">
              <a:extLst>
                <a:ext uri="{63B3BB69-23CF-44E3-9099-C40C66FF867C}">
                  <a14:compatExt spid="_x0000_s12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54" name="Check Box 66" hidden="1">
              <a:extLst>
                <a:ext uri="{63B3BB69-23CF-44E3-9099-C40C66FF867C}">
                  <a14:compatExt spid="_x0000_s12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55" name="Check Box 67" hidden="1">
              <a:extLst>
                <a:ext uri="{63B3BB69-23CF-44E3-9099-C40C66FF867C}">
                  <a14:compatExt spid="_x0000_s12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12356" name="Check Box 68" hidden="1">
              <a:extLst>
                <a:ext uri="{63B3BB69-23CF-44E3-9099-C40C66FF867C}">
                  <a14:compatExt spid="_x0000_s12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12357" name="Check Box 69" hidden="1">
              <a:extLst>
                <a:ext uri="{63B3BB69-23CF-44E3-9099-C40C66FF867C}">
                  <a14:compatExt spid="_x0000_s12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12358" name="Check Box 70" hidden="1">
              <a:extLst>
                <a:ext uri="{63B3BB69-23CF-44E3-9099-C40C66FF867C}">
                  <a14:compatExt spid="_x0000_s12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12359" name="Check Box 71" hidden="1">
              <a:extLst>
                <a:ext uri="{63B3BB69-23CF-44E3-9099-C40C66FF867C}">
                  <a14:compatExt spid="_x0000_s12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12360" name="Check Box 72" hidden="1">
              <a:extLst>
                <a:ext uri="{63B3BB69-23CF-44E3-9099-C40C66FF867C}">
                  <a14:compatExt spid="_x0000_s12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12361" name="Check Box 73" hidden="1">
              <a:extLst>
                <a:ext uri="{63B3BB69-23CF-44E3-9099-C40C66FF867C}">
                  <a14:compatExt spid="_x0000_s12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12362" name="Check Box 74" hidden="1">
              <a:extLst>
                <a:ext uri="{63B3BB69-23CF-44E3-9099-C40C66FF867C}">
                  <a14:compatExt spid="_x0000_s12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12363" name="Check Box 75" hidden="1">
              <a:extLst>
                <a:ext uri="{63B3BB69-23CF-44E3-9099-C40C66FF867C}">
                  <a14:compatExt spid="_x0000_s12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12364" name="Check Box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65" name="Check Box 77" hidden="1">
              <a:extLst>
                <a:ext uri="{63B3BB69-23CF-44E3-9099-C40C66FF867C}">
                  <a14:compatExt spid="_x0000_s12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66" name="Check Box 78" hidden="1">
              <a:extLst>
                <a:ext uri="{63B3BB69-23CF-44E3-9099-C40C66FF867C}">
                  <a14:compatExt spid="_x0000_s12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12367" name="Check Box 79" hidden="1">
              <a:extLst>
                <a:ext uri="{63B3BB69-23CF-44E3-9099-C40C66FF867C}">
                  <a14:compatExt spid="_x0000_s12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12368" name="Check Box 80" hidden="1">
              <a:extLst>
                <a:ext uri="{63B3BB69-23CF-44E3-9099-C40C66FF867C}">
                  <a14:compatExt spid="_x0000_s12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12369" name="Check Box 81" hidden="1">
              <a:extLst>
                <a:ext uri="{63B3BB69-23CF-44E3-9099-C40C66FF867C}">
                  <a14:compatExt spid="_x0000_s12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12370" name="Check Box 82" hidden="1">
              <a:extLst>
                <a:ext uri="{63B3BB69-23CF-44E3-9099-C40C66FF867C}">
                  <a14:compatExt spid="_x0000_s12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12371" name="Check Box 83" hidden="1">
              <a:extLst>
                <a:ext uri="{63B3BB69-23CF-44E3-9099-C40C66FF867C}">
                  <a14:compatExt spid="_x0000_s12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12372" name="Check Box 84" hidden="1">
              <a:extLst>
                <a:ext uri="{63B3BB69-23CF-44E3-9099-C40C66FF867C}">
                  <a14:compatExt spid="_x0000_s12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12373" name="Check Box 85" hidden="1">
              <a:extLst>
                <a:ext uri="{63B3BB69-23CF-44E3-9099-C40C66FF867C}">
                  <a14:compatExt spid="_x0000_s12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12374" name="Check Box 86" hidden="1">
              <a:extLst>
                <a:ext uri="{63B3BB69-23CF-44E3-9099-C40C66FF867C}">
                  <a14:compatExt spid="_x0000_s12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12375" name="Check Box 87" hidden="1">
              <a:extLst>
                <a:ext uri="{63B3BB69-23CF-44E3-9099-C40C66FF867C}">
                  <a14:compatExt spid="_x0000_s12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12376" name="Check Box 88" hidden="1">
              <a:extLst>
                <a:ext uri="{63B3BB69-23CF-44E3-9099-C40C66FF867C}">
                  <a14:compatExt spid="_x0000_s12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12377" name="Check Box 89" hidden="1">
              <a:extLst>
                <a:ext uri="{63B3BB69-23CF-44E3-9099-C40C66FF867C}">
                  <a14:compatExt spid="_x0000_s12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78" name="Check Box 90" hidden="1">
              <a:extLst>
                <a:ext uri="{63B3BB69-23CF-44E3-9099-C40C66FF867C}">
                  <a14:compatExt spid="_x0000_s12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12379" name="Check Box 91" hidden="1">
              <a:extLst>
                <a:ext uri="{63B3BB69-23CF-44E3-9099-C40C66FF867C}">
                  <a14:compatExt spid="_x0000_s12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0514" name="Check Box 34" hidden="1">
              <a:extLst>
                <a:ext uri="{63B3BB69-23CF-44E3-9099-C40C66FF867C}">
                  <a14:compatExt spid="_x0000_s20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0515" name="Check Box 35" hidden="1">
              <a:extLst>
                <a:ext uri="{63B3BB69-23CF-44E3-9099-C40C66FF867C}">
                  <a14:compatExt spid="_x0000_s20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0516" name="Check Box 36" hidden="1">
              <a:extLst>
                <a:ext uri="{63B3BB69-23CF-44E3-9099-C40C66FF867C}">
                  <a14:compatExt spid="_x0000_s20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0517" name="Spinner 37" hidden="1">
              <a:extLst>
                <a:ext uri="{63B3BB69-23CF-44E3-9099-C40C66FF867C}">
                  <a14:compatExt spid="_x0000_s20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0518" name="Spinner 38" hidden="1">
              <a:extLst>
                <a:ext uri="{63B3BB69-23CF-44E3-9099-C40C66FF867C}">
                  <a14:compatExt spid="_x0000_s20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0519" name="Spinner 39" hidden="1">
              <a:extLst>
                <a:ext uri="{63B3BB69-23CF-44E3-9099-C40C66FF867C}">
                  <a14:compatExt spid="_x0000_s20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0520" name="Spinner 40" hidden="1">
              <a:extLst>
                <a:ext uri="{63B3BB69-23CF-44E3-9099-C40C66FF867C}">
                  <a14:compatExt spid="_x0000_s20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0521" name="Spinner 41" hidden="1">
              <a:extLst>
                <a:ext uri="{63B3BB69-23CF-44E3-9099-C40C66FF867C}">
                  <a14:compatExt spid="_x0000_s20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0522" name="Spinner 42" hidden="1">
              <a:extLst>
                <a:ext uri="{63B3BB69-23CF-44E3-9099-C40C66FF867C}">
                  <a14:compatExt spid="_x0000_s20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0523" name="Spinner 43" hidden="1">
              <a:extLst>
                <a:ext uri="{63B3BB69-23CF-44E3-9099-C40C66FF867C}">
                  <a14:compatExt spid="_x0000_s20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0524" name="Spinner 44" hidden="1">
              <a:extLst>
                <a:ext uri="{63B3BB69-23CF-44E3-9099-C40C66FF867C}">
                  <a14:compatExt spid="_x0000_s20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0525" name="Spinner 45" hidden="1">
              <a:extLst>
                <a:ext uri="{63B3BB69-23CF-44E3-9099-C40C66FF867C}">
                  <a14:compatExt spid="_x0000_s20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0526" name="Spinner 46" hidden="1">
              <a:extLst>
                <a:ext uri="{63B3BB69-23CF-44E3-9099-C40C66FF867C}">
                  <a14:compatExt spid="_x0000_s20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0527" name="Spinner 47" hidden="1">
              <a:extLst>
                <a:ext uri="{63B3BB69-23CF-44E3-9099-C40C66FF867C}">
                  <a14:compatExt spid="_x0000_s20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0528" name="Spinner 48" hidden="1">
              <a:extLst>
                <a:ext uri="{63B3BB69-23CF-44E3-9099-C40C66FF867C}">
                  <a14:compatExt spid="_x0000_s20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0529" name="Check Box 49" hidden="1">
              <a:extLst>
                <a:ext uri="{63B3BB69-23CF-44E3-9099-C40C66FF867C}">
                  <a14:compatExt spid="_x0000_s20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0530" name="Check Box 50" hidden="1">
              <a:extLst>
                <a:ext uri="{63B3BB69-23CF-44E3-9099-C40C66FF867C}">
                  <a14:compatExt spid="_x0000_s20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0531" name="Check Box 51" hidden="1">
              <a:extLst>
                <a:ext uri="{63B3BB69-23CF-44E3-9099-C40C66FF867C}">
                  <a14:compatExt spid="_x0000_s20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0532" name="Check Box 52" hidden="1">
              <a:extLst>
                <a:ext uri="{63B3BB69-23CF-44E3-9099-C40C66FF867C}">
                  <a14:compatExt spid="_x0000_s20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0533" name="Check Box 53" hidden="1">
              <a:extLst>
                <a:ext uri="{63B3BB69-23CF-44E3-9099-C40C66FF867C}">
                  <a14:compatExt spid="_x0000_s20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0534" name="Check Box 54" hidden="1">
              <a:extLst>
                <a:ext uri="{63B3BB69-23CF-44E3-9099-C40C66FF867C}">
                  <a14:compatExt spid="_x0000_s20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0535" name="Check Box 55" hidden="1">
              <a:extLst>
                <a:ext uri="{63B3BB69-23CF-44E3-9099-C40C66FF867C}">
                  <a14:compatExt spid="_x0000_s20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0536" name="Check Box 56" hidden="1">
              <a:extLst>
                <a:ext uri="{63B3BB69-23CF-44E3-9099-C40C66FF867C}">
                  <a14:compatExt spid="_x0000_s20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0537" name="Check Box 57" hidden="1">
              <a:extLst>
                <a:ext uri="{63B3BB69-23CF-44E3-9099-C40C66FF867C}">
                  <a14:compatExt spid="_x0000_s20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0538" name="Check Box 58" hidden="1">
              <a:extLst>
                <a:ext uri="{63B3BB69-23CF-44E3-9099-C40C66FF867C}">
                  <a14:compatExt spid="_x0000_s20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0539" name="Check Box 59" hidden="1">
              <a:extLst>
                <a:ext uri="{63B3BB69-23CF-44E3-9099-C40C66FF867C}">
                  <a14:compatExt spid="_x0000_s20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0540" name="Check Box 60" hidden="1">
              <a:extLst>
                <a:ext uri="{63B3BB69-23CF-44E3-9099-C40C66FF867C}">
                  <a14:compatExt spid="_x0000_s20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1540" name="Check Box 36" hidden="1">
              <a:extLst>
                <a:ext uri="{63B3BB69-23CF-44E3-9099-C40C66FF867C}">
                  <a14:compatExt spid="_x0000_s2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1541" name="Spinner 37" hidden="1">
              <a:extLst>
                <a:ext uri="{63B3BB69-23CF-44E3-9099-C40C66FF867C}">
                  <a14:compatExt spid="_x0000_s2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1542" name="Spinner 38" hidden="1">
              <a:extLst>
                <a:ext uri="{63B3BB69-23CF-44E3-9099-C40C66FF867C}">
                  <a14:compatExt spid="_x0000_s2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1543" name="Spinner 39" hidden="1">
              <a:extLst>
                <a:ext uri="{63B3BB69-23CF-44E3-9099-C40C66FF867C}">
                  <a14:compatExt spid="_x0000_s2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1544" name="Spinner 40" hidden="1">
              <a:extLst>
                <a:ext uri="{63B3BB69-23CF-44E3-9099-C40C66FF867C}">
                  <a14:compatExt spid="_x0000_s2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1545" name="Spinner 41" hidden="1">
              <a:extLst>
                <a:ext uri="{63B3BB69-23CF-44E3-9099-C40C66FF867C}">
                  <a14:compatExt spid="_x0000_s2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1546" name="Spinner 42" hidden="1">
              <a:extLst>
                <a:ext uri="{63B3BB69-23CF-44E3-9099-C40C66FF867C}">
                  <a14:compatExt spid="_x0000_s2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1547" name="Spinner 43" hidden="1">
              <a:extLst>
                <a:ext uri="{63B3BB69-23CF-44E3-9099-C40C66FF867C}">
                  <a14:compatExt spid="_x0000_s2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1548" name="Spinner 44" hidden="1">
              <a:extLst>
                <a:ext uri="{63B3BB69-23CF-44E3-9099-C40C66FF867C}">
                  <a14:compatExt spid="_x0000_s2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1549" name="Spinner 45" hidden="1">
              <a:extLst>
                <a:ext uri="{63B3BB69-23CF-44E3-9099-C40C66FF867C}">
                  <a14:compatExt spid="_x0000_s2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1550" name="Spinner 46" hidden="1">
              <a:extLst>
                <a:ext uri="{63B3BB69-23CF-44E3-9099-C40C66FF867C}">
                  <a14:compatExt spid="_x0000_s2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1551" name="Spinner 47" hidden="1">
              <a:extLst>
                <a:ext uri="{63B3BB69-23CF-44E3-9099-C40C66FF867C}">
                  <a14:compatExt spid="_x0000_s2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1552" name="Spinner 48" hidden="1">
              <a:extLst>
                <a:ext uri="{63B3BB69-23CF-44E3-9099-C40C66FF867C}">
                  <a14:compatExt spid="_x0000_s2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1553" name="Check Box 49" hidden="1">
              <a:extLst>
                <a:ext uri="{63B3BB69-23CF-44E3-9099-C40C66FF867C}">
                  <a14:compatExt spid="_x0000_s2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1554" name="Check Box 50" hidden="1">
              <a:extLst>
                <a:ext uri="{63B3BB69-23CF-44E3-9099-C40C66FF867C}">
                  <a14:compatExt spid="_x0000_s2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1555" name="Check Box 51" hidden="1">
              <a:extLst>
                <a:ext uri="{63B3BB69-23CF-44E3-9099-C40C66FF867C}">
                  <a14:compatExt spid="_x0000_s2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1556" name="Check Box 52" hidden="1">
              <a:extLst>
                <a:ext uri="{63B3BB69-23CF-44E3-9099-C40C66FF867C}">
                  <a14:compatExt spid="_x0000_s2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1557" name="Check Box 53" hidden="1">
              <a:extLst>
                <a:ext uri="{63B3BB69-23CF-44E3-9099-C40C66FF867C}">
                  <a14:compatExt spid="_x0000_s2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1558" name="Check Box 54" hidden="1">
              <a:extLst>
                <a:ext uri="{63B3BB69-23CF-44E3-9099-C40C66FF867C}">
                  <a14:compatExt spid="_x0000_s2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1559" name="Check Box 55" hidden="1">
              <a:extLst>
                <a:ext uri="{63B3BB69-23CF-44E3-9099-C40C66FF867C}">
                  <a14:compatExt spid="_x0000_s2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1560" name="Check Box 56" hidden="1">
              <a:extLst>
                <a:ext uri="{63B3BB69-23CF-44E3-9099-C40C66FF867C}">
                  <a14:compatExt spid="_x0000_s2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1561" name="Check Box 57" hidden="1">
              <a:extLst>
                <a:ext uri="{63B3BB69-23CF-44E3-9099-C40C66FF867C}">
                  <a14:compatExt spid="_x0000_s2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1562" name="Check Box 58" hidden="1">
              <a:extLst>
                <a:ext uri="{63B3BB69-23CF-44E3-9099-C40C66FF867C}">
                  <a14:compatExt spid="_x0000_s2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1563" name="Check Box 59" hidden="1">
              <a:extLst>
                <a:ext uri="{63B3BB69-23CF-44E3-9099-C40C66FF867C}">
                  <a14:compatExt spid="_x0000_s2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1564" name="Check Box 60" hidden="1">
              <a:extLst>
                <a:ext uri="{63B3BB69-23CF-44E3-9099-C40C66FF867C}">
                  <a14:compatExt spid="_x0000_s2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9525</xdr:rowOff>
        </xdr:from>
        <xdr:to>
          <xdr:col>3</xdr:col>
          <xdr:colOff>219075</xdr:colOff>
          <xdr:row>66</xdr:row>
          <xdr:rowOff>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9525</xdr:rowOff>
        </xdr:from>
        <xdr:to>
          <xdr:col>4</xdr:col>
          <xdr:colOff>209550</xdr:colOff>
          <xdr:row>66</xdr:row>
          <xdr:rowOff>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9525</xdr:rowOff>
        </xdr:from>
        <xdr:to>
          <xdr:col>5</xdr:col>
          <xdr:colOff>209550</xdr:colOff>
          <xdr:row>66</xdr:row>
          <xdr:rowOff>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9525</xdr:rowOff>
        </xdr:from>
        <xdr:to>
          <xdr:col>6</xdr:col>
          <xdr:colOff>209550</xdr:colOff>
          <xdr:row>66</xdr:row>
          <xdr:rowOff>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9525</xdr:rowOff>
        </xdr:from>
        <xdr:to>
          <xdr:col>7</xdr:col>
          <xdr:colOff>209550</xdr:colOff>
          <xdr:row>66</xdr:row>
          <xdr:rowOff>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9525</xdr:rowOff>
        </xdr:from>
        <xdr:to>
          <xdr:col>8</xdr:col>
          <xdr:colOff>209550</xdr:colOff>
          <xdr:row>66</xdr:row>
          <xdr:rowOff>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9525</xdr:rowOff>
        </xdr:from>
        <xdr:to>
          <xdr:col>9</xdr:col>
          <xdr:colOff>209550</xdr:colOff>
          <xdr:row>66</xdr:row>
          <xdr:rowOff>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9525</xdr:rowOff>
        </xdr:from>
        <xdr:to>
          <xdr:col>10</xdr:col>
          <xdr:colOff>209550</xdr:colOff>
          <xdr:row>66</xdr:row>
          <xdr:rowOff>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9525</xdr:rowOff>
        </xdr:from>
        <xdr:to>
          <xdr:col>11</xdr:col>
          <xdr:colOff>209550</xdr:colOff>
          <xdr:row>66</xdr:row>
          <xdr:rowOff>0</xdr:rowOff>
        </xdr:to>
        <xdr:sp macro="" textlink="">
          <xdr:nvSpPr>
            <xdr:cNvPr id="22537" name="Check Box 9" hidden="1">
              <a:extLst>
                <a:ext uri="{63B3BB69-23CF-44E3-9099-C40C66FF867C}">
                  <a14:compatExt spid="_x0000_s2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9525</xdr:rowOff>
        </xdr:from>
        <xdr:to>
          <xdr:col>12</xdr:col>
          <xdr:colOff>209550</xdr:colOff>
          <xdr:row>66</xdr:row>
          <xdr:rowOff>0</xdr:rowOff>
        </xdr:to>
        <xdr:sp macro="" textlink="">
          <xdr:nvSpPr>
            <xdr:cNvPr id="22538" name="Check Box 10" hidden="1">
              <a:extLst>
                <a:ext uri="{63B3BB69-23CF-44E3-9099-C40C66FF867C}">
                  <a14:compatExt spid="_x0000_s2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65</xdr:row>
          <xdr:rowOff>9525</xdr:rowOff>
        </xdr:from>
        <xdr:to>
          <xdr:col>13</xdr:col>
          <xdr:colOff>209550</xdr:colOff>
          <xdr:row>66</xdr:row>
          <xdr:rowOff>0</xdr:rowOff>
        </xdr:to>
        <xdr:sp macro="" textlink="">
          <xdr:nvSpPr>
            <xdr:cNvPr id="22539" name="Check Box 11" hidden="1">
              <a:extLst>
                <a:ext uri="{63B3BB69-23CF-44E3-9099-C40C66FF867C}">
                  <a14:compatExt spid="_x0000_s2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9525</xdr:rowOff>
        </xdr:from>
        <xdr:to>
          <xdr:col>14</xdr:col>
          <xdr:colOff>209550</xdr:colOff>
          <xdr:row>66</xdr:row>
          <xdr:rowOff>0</xdr:rowOff>
        </xdr:to>
        <xdr:sp macro="" textlink="">
          <xdr:nvSpPr>
            <xdr:cNvPr id="22540" name="Check Box 12" hidden="1">
              <a:extLst>
                <a:ext uri="{63B3BB69-23CF-44E3-9099-C40C66FF867C}">
                  <a14:compatExt spid="_x0000_s2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9525</xdr:rowOff>
        </xdr:from>
        <xdr:to>
          <xdr:col>3</xdr:col>
          <xdr:colOff>219075</xdr:colOff>
          <xdr:row>68</xdr:row>
          <xdr:rowOff>0</xdr:rowOff>
        </xdr:to>
        <xdr:sp macro="" textlink="">
          <xdr:nvSpPr>
            <xdr:cNvPr id="22541" name="Check Box 13" hidden="1">
              <a:extLst>
                <a:ext uri="{63B3BB69-23CF-44E3-9099-C40C66FF867C}">
                  <a14:compatExt spid="_x0000_s2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9525</xdr:rowOff>
        </xdr:from>
        <xdr:to>
          <xdr:col>4</xdr:col>
          <xdr:colOff>209550</xdr:colOff>
          <xdr:row>68</xdr:row>
          <xdr:rowOff>0</xdr:rowOff>
        </xdr:to>
        <xdr:sp macro="" textlink="">
          <xdr:nvSpPr>
            <xdr:cNvPr id="22542" name="Check Box 14" hidden="1">
              <a:extLst>
                <a:ext uri="{63B3BB69-23CF-44E3-9099-C40C66FF867C}">
                  <a14:compatExt spid="_x0000_s2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9525</xdr:rowOff>
        </xdr:from>
        <xdr:to>
          <xdr:col>5</xdr:col>
          <xdr:colOff>209550</xdr:colOff>
          <xdr:row>68</xdr:row>
          <xdr:rowOff>0</xdr:rowOff>
        </xdr:to>
        <xdr:sp macro="" textlink="">
          <xdr:nvSpPr>
            <xdr:cNvPr id="22543" name="Check Box 15" hidden="1">
              <a:extLst>
                <a:ext uri="{63B3BB69-23CF-44E3-9099-C40C66FF867C}">
                  <a14:compatExt spid="_x0000_s2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9525</xdr:rowOff>
        </xdr:from>
        <xdr:to>
          <xdr:col>6</xdr:col>
          <xdr:colOff>209550</xdr:colOff>
          <xdr:row>68</xdr:row>
          <xdr:rowOff>0</xdr:rowOff>
        </xdr:to>
        <xdr:sp macro="" textlink="">
          <xdr:nvSpPr>
            <xdr:cNvPr id="22544" name="Check Box 16" hidden="1">
              <a:extLst>
                <a:ext uri="{63B3BB69-23CF-44E3-9099-C40C66FF867C}">
                  <a14:compatExt spid="_x0000_s2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9525</xdr:rowOff>
        </xdr:from>
        <xdr:to>
          <xdr:col>7</xdr:col>
          <xdr:colOff>209550</xdr:colOff>
          <xdr:row>68</xdr:row>
          <xdr:rowOff>0</xdr:rowOff>
        </xdr:to>
        <xdr:sp macro="" textlink="">
          <xdr:nvSpPr>
            <xdr:cNvPr id="22545" name="Check Box 17" hidden="1">
              <a:extLst>
                <a:ext uri="{63B3BB69-23CF-44E3-9099-C40C66FF867C}">
                  <a14:compatExt spid="_x0000_s2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9525</xdr:rowOff>
        </xdr:from>
        <xdr:to>
          <xdr:col>8</xdr:col>
          <xdr:colOff>209550</xdr:colOff>
          <xdr:row>68</xdr:row>
          <xdr:rowOff>0</xdr:rowOff>
        </xdr:to>
        <xdr:sp macro="" textlink="">
          <xdr:nvSpPr>
            <xdr:cNvPr id="22546" name="Check Box 18" hidden="1">
              <a:extLst>
                <a:ext uri="{63B3BB69-23CF-44E3-9099-C40C66FF867C}">
                  <a14:compatExt spid="_x0000_s2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9525</xdr:rowOff>
        </xdr:from>
        <xdr:to>
          <xdr:col>9</xdr:col>
          <xdr:colOff>209550</xdr:colOff>
          <xdr:row>68</xdr:row>
          <xdr:rowOff>0</xdr:rowOff>
        </xdr:to>
        <xdr:sp macro="" textlink="">
          <xdr:nvSpPr>
            <xdr:cNvPr id="22547" name="Check Box 19" hidden="1">
              <a:extLst>
                <a:ext uri="{63B3BB69-23CF-44E3-9099-C40C66FF867C}">
                  <a14:compatExt spid="_x0000_s2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9525</xdr:rowOff>
        </xdr:from>
        <xdr:to>
          <xdr:col>10</xdr:col>
          <xdr:colOff>209550</xdr:colOff>
          <xdr:row>68</xdr:row>
          <xdr:rowOff>0</xdr:rowOff>
        </xdr:to>
        <xdr:sp macro="" textlink="">
          <xdr:nvSpPr>
            <xdr:cNvPr id="22548" name="Check Box 20" hidden="1">
              <a:extLst>
                <a:ext uri="{63B3BB69-23CF-44E3-9099-C40C66FF867C}">
                  <a14:compatExt spid="_x0000_s2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9525</xdr:rowOff>
        </xdr:from>
        <xdr:to>
          <xdr:col>11</xdr:col>
          <xdr:colOff>209550</xdr:colOff>
          <xdr:row>68</xdr:row>
          <xdr:rowOff>0</xdr:rowOff>
        </xdr:to>
        <xdr:sp macro="" textlink="">
          <xdr:nvSpPr>
            <xdr:cNvPr id="22549" name="Check Box 21" hidden="1">
              <a:extLst>
                <a:ext uri="{63B3BB69-23CF-44E3-9099-C40C66FF867C}">
                  <a14:compatExt spid="_x0000_s2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9525</xdr:rowOff>
        </xdr:from>
        <xdr:to>
          <xdr:col>12</xdr:col>
          <xdr:colOff>209550</xdr:colOff>
          <xdr:row>68</xdr:row>
          <xdr:rowOff>0</xdr:rowOff>
        </xdr:to>
        <xdr:sp macro="" textlink="">
          <xdr:nvSpPr>
            <xdr:cNvPr id="22550" name="Check Box 22" hidden="1">
              <a:extLst>
                <a:ext uri="{63B3BB69-23CF-44E3-9099-C40C66FF867C}">
                  <a14:compatExt spid="_x0000_s22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67</xdr:row>
          <xdr:rowOff>9525</xdr:rowOff>
        </xdr:from>
        <xdr:to>
          <xdr:col>13</xdr:col>
          <xdr:colOff>209550</xdr:colOff>
          <xdr:row>68</xdr:row>
          <xdr:rowOff>0</xdr:rowOff>
        </xdr:to>
        <xdr:sp macro="" textlink="">
          <xdr:nvSpPr>
            <xdr:cNvPr id="22551" name="Check Box 23" hidden="1">
              <a:extLst>
                <a:ext uri="{63B3BB69-23CF-44E3-9099-C40C66FF867C}">
                  <a14:compatExt spid="_x0000_s2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9525</xdr:rowOff>
        </xdr:from>
        <xdr:to>
          <xdr:col>14</xdr:col>
          <xdr:colOff>209550</xdr:colOff>
          <xdr:row>68</xdr:row>
          <xdr:rowOff>0</xdr:rowOff>
        </xdr:to>
        <xdr:sp macro="" textlink="">
          <xdr:nvSpPr>
            <xdr:cNvPr id="22552" name="Check Box 24" hidden="1">
              <a:extLst>
                <a:ext uri="{63B3BB69-23CF-44E3-9099-C40C66FF867C}">
                  <a14:compatExt spid="_x0000_s2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9525</xdr:rowOff>
        </xdr:from>
        <xdr:to>
          <xdr:col>3</xdr:col>
          <xdr:colOff>219075</xdr:colOff>
          <xdr:row>70</xdr:row>
          <xdr:rowOff>0</xdr:rowOff>
        </xdr:to>
        <xdr:sp macro="" textlink="">
          <xdr:nvSpPr>
            <xdr:cNvPr id="22553" name="Check Box 25" hidden="1">
              <a:extLst>
                <a:ext uri="{63B3BB69-23CF-44E3-9099-C40C66FF867C}">
                  <a14:compatExt spid="_x0000_s2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9525</xdr:rowOff>
        </xdr:from>
        <xdr:to>
          <xdr:col>4</xdr:col>
          <xdr:colOff>209550</xdr:colOff>
          <xdr:row>70</xdr:row>
          <xdr:rowOff>0</xdr:rowOff>
        </xdr:to>
        <xdr:sp macro="" textlink="">
          <xdr:nvSpPr>
            <xdr:cNvPr id="22554" name="Check Box 26" hidden="1">
              <a:extLst>
                <a:ext uri="{63B3BB69-23CF-44E3-9099-C40C66FF867C}">
                  <a14:compatExt spid="_x0000_s2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9525</xdr:rowOff>
        </xdr:from>
        <xdr:to>
          <xdr:col>5</xdr:col>
          <xdr:colOff>209550</xdr:colOff>
          <xdr:row>70</xdr:row>
          <xdr:rowOff>0</xdr:rowOff>
        </xdr:to>
        <xdr:sp macro="" textlink="">
          <xdr:nvSpPr>
            <xdr:cNvPr id="22555" name="Check Box 27" hidden="1">
              <a:extLst>
                <a:ext uri="{63B3BB69-23CF-44E3-9099-C40C66FF867C}">
                  <a14:compatExt spid="_x0000_s22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9525</xdr:rowOff>
        </xdr:from>
        <xdr:to>
          <xdr:col>6</xdr:col>
          <xdr:colOff>209550</xdr:colOff>
          <xdr:row>70</xdr:row>
          <xdr:rowOff>0</xdr:rowOff>
        </xdr:to>
        <xdr:sp macro="" textlink="">
          <xdr:nvSpPr>
            <xdr:cNvPr id="22556" name="Check Box 28" hidden="1">
              <a:extLst>
                <a:ext uri="{63B3BB69-23CF-44E3-9099-C40C66FF867C}">
                  <a14:compatExt spid="_x0000_s22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9525</xdr:rowOff>
        </xdr:from>
        <xdr:to>
          <xdr:col>7</xdr:col>
          <xdr:colOff>209550</xdr:colOff>
          <xdr:row>70</xdr:row>
          <xdr:rowOff>0</xdr:rowOff>
        </xdr:to>
        <xdr:sp macro="" textlink="">
          <xdr:nvSpPr>
            <xdr:cNvPr id="22557" name="Check Box 29" hidden="1">
              <a:extLst>
                <a:ext uri="{63B3BB69-23CF-44E3-9099-C40C66FF867C}">
                  <a14:compatExt spid="_x0000_s22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9525</xdr:rowOff>
        </xdr:from>
        <xdr:to>
          <xdr:col>8</xdr:col>
          <xdr:colOff>209550</xdr:colOff>
          <xdr:row>70</xdr:row>
          <xdr:rowOff>0</xdr:rowOff>
        </xdr:to>
        <xdr:sp macro="" textlink="">
          <xdr:nvSpPr>
            <xdr:cNvPr id="22558" name="Check Box 30" hidden="1">
              <a:extLst>
                <a:ext uri="{63B3BB69-23CF-44E3-9099-C40C66FF867C}">
                  <a14:compatExt spid="_x0000_s22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9525</xdr:rowOff>
        </xdr:from>
        <xdr:to>
          <xdr:col>9</xdr:col>
          <xdr:colOff>209550</xdr:colOff>
          <xdr:row>70</xdr:row>
          <xdr:rowOff>0</xdr:rowOff>
        </xdr:to>
        <xdr:sp macro="" textlink="">
          <xdr:nvSpPr>
            <xdr:cNvPr id="22559" name="Check Box 31" hidden="1">
              <a:extLst>
                <a:ext uri="{63B3BB69-23CF-44E3-9099-C40C66FF867C}">
                  <a14:compatExt spid="_x0000_s2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9525</xdr:rowOff>
        </xdr:from>
        <xdr:to>
          <xdr:col>10</xdr:col>
          <xdr:colOff>209550</xdr:colOff>
          <xdr:row>70</xdr:row>
          <xdr:rowOff>0</xdr:rowOff>
        </xdr:to>
        <xdr:sp macro="" textlink="">
          <xdr:nvSpPr>
            <xdr:cNvPr id="22560" name="Check Box 32" hidden="1">
              <a:extLst>
                <a:ext uri="{63B3BB69-23CF-44E3-9099-C40C66FF867C}">
                  <a14:compatExt spid="_x0000_s22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9525</xdr:rowOff>
        </xdr:from>
        <xdr:to>
          <xdr:col>11</xdr:col>
          <xdr:colOff>209550</xdr:colOff>
          <xdr:row>70</xdr:row>
          <xdr:rowOff>0</xdr:rowOff>
        </xdr:to>
        <xdr:sp macro="" textlink="">
          <xdr:nvSpPr>
            <xdr:cNvPr id="22561" name="Check Box 33" hidden="1">
              <a:extLst>
                <a:ext uri="{63B3BB69-23CF-44E3-9099-C40C66FF867C}">
                  <a14:compatExt spid="_x0000_s2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9525</xdr:rowOff>
        </xdr:from>
        <xdr:to>
          <xdr:col>12</xdr:col>
          <xdr:colOff>209550</xdr:colOff>
          <xdr:row>70</xdr:row>
          <xdr:rowOff>0</xdr:rowOff>
        </xdr:to>
        <xdr:sp macro="" textlink="">
          <xdr:nvSpPr>
            <xdr:cNvPr id="22562" name="Check Box 34" hidden="1">
              <a:extLst>
                <a:ext uri="{63B3BB69-23CF-44E3-9099-C40C66FF867C}">
                  <a14:compatExt spid="_x0000_s2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69</xdr:row>
          <xdr:rowOff>9525</xdr:rowOff>
        </xdr:from>
        <xdr:to>
          <xdr:col>13</xdr:col>
          <xdr:colOff>209550</xdr:colOff>
          <xdr:row>70</xdr:row>
          <xdr:rowOff>0</xdr:rowOff>
        </xdr:to>
        <xdr:sp macro="" textlink="">
          <xdr:nvSpPr>
            <xdr:cNvPr id="22563" name="Check Box 35" hidden="1">
              <a:extLst>
                <a:ext uri="{63B3BB69-23CF-44E3-9099-C40C66FF867C}">
                  <a14:compatExt spid="_x0000_s2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9525</xdr:rowOff>
        </xdr:from>
        <xdr:to>
          <xdr:col>14</xdr:col>
          <xdr:colOff>209550</xdr:colOff>
          <xdr:row>70</xdr:row>
          <xdr:rowOff>0</xdr:rowOff>
        </xdr:to>
        <xdr:sp macro="" textlink="">
          <xdr:nvSpPr>
            <xdr:cNvPr id="22564" name="Check Box 36" hidden="1">
              <a:extLst>
                <a:ext uri="{63B3BB69-23CF-44E3-9099-C40C66FF867C}">
                  <a14:compatExt spid="_x0000_s22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21</xdr:row>
          <xdr:rowOff>9525</xdr:rowOff>
        </xdr:from>
        <xdr:to>
          <xdr:col>1</xdr:col>
          <xdr:colOff>342900</xdr:colOff>
          <xdr:row>21</xdr:row>
          <xdr:rowOff>180975</xdr:rowOff>
        </xdr:to>
        <xdr:sp macro="" textlink="">
          <xdr:nvSpPr>
            <xdr:cNvPr id="22565" name="Spinner 37" hidden="1">
              <a:extLst>
                <a:ext uri="{63B3BB69-23CF-44E3-9099-C40C66FF867C}">
                  <a14:compatExt spid="_x0000_s22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23</xdr:row>
          <xdr:rowOff>9525</xdr:rowOff>
        </xdr:from>
        <xdr:to>
          <xdr:col>1</xdr:col>
          <xdr:colOff>342900</xdr:colOff>
          <xdr:row>23</xdr:row>
          <xdr:rowOff>180975</xdr:rowOff>
        </xdr:to>
        <xdr:sp macro="" textlink="">
          <xdr:nvSpPr>
            <xdr:cNvPr id="22566" name="Spinner 38" hidden="1">
              <a:extLst>
                <a:ext uri="{63B3BB69-23CF-44E3-9099-C40C66FF867C}">
                  <a14:compatExt spid="_x0000_s22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25</xdr:row>
          <xdr:rowOff>9525</xdr:rowOff>
        </xdr:from>
        <xdr:to>
          <xdr:col>1</xdr:col>
          <xdr:colOff>342900</xdr:colOff>
          <xdr:row>25</xdr:row>
          <xdr:rowOff>180975</xdr:rowOff>
        </xdr:to>
        <xdr:sp macro="" textlink="">
          <xdr:nvSpPr>
            <xdr:cNvPr id="22567" name="Spinner 39" hidden="1">
              <a:extLst>
                <a:ext uri="{63B3BB69-23CF-44E3-9099-C40C66FF867C}">
                  <a14:compatExt spid="_x0000_s2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27</xdr:row>
          <xdr:rowOff>9525</xdr:rowOff>
        </xdr:from>
        <xdr:to>
          <xdr:col>1</xdr:col>
          <xdr:colOff>342900</xdr:colOff>
          <xdr:row>28</xdr:row>
          <xdr:rowOff>0</xdr:rowOff>
        </xdr:to>
        <xdr:sp macro="" textlink="">
          <xdr:nvSpPr>
            <xdr:cNvPr id="22568" name="Spinner 40" hidden="1">
              <a:extLst>
                <a:ext uri="{63B3BB69-23CF-44E3-9099-C40C66FF867C}">
                  <a14:compatExt spid="_x0000_s2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29</xdr:row>
          <xdr:rowOff>9525</xdr:rowOff>
        </xdr:from>
        <xdr:to>
          <xdr:col>1</xdr:col>
          <xdr:colOff>342900</xdr:colOff>
          <xdr:row>29</xdr:row>
          <xdr:rowOff>180975</xdr:rowOff>
        </xdr:to>
        <xdr:sp macro="" textlink="">
          <xdr:nvSpPr>
            <xdr:cNvPr id="22569" name="Spinner 41" hidden="1">
              <a:extLst>
                <a:ext uri="{63B3BB69-23CF-44E3-9099-C40C66FF867C}">
                  <a14:compatExt spid="_x0000_s2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31</xdr:row>
          <xdr:rowOff>9525</xdr:rowOff>
        </xdr:from>
        <xdr:to>
          <xdr:col>1</xdr:col>
          <xdr:colOff>342900</xdr:colOff>
          <xdr:row>31</xdr:row>
          <xdr:rowOff>180975</xdr:rowOff>
        </xdr:to>
        <xdr:sp macro="" textlink="">
          <xdr:nvSpPr>
            <xdr:cNvPr id="22570" name="Spinner 42" hidden="1">
              <a:extLst>
                <a:ext uri="{63B3BB69-23CF-44E3-9099-C40C66FF867C}">
                  <a14:compatExt spid="_x0000_s22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35</xdr:row>
          <xdr:rowOff>0</xdr:rowOff>
        </xdr:from>
        <xdr:to>
          <xdr:col>1</xdr:col>
          <xdr:colOff>342900</xdr:colOff>
          <xdr:row>36</xdr:row>
          <xdr:rowOff>0</xdr:rowOff>
        </xdr:to>
        <xdr:sp macro="" textlink="">
          <xdr:nvSpPr>
            <xdr:cNvPr id="22571" name="Spinner 43" hidden="1">
              <a:extLst>
                <a:ext uri="{63B3BB69-23CF-44E3-9099-C40C66FF867C}">
                  <a14:compatExt spid="_x0000_s2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36</xdr:row>
          <xdr:rowOff>0</xdr:rowOff>
        </xdr:from>
        <xdr:to>
          <xdr:col>1</xdr:col>
          <xdr:colOff>342900</xdr:colOff>
          <xdr:row>38</xdr:row>
          <xdr:rowOff>0</xdr:rowOff>
        </xdr:to>
        <xdr:sp macro="" textlink="">
          <xdr:nvSpPr>
            <xdr:cNvPr id="22572" name="Spinner 44" hidden="1">
              <a:extLst>
                <a:ext uri="{63B3BB69-23CF-44E3-9099-C40C66FF867C}">
                  <a14:compatExt spid="_x0000_s2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38</xdr:row>
          <xdr:rowOff>0</xdr:rowOff>
        </xdr:from>
        <xdr:to>
          <xdr:col>1</xdr:col>
          <xdr:colOff>342900</xdr:colOff>
          <xdr:row>39</xdr:row>
          <xdr:rowOff>180975</xdr:rowOff>
        </xdr:to>
        <xdr:sp macro="" textlink="">
          <xdr:nvSpPr>
            <xdr:cNvPr id="22573" name="Spinner 45" hidden="1">
              <a:extLst>
                <a:ext uri="{63B3BB69-23CF-44E3-9099-C40C66FF867C}">
                  <a14:compatExt spid="_x0000_s2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41</xdr:row>
          <xdr:rowOff>9525</xdr:rowOff>
        </xdr:from>
        <xdr:to>
          <xdr:col>1</xdr:col>
          <xdr:colOff>342900</xdr:colOff>
          <xdr:row>42</xdr:row>
          <xdr:rowOff>0</xdr:rowOff>
        </xdr:to>
        <xdr:sp macro="" textlink="">
          <xdr:nvSpPr>
            <xdr:cNvPr id="22574" name="Spinner 46" hidden="1">
              <a:extLst>
                <a:ext uri="{63B3BB69-23CF-44E3-9099-C40C66FF867C}">
                  <a14:compatExt spid="_x0000_s2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43</xdr:row>
          <xdr:rowOff>9525</xdr:rowOff>
        </xdr:from>
        <xdr:to>
          <xdr:col>1</xdr:col>
          <xdr:colOff>342900</xdr:colOff>
          <xdr:row>43</xdr:row>
          <xdr:rowOff>180975</xdr:rowOff>
        </xdr:to>
        <xdr:sp macro="" textlink="">
          <xdr:nvSpPr>
            <xdr:cNvPr id="22575" name="Spinner 47" hidden="1">
              <a:extLst>
                <a:ext uri="{63B3BB69-23CF-44E3-9099-C40C66FF867C}">
                  <a14:compatExt spid="_x0000_s22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257175</xdr:colOff>
          <xdr:row>45</xdr:row>
          <xdr:rowOff>19050</xdr:rowOff>
        </xdr:from>
        <xdr:to>
          <xdr:col>1</xdr:col>
          <xdr:colOff>333375</xdr:colOff>
          <xdr:row>45</xdr:row>
          <xdr:rowOff>180975</xdr:rowOff>
        </xdr:to>
        <xdr:sp macro="" textlink="">
          <xdr:nvSpPr>
            <xdr:cNvPr id="22576" name="Spinner 48" hidden="1">
              <a:extLst>
                <a:ext uri="{63B3BB69-23CF-44E3-9099-C40C66FF867C}">
                  <a14:compatExt spid="_x0000_s2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190500</xdr:colOff>
          <xdr:row>4</xdr:row>
          <xdr:rowOff>0</xdr:rowOff>
        </xdr:to>
        <xdr:sp macro="" textlink="">
          <xdr:nvSpPr>
            <xdr:cNvPr id="22577" name="Check Box 49" hidden="1">
              <a:extLst>
                <a:ext uri="{63B3BB69-23CF-44E3-9099-C40C66FF867C}">
                  <a14:compatExt spid="_x0000_s2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190500</xdr:colOff>
          <xdr:row>4</xdr:row>
          <xdr:rowOff>0</xdr:rowOff>
        </xdr:to>
        <xdr:sp macro="" textlink="">
          <xdr:nvSpPr>
            <xdr:cNvPr id="22578" name="Check Box 50" hidden="1">
              <a:extLst>
                <a:ext uri="{63B3BB69-23CF-44E3-9099-C40C66FF867C}">
                  <a14:compatExt spid="_x0000_s2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190500</xdr:colOff>
          <xdr:row>4</xdr:row>
          <xdr:rowOff>0</xdr:rowOff>
        </xdr:to>
        <xdr:sp macro="" textlink="">
          <xdr:nvSpPr>
            <xdr:cNvPr id="22579" name="Check Box 51" hidden="1">
              <a:extLst>
                <a:ext uri="{63B3BB69-23CF-44E3-9099-C40C66FF867C}">
                  <a14:compatExt spid="_x0000_s2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190500</xdr:colOff>
          <xdr:row>4</xdr:row>
          <xdr:rowOff>0</xdr:rowOff>
        </xdr:to>
        <xdr:sp macro="" textlink="">
          <xdr:nvSpPr>
            <xdr:cNvPr id="22580" name="Check Box 52" hidden="1">
              <a:extLst>
                <a:ext uri="{63B3BB69-23CF-44E3-9099-C40C66FF867C}">
                  <a14:compatExt spid="_x0000_s22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190500</xdr:colOff>
          <xdr:row>4</xdr:row>
          <xdr:rowOff>0</xdr:rowOff>
        </xdr:to>
        <xdr:sp macro="" textlink="">
          <xdr:nvSpPr>
            <xdr:cNvPr id="22581" name="Check Box 53" hidden="1">
              <a:extLst>
                <a:ext uri="{63B3BB69-23CF-44E3-9099-C40C66FF867C}">
                  <a14:compatExt spid="_x0000_s2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190500</xdr:colOff>
          <xdr:row>4</xdr:row>
          <xdr:rowOff>0</xdr:rowOff>
        </xdr:to>
        <xdr:sp macro="" textlink="">
          <xdr:nvSpPr>
            <xdr:cNvPr id="22582" name="Check Box 54" hidden="1">
              <a:extLst>
                <a:ext uri="{63B3BB69-23CF-44E3-9099-C40C66FF867C}">
                  <a14:compatExt spid="_x0000_s2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190500</xdr:colOff>
          <xdr:row>4</xdr:row>
          <xdr:rowOff>0</xdr:rowOff>
        </xdr:to>
        <xdr:sp macro="" textlink="">
          <xdr:nvSpPr>
            <xdr:cNvPr id="22583" name="Check Box 55" hidden="1">
              <a:extLst>
                <a:ext uri="{63B3BB69-23CF-44E3-9099-C40C66FF867C}">
                  <a14:compatExt spid="_x0000_s2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10</xdr:col>
          <xdr:colOff>190500</xdr:colOff>
          <xdr:row>4</xdr:row>
          <xdr:rowOff>0</xdr:rowOff>
        </xdr:to>
        <xdr:sp macro="" textlink="">
          <xdr:nvSpPr>
            <xdr:cNvPr id="22584" name="Check Box 56" hidden="1">
              <a:extLst>
                <a:ext uri="{63B3BB69-23CF-44E3-9099-C40C66FF867C}">
                  <a14:compatExt spid="_x0000_s2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11</xdr:col>
          <xdr:colOff>190500</xdr:colOff>
          <xdr:row>4</xdr:row>
          <xdr:rowOff>0</xdr:rowOff>
        </xdr:to>
        <xdr:sp macro="" textlink="">
          <xdr:nvSpPr>
            <xdr:cNvPr id="22585" name="Check Box 57" hidden="1">
              <a:extLst>
                <a:ext uri="{63B3BB69-23CF-44E3-9099-C40C66FF867C}">
                  <a14:compatExt spid="_x0000_s22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12</xdr:col>
          <xdr:colOff>190500</xdr:colOff>
          <xdr:row>4</xdr:row>
          <xdr:rowOff>0</xdr:rowOff>
        </xdr:to>
        <xdr:sp macro="" textlink="">
          <xdr:nvSpPr>
            <xdr:cNvPr id="22586" name="Check Box 58" hidden="1">
              <a:extLst>
                <a:ext uri="{63B3BB69-23CF-44E3-9099-C40C66FF867C}">
                  <a14:compatExt spid="_x0000_s2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190500</xdr:colOff>
          <xdr:row>4</xdr:row>
          <xdr:rowOff>0</xdr:rowOff>
        </xdr:to>
        <xdr:sp macro="" textlink="">
          <xdr:nvSpPr>
            <xdr:cNvPr id="22587" name="Check Box 59" hidden="1">
              <a:extLst>
                <a:ext uri="{63B3BB69-23CF-44E3-9099-C40C66FF867C}">
                  <a14:compatExt spid="_x0000_s2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3</xdr:row>
          <xdr:rowOff>0</xdr:rowOff>
        </xdr:from>
        <xdr:to>
          <xdr:col>14</xdr:col>
          <xdr:colOff>190500</xdr:colOff>
          <xdr:row>4</xdr:row>
          <xdr:rowOff>0</xdr:rowOff>
        </xdr:to>
        <xdr:sp macro="" textlink="">
          <xdr:nvSpPr>
            <xdr:cNvPr id="22588" name="Check Box 60" hidden="1">
              <a:extLst>
                <a:ext uri="{63B3BB69-23CF-44E3-9099-C40C66FF867C}">
                  <a14:compatExt spid="_x0000_s2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11784</xdr:colOff>
      <xdr:row>125</xdr:row>
      <xdr:rowOff>176751</xdr:rowOff>
    </xdr:from>
    <xdr:to>
      <xdr:col>14</xdr:col>
      <xdr:colOff>834665</xdr:colOff>
      <xdr:row>140</xdr:row>
      <xdr:rowOff>166932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11784</xdr:colOff>
      <xdr:row>146</xdr:row>
      <xdr:rowOff>176751</xdr:rowOff>
    </xdr:from>
    <xdr:to>
      <xdr:col>14</xdr:col>
      <xdr:colOff>834665</xdr:colOff>
      <xdr:row>161</xdr:row>
      <xdr:rowOff>166932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11784</xdr:colOff>
      <xdr:row>163</xdr:row>
      <xdr:rowOff>176752</xdr:rowOff>
    </xdr:from>
    <xdr:to>
      <xdr:col>14</xdr:col>
      <xdr:colOff>834665</xdr:colOff>
      <xdr:row>179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11784</xdr:colOff>
      <xdr:row>180</xdr:row>
      <xdr:rowOff>176752</xdr:rowOff>
    </xdr:from>
    <xdr:to>
      <xdr:col>14</xdr:col>
      <xdr:colOff>834665</xdr:colOff>
      <xdr:row>196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</xdr:row>
      <xdr:rowOff>62972</xdr:rowOff>
    </xdr:from>
    <xdr:to>
      <xdr:col>15</xdr:col>
      <xdr:colOff>9248</xdr:colOff>
      <xdr:row>29</xdr:row>
      <xdr:rowOff>73269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11784</xdr:colOff>
      <xdr:row>57</xdr:row>
      <xdr:rowOff>176751</xdr:rowOff>
    </xdr:from>
    <xdr:to>
      <xdr:col>14</xdr:col>
      <xdr:colOff>834665</xdr:colOff>
      <xdr:row>72</xdr:row>
      <xdr:rowOff>166932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68</xdr:row>
      <xdr:rowOff>45793</xdr:rowOff>
    </xdr:from>
    <xdr:to>
      <xdr:col>2</xdr:col>
      <xdr:colOff>870072</xdr:colOff>
      <xdr:row>73</xdr:row>
      <xdr:rowOff>18142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11784</xdr:colOff>
      <xdr:row>75</xdr:row>
      <xdr:rowOff>0</xdr:rowOff>
    </xdr:from>
    <xdr:to>
      <xdr:col>14</xdr:col>
      <xdr:colOff>834665</xdr:colOff>
      <xdr:row>89</xdr:row>
      <xdr:rowOff>166932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</xdr:col>
      <xdr:colOff>45795</xdr:colOff>
      <xdr:row>11</xdr:row>
      <xdr:rowOff>73263</xdr:rowOff>
    </xdr:from>
    <xdr:ext cx="3336939" cy="530658"/>
    <xdr:sp macro="" textlink="">
      <xdr:nvSpPr>
        <xdr:cNvPr id="2" name="TextBox 1"/>
        <xdr:cNvSpPr txBox="1"/>
      </xdr:nvSpPr>
      <xdr:spPr>
        <a:xfrm>
          <a:off x="119064" y="21211436"/>
          <a:ext cx="333693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800" b="1">
              <a:solidFill>
                <a:schemeClr val="bg1"/>
              </a:solidFill>
            </a:rPr>
            <a:t>PHASE</a:t>
          </a:r>
          <a:r>
            <a:rPr lang="en-IN" sz="2800" b="1" baseline="0">
              <a:solidFill>
                <a:schemeClr val="bg1"/>
              </a:solidFill>
            </a:rPr>
            <a:t> WISE BUDGET</a:t>
          </a:r>
          <a:endParaRPr lang="en-IN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64110</xdr:colOff>
      <xdr:row>31</xdr:row>
      <xdr:rowOff>45793</xdr:rowOff>
    </xdr:from>
    <xdr:to>
      <xdr:col>14</xdr:col>
      <xdr:colOff>833438</xdr:colOff>
      <xdr:row>53</xdr:row>
      <xdr:rowOff>137380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</xdr:col>
      <xdr:colOff>45795</xdr:colOff>
      <xdr:row>31</xdr:row>
      <xdr:rowOff>73263</xdr:rowOff>
    </xdr:from>
    <xdr:ext cx="2524987" cy="530658"/>
    <xdr:sp macro="" textlink="">
      <xdr:nvSpPr>
        <xdr:cNvPr id="15" name="TextBox 14"/>
        <xdr:cNvSpPr txBox="1"/>
      </xdr:nvSpPr>
      <xdr:spPr>
        <a:xfrm>
          <a:off x="119064" y="24508551"/>
          <a:ext cx="252498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800" b="1" baseline="0">
              <a:solidFill>
                <a:schemeClr val="bg1"/>
              </a:solidFill>
            </a:rPr>
            <a:t>BUDGET HEADS</a:t>
          </a:r>
          <a:endParaRPr lang="en-IN" sz="28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11784</xdr:colOff>
      <xdr:row>109</xdr:row>
      <xdr:rowOff>0</xdr:rowOff>
    </xdr:from>
    <xdr:to>
      <xdr:col>14</xdr:col>
      <xdr:colOff>834665</xdr:colOff>
      <xdr:row>123</xdr:row>
      <xdr:rowOff>166932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2</xdr:col>
      <xdr:colOff>351340</xdr:colOff>
      <xdr:row>109</xdr:row>
      <xdr:rowOff>88275</xdr:rowOff>
    </xdr:from>
    <xdr:ext cx="264560" cy="399405"/>
    <xdr:sp macro="" textlink="">
      <xdr:nvSpPr>
        <xdr:cNvPr id="4" name="TextBox 3"/>
        <xdr:cNvSpPr txBox="1"/>
      </xdr:nvSpPr>
      <xdr:spPr>
        <a:xfrm rot="16200000">
          <a:off x="824278" y="11393366"/>
          <a:ext cx="39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tx1">
                  <a:lumMod val="65000"/>
                  <a:lumOff val="35000"/>
                </a:schemeClr>
              </a:solidFill>
              <a:effectLst/>
              <a:latin typeface="Calibri Light" panose="020F0302020204030204" pitchFamily="34" charset="0"/>
              <a:ea typeface="+mn-ea"/>
              <a:cs typeface="+mn-cs"/>
            </a:rPr>
            <a:t>lacs</a:t>
          </a:r>
          <a:endParaRPr lang="en-IN">
            <a:solidFill>
              <a:schemeClr val="tx1">
                <a:lumMod val="65000"/>
                <a:lumOff val="35000"/>
              </a:schemeClr>
            </a:solidFill>
            <a:effectLst/>
            <a:latin typeface="Calibri Light" panose="020F0302020204030204" pitchFamily="34" charset="0"/>
          </a:endParaRPr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0.06787</cdr:x>
      <cdr:y>0.03165</cdr:y>
    </cdr:from>
    <cdr:to>
      <cdr:x>0.08595</cdr:x>
      <cdr:y>0.18624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720926" y="166693"/>
          <a:ext cx="389253" cy="215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05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</a:rPr>
            <a:t>lacs</a:t>
          </a:r>
          <a:endParaRPr lang="en-IN" sz="1100">
            <a:solidFill>
              <a:schemeClr val="tx1">
                <a:lumMod val="65000"/>
                <a:lumOff val="35000"/>
              </a:schemeClr>
            </a:solidFill>
            <a:latin typeface="Calibri Light" panose="020F030202020403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Rasagiline%20Mesylate%20Tablet\16.%20Budget\PCT_Rasagiline%20Mesylate%20Tablets(Emerging%20Market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fshnfc\ARC\Pregabalin%20Capsules\15.%20Miscellaneous\Pregabalin%20Capsule_Budget_0104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ithil.patel/AppData/Local/Microsoft/Windows/INetCache/Content.Outlook/4DFZUVA1/PIF%20%20PCT%20Deferasirox_US%20%20EU_11%20Apr%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asagiline%20Mesylate%20Tablet/16.%20Budget/PCT_Rasagiline%20Mesylate%20Tablets(Emerging%20Market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eferasirox%20tablets/15.%20Miscellaneous/Emerging/PIF_PCT_Deferasirox%20Dispersible%20tab_Emerging_Without%20Pivotal%20BE%20and%20filing%20cos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CAHRND\Project%20management\PIFs\Work%20in%20Progress\Project%20Summary%20-%20Deferasirox%20New_07.04.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CAHRND\Users\sumantsinh.girase\AppData\Local\Microsoft\Windows\Temporary%20Internet%20Files\Content.Outlook\VC1ZZQJA\PIF%20of%20Macitentan%20Tablet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anksha.pandit/AppData/Local/Microsoft/Windows/Temporary%20Internet%20Files/Content.Outlook/LOAT4WNF/Sent%20or%20pending%20For%20Approval/Project%20Summary%20-%20Aminocaproic%20Acid%20Tabs-%20Pending%20for%20IPD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"/>
      <sheetName val="2.2.FDGL-EU"/>
      <sheetName val="2.3.FDGL-Canada"/>
      <sheetName val="2.4.FDGL-ROW"/>
      <sheetName val="2.5.FDGL-Domestic"/>
      <sheetName val="3.IPD"/>
      <sheetName val="PIF"/>
      <sheetName val="Project Charter."/>
      <sheetName val="Activity Duration"/>
      <sheetName val="Graphs"/>
      <sheetName val="List"/>
      <sheetName val="RA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J2" t="str">
            <v>T001: Assay by HPLC</v>
          </cell>
          <cell r="AK2">
            <v>1250</v>
          </cell>
        </row>
        <row r="3">
          <cell r="AJ3" t="str">
            <v>T002: Assay by HPLC (Double component in single chromatography)</v>
          </cell>
          <cell r="AK3">
            <v>1500</v>
          </cell>
        </row>
        <row r="4">
          <cell r="AJ4" t="str">
            <v>T003: Assay by HPLC (Triple component in single chromatography)</v>
          </cell>
          <cell r="AK4">
            <v>1700</v>
          </cell>
        </row>
        <row r="5">
          <cell r="AJ5" t="str">
            <v>T004: Assay by UV</v>
          </cell>
          <cell r="AK5">
            <v>600</v>
          </cell>
        </row>
        <row r="6">
          <cell r="AJ6" t="str">
            <v>T005: Assay by GC</v>
          </cell>
          <cell r="AK6">
            <v>2500</v>
          </cell>
        </row>
        <row r="7">
          <cell r="AJ7" t="str">
            <v>T006: Assay by Titrimetry</v>
          </cell>
          <cell r="AK7">
            <v>750</v>
          </cell>
        </row>
        <row r="8">
          <cell r="AJ8" t="str">
            <v>T007: Assay by Ion Chromatography</v>
          </cell>
          <cell r="AK8">
            <v>4000</v>
          </cell>
        </row>
        <row r="9">
          <cell r="AJ9" t="str">
            <v>T008: Dissolution Profile by HPLC</v>
          </cell>
          <cell r="AK9">
            <v>4000</v>
          </cell>
        </row>
        <row r="10">
          <cell r="AJ10" t="str">
            <v>T009: Dissolution single point by HPLC</v>
          </cell>
          <cell r="AK10">
            <v>2000</v>
          </cell>
        </row>
        <row r="11">
          <cell r="AJ11" t="str">
            <v>T010: Dissolution Profile by HPLC 3 units</v>
          </cell>
          <cell r="AK11">
            <v>2500</v>
          </cell>
        </row>
        <row r="12">
          <cell r="AJ12" t="str">
            <v>T011: Dissolution Profile by HPLC 12 units</v>
          </cell>
          <cell r="AK12">
            <v>8000</v>
          </cell>
        </row>
        <row r="13">
          <cell r="AJ13" t="str">
            <v>T012: Dissolution Profile by UV</v>
          </cell>
          <cell r="AK13">
            <v>3000</v>
          </cell>
        </row>
        <row r="14">
          <cell r="AJ14" t="str">
            <v>T013: Dissolution single point by UV</v>
          </cell>
          <cell r="AK14">
            <v>1800</v>
          </cell>
        </row>
        <row r="15">
          <cell r="AJ15" t="str">
            <v>T014: Dissolution Profile by UV 3 units</v>
          </cell>
          <cell r="AK15">
            <v>900</v>
          </cell>
        </row>
        <row r="16">
          <cell r="AJ16" t="str">
            <v>T015: Dissolution Profile by UV 12 units</v>
          </cell>
          <cell r="AK16">
            <v>6000</v>
          </cell>
        </row>
        <row r="17">
          <cell r="AJ17" t="str">
            <v>T016: Dissolution profile by LCMS</v>
          </cell>
          <cell r="AK17">
            <v>75000</v>
          </cell>
        </row>
        <row r="18">
          <cell r="AJ18" t="str">
            <v>T017: Dissolution single point by LCMS</v>
          </cell>
          <cell r="AK18">
            <v>20000</v>
          </cell>
        </row>
        <row r="19">
          <cell r="AJ19" t="str">
            <v>T018: Dissolution profile by titrimetry</v>
          </cell>
          <cell r="AK19">
            <v>4500</v>
          </cell>
        </row>
        <row r="20">
          <cell r="AJ20" t="str">
            <v>T019: Dissolution profile by titrimetry 3 units</v>
          </cell>
          <cell r="AK20">
            <v>2200</v>
          </cell>
        </row>
        <row r="21">
          <cell r="AJ21" t="str">
            <v>T020: Dissolution single point by Titrimetry</v>
          </cell>
          <cell r="AK21">
            <v>1200</v>
          </cell>
        </row>
        <row r="22">
          <cell r="AJ22" t="str">
            <v>T021: In-vitro release study (by Franz Diffusion)</v>
          </cell>
          <cell r="AK22">
            <v>11000</v>
          </cell>
        </row>
        <row r="23">
          <cell r="AJ23" t="str">
            <v>T022: Method Development for Assay</v>
          </cell>
          <cell r="AK23">
            <v>20000</v>
          </cell>
        </row>
        <row r="24">
          <cell r="AJ24" t="str">
            <v>T023: Method Development for dissolution</v>
          </cell>
          <cell r="AK24">
            <v>22000</v>
          </cell>
        </row>
        <row r="25">
          <cell r="AJ25" t="str">
            <v>T024: Method Development for RS</v>
          </cell>
          <cell r="AK25">
            <v>25000</v>
          </cell>
        </row>
        <row r="26">
          <cell r="AJ26" t="str">
            <v>T025: Method Development for residual Solvent</v>
          </cell>
          <cell r="AK26">
            <v>10000</v>
          </cell>
        </row>
        <row r="27">
          <cell r="AJ27" t="str">
            <v>T026: Related Substances (By TLC)</v>
          </cell>
          <cell r="AK27">
            <v>1000</v>
          </cell>
        </row>
        <row r="28">
          <cell r="AJ28" t="str">
            <v>T027: Related Substances by HPLC</v>
          </cell>
          <cell r="AK28">
            <v>2500</v>
          </cell>
        </row>
        <row r="29">
          <cell r="AJ29" t="str">
            <v>T028: Related Substances by GC</v>
          </cell>
          <cell r="AK29">
            <v>3500</v>
          </cell>
        </row>
        <row r="30">
          <cell r="AJ30" t="str">
            <v>T029: Uniformity of dosage units by content uniformity</v>
          </cell>
          <cell r="AK30">
            <v>2500</v>
          </cell>
        </row>
        <row r="31">
          <cell r="AJ31" t="str">
            <v>T030: Uniformity of Dosage units by weight variation</v>
          </cell>
          <cell r="AK31">
            <v>200</v>
          </cell>
        </row>
        <row r="32">
          <cell r="AJ32" t="str">
            <v>T031: Uniformity of dosage unit by weight variation (Subdivision)</v>
          </cell>
          <cell r="AK32">
            <v>200</v>
          </cell>
        </row>
        <row r="33">
          <cell r="AJ33" t="str">
            <v>T032: Uniformity of dosage unit by content uniformity (Subdivision)</v>
          </cell>
          <cell r="AK33">
            <v>3500</v>
          </cell>
        </row>
        <row r="34">
          <cell r="AJ34" t="str">
            <v>T033: Disintegration Time</v>
          </cell>
          <cell r="AK34">
            <v>100</v>
          </cell>
        </row>
        <row r="35">
          <cell r="AJ35" t="str">
            <v>T034: Water Content (by KF)</v>
          </cell>
          <cell r="AK35">
            <v>300</v>
          </cell>
        </row>
        <row r="36">
          <cell r="AJ36" t="str">
            <v>T035: Water content (by coloumetric)</v>
          </cell>
          <cell r="AK36">
            <v>550</v>
          </cell>
        </row>
        <row r="37">
          <cell r="AJ37" t="str">
            <v>T036: Hardness</v>
          </cell>
          <cell r="AK37">
            <v>300</v>
          </cell>
        </row>
        <row r="38">
          <cell r="AJ38" t="str">
            <v>T037: Blend uniformity</v>
          </cell>
          <cell r="AK38">
            <v>2500</v>
          </cell>
        </row>
        <row r="39">
          <cell r="AJ39" t="str">
            <v>T038: Microbial Limit Test</v>
          </cell>
          <cell r="AK39">
            <v>4000</v>
          </cell>
        </row>
        <row r="40">
          <cell r="AJ40" t="str">
            <v>T039: Weight Variation</v>
          </cell>
          <cell r="AK40">
            <v>200</v>
          </cell>
        </row>
        <row r="41">
          <cell r="AJ41" t="str">
            <v>T040: Residual solvents</v>
          </cell>
          <cell r="AK41">
            <v>2500</v>
          </cell>
        </row>
        <row r="42">
          <cell r="AJ42" t="str">
            <v>T041: Acid resistance value</v>
          </cell>
          <cell r="AK42">
            <v>3000</v>
          </cell>
        </row>
        <row r="43">
          <cell r="AJ43" t="str">
            <v>T042: Identification by UV</v>
          </cell>
          <cell r="AK43">
            <v>300</v>
          </cell>
        </row>
        <row r="44">
          <cell r="AJ44" t="str">
            <v>T043: Identification by HPLC</v>
          </cell>
          <cell r="AK44">
            <v>300</v>
          </cell>
        </row>
        <row r="45">
          <cell r="AJ45" t="str">
            <v>T044: Identification (by TLC)</v>
          </cell>
          <cell r="AK45">
            <v>1000</v>
          </cell>
        </row>
        <row r="46">
          <cell r="AJ46" t="str">
            <v>T045: Identification test for Chemical</v>
          </cell>
          <cell r="AK46">
            <v>600</v>
          </cell>
        </row>
        <row r="47">
          <cell r="AJ47" t="str">
            <v>T046: pH</v>
          </cell>
          <cell r="AK47">
            <v>200</v>
          </cell>
        </row>
        <row r="48">
          <cell r="AJ48" t="str">
            <v>T047: Loss on Drying</v>
          </cell>
          <cell r="AK48">
            <v>300</v>
          </cell>
        </row>
        <row r="49">
          <cell r="AJ49" t="str">
            <v>T048: Particle size</v>
          </cell>
          <cell r="AK49">
            <v>3000</v>
          </cell>
        </row>
        <row r="50">
          <cell r="AJ50" t="str">
            <v>T049: Melting Point Range</v>
          </cell>
          <cell r="AK50">
            <v>200</v>
          </cell>
        </row>
        <row r="51">
          <cell r="AJ51" t="str">
            <v>T050: Solubility (mg/ml)</v>
          </cell>
          <cell r="AK51">
            <v>3000</v>
          </cell>
        </row>
        <row r="52">
          <cell r="AJ52" t="str">
            <v>T051: X-ray Diffraction (XRD)</v>
          </cell>
          <cell r="AK52">
            <v>1200</v>
          </cell>
        </row>
        <row r="53">
          <cell r="AJ53" t="str">
            <v>T052: SEM Analysis</v>
          </cell>
          <cell r="AK53">
            <v>6000</v>
          </cell>
        </row>
        <row r="54">
          <cell r="AJ54" t="str">
            <v xml:space="preserve">T053: Acidity </v>
          </cell>
          <cell r="AK54">
            <v>300</v>
          </cell>
        </row>
        <row r="55">
          <cell r="AJ55" t="str">
            <v>T054: Alkalinity</v>
          </cell>
          <cell r="AK55">
            <v>300</v>
          </cell>
        </row>
        <row r="56">
          <cell r="AJ56" t="str">
            <v>T055: Tapped Density</v>
          </cell>
          <cell r="AK56">
            <v>300</v>
          </cell>
        </row>
        <row r="57">
          <cell r="AJ57" t="str">
            <v>T056: Untapped Density</v>
          </cell>
          <cell r="AK57">
            <v>250</v>
          </cell>
        </row>
        <row r="58">
          <cell r="AJ58" t="str">
            <v>T057: Specific Optimal Rotation</v>
          </cell>
          <cell r="AK58">
            <v>400</v>
          </cell>
        </row>
        <row r="59">
          <cell r="AJ59" t="str">
            <v>T058: Chiral Purity</v>
          </cell>
          <cell r="AK59">
            <v>4500</v>
          </cell>
        </row>
        <row r="60">
          <cell r="AJ60" t="str">
            <v>T059: Particulate matter</v>
          </cell>
          <cell r="AK60">
            <v>200</v>
          </cell>
        </row>
        <row r="61">
          <cell r="AJ61" t="str">
            <v>T060: Surface Tension</v>
          </cell>
          <cell r="AK61">
            <v>3000</v>
          </cell>
        </row>
        <row r="62">
          <cell r="AJ62" t="str">
            <v>T061: Viscosity</v>
          </cell>
          <cell r="AK62">
            <v>1100</v>
          </cell>
        </row>
        <row r="63">
          <cell r="AJ63" t="str">
            <v>T062: Buffer Capacity</v>
          </cell>
          <cell r="AK63">
            <v>900</v>
          </cell>
        </row>
        <row r="64">
          <cell r="AJ64" t="str">
            <v xml:space="preserve">T063: Colour and clarity </v>
          </cell>
          <cell r="AK64">
            <v>600</v>
          </cell>
        </row>
        <row r="65">
          <cell r="AJ65" t="str">
            <v>T064: Clarity and completeness of solution</v>
          </cell>
          <cell r="AK65">
            <v>600</v>
          </cell>
        </row>
        <row r="66">
          <cell r="AJ66" t="str">
            <v>T065: Weight Loss</v>
          </cell>
          <cell r="AK66">
            <v>200</v>
          </cell>
        </row>
        <row r="67">
          <cell r="AJ67" t="str">
            <v>T066: Density</v>
          </cell>
          <cell r="AK67">
            <v>250</v>
          </cell>
        </row>
        <row r="68">
          <cell r="AJ68" t="str">
            <v>T067: Weight per ml</v>
          </cell>
          <cell r="AK68">
            <v>200</v>
          </cell>
        </row>
        <row r="69">
          <cell r="AJ69" t="str">
            <v>T068: Specific Gravity</v>
          </cell>
          <cell r="AK69">
            <v>200</v>
          </cell>
        </row>
        <row r="70">
          <cell r="AJ70" t="str">
            <v>T069: pH of reconstituted solution</v>
          </cell>
          <cell r="AK70">
            <v>200</v>
          </cell>
        </row>
        <row r="71">
          <cell r="AJ71" t="str">
            <v>T070: Absorbance at 420 nm</v>
          </cell>
          <cell r="AK71">
            <v>600</v>
          </cell>
        </row>
        <row r="72">
          <cell r="AJ72" t="str">
            <v>T071: %T @ 650nm</v>
          </cell>
          <cell r="AK72">
            <v>600</v>
          </cell>
        </row>
        <row r="73">
          <cell r="AJ73" t="str">
            <v>T072: Osmolality</v>
          </cell>
          <cell r="AK73">
            <v>200</v>
          </cell>
        </row>
        <row r="74">
          <cell r="AJ74" t="str">
            <v>T073: Reconstitution time</v>
          </cell>
          <cell r="AK74">
            <v>200</v>
          </cell>
        </row>
        <row r="75">
          <cell r="AJ75" t="str">
            <v>T074: Inductive Coupled Plasma (ICP)</v>
          </cell>
          <cell r="AK75">
            <v>2200</v>
          </cell>
        </row>
        <row r="76">
          <cell r="AJ76" t="str">
            <v>T075: Sterility</v>
          </cell>
          <cell r="AK76">
            <v>1400</v>
          </cell>
        </row>
        <row r="77">
          <cell r="AJ77" t="str">
            <v>T076: Biological Asssay</v>
          </cell>
          <cell r="AK77">
            <v>15000</v>
          </cell>
        </row>
        <row r="78">
          <cell r="AJ78" t="str">
            <v>T077: Uniformity of dispersion</v>
          </cell>
          <cell r="AK78">
            <v>200</v>
          </cell>
        </row>
        <row r="79">
          <cell r="AJ79" t="str">
            <v>T078: Alcohol content</v>
          </cell>
          <cell r="AK79">
            <v>3500</v>
          </cell>
        </row>
        <row r="80">
          <cell r="AJ80" t="str">
            <v>T079: Reduced Pressure measurement inside vial</v>
          </cell>
          <cell r="AK80">
            <v>200</v>
          </cell>
        </row>
        <row r="81">
          <cell r="AJ81" t="str">
            <v>T080: Swelling Index</v>
          </cell>
          <cell r="AK81">
            <v>600</v>
          </cell>
        </row>
        <row r="82">
          <cell r="AJ82" t="str">
            <v>T081: Bacterial Endotoxins</v>
          </cell>
          <cell r="AK82">
            <v>4000</v>
          </cell>
        </row>
        <row r="83">
          <cell r="AJ83" t="str">
            <v>T082: Aggregation Study</v>
          </cell>
          <cell r="AK83">
            <v>3000</v>
          </cell>
        </row>
        <row r="84">
          <cell r="AJ84" t="str">
            <v>T083: TEM Analysis</v>
          </cell>
          <cell r="AK84">
            <v>25000</v>
          </cell>
        </row>
        <row r="85">
          <cell r="AJ85" t="str">
            <v>T084: Syringibility</v>
          </cell>
          <cell r="AK85">
            <v>200</v>
          </cell>
        </row>
        <row r="86">
          <cell r="AJ86" t="str">
            <v>T085: Droplet Size</v>
          </cell>
          <cell r="AK86">
            <v>6000</v>
          </cell>
        </row>
        <row r="87">
          <cell r="AJ87" t="str">
            <v>T086: Zeta Potential</v>
          </cell>
          <cell r="AK87">
            <v>750</v>
          </cell>
        </row>
        <row r="88">
          <cell r="AJ88" t="str">
            <v>T087: Fine Particle by NG Impactor</v>
          </cell>
          <cell r="AK88">
            <v>15000</v>
          </cell>
        </row>
        <row r="89">
          <cell r="AJ89" t="str">
            <v>T088: Fine Particle by AG Impactor</v>
          </cell>
          <cell r="AK89">
            <v>2800</v>
          </cell>
        </row>
        <row r="90">
          <cell r="AJ90" t="str">
            <v>T089: % Entrappment (HPLC) (For Depot)</v>
          </cell>
          <cell r="AK90">
            <v>1700</v>
          </cell>
        </row>
        <row r="91">
          <cell r="AJ91" t="str">
            <v>T090: Free Drug (For Doxo)</v>
          </cell>
          <cell r="AK91">
            <v>1900</v>
          </cell>
        </row>
        <row r="92">
          <cell r="AJ92" t="str">
            <v>T091: Volume in Container</v>
          </cell>
          <cell r="AK92">
            <v>200</v>
          </cell>
        </row>
        <row r="93">
          <cell r="AJ93" t="str">
            <v>T092: Extractable Volume</v>
          </cell>
          <cell r="AK93">
            <v>200</v>
          </cell>
        </row>
        <row r="94">
          <cell r="AJ94" t="str">
            <v>T093: Filled Volume</v>
          </cell>
          <cell r="AK94">
            <v>200</v>
          </cell>
        </row>
        <row r="95">
          <cell r="AJ95" t="str">
            <v>T094: Conductivity</v>
          </cell>
          <cell r="AK95">
            <v>200</v>
          </cell>
        </row>
        <row r="96">
          <cell r="AJ96" t="str">
            <v>T095: Uniformity of deliver dosage or entire content</v>
          </cell>
          <cell r="AK96">
            <v>5400</v>
          </cell>
        </row>
        <row r="97">
          <cell r="AJ97" t="str">
            <v>T096: Friability</v>
          </cell>
          <cell r="AK97">
            <v>75</v>
          </cell>
        </row>
        <row r="98">
          <cell r="AJ98" t="str">
            <v>T097: Water Activity</v>
          </cell>
          <cell r="AK98">
            <v>5000</v>
          </cell>
        </row>
        <row r="99">
          <cell r="AJ99" t="str">
            <v>T098: Method Validation</v>
          </cell>
          <cell r="AK99">
            <v>700000</v>
          </cell>
        </row>
      </sheetData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"/>
      <sheetName val="2.2.FDGL-EU"/>
      <sheetName val="2.3.FDGL-Canada"/>
      <sheetName val="2.4.FDGL-ROW"/>
      <sheetName val="2.5.FDGL-Domestic"/>
      <sheetName val="3.IPD"/>
      <sheetName val="PIF"/>
      <sheetName val="Project Charter."/>
      <sheetName val="Activity Duration"/>
      <sheetName val="Graphs"/>
      <sheetName val="List"/>
      <sheetName val="RA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M"/>
      <sheetName val="2.1.FDGL-USA"/>
      <sheetName val="2.2.FDGL-EU"/>
      <sheetName val="3.IPD"/>
      <sheetName val="Graphs"/>
      <sheetName val="PIF"/>
      <sheetName val="Project Charter."/>
      <sheetName val="Activity Duration"/>
      <sheetName val="List"/>
      <sheetName val="RACI"/>
      <sheetName val="Sheet1"/>
    </sheetNames>
    <sheetDataSet>
      <sheetData sheetId="0">
        <row r="13">
          <cell r="G13" t="str">
            <v>PIV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1.PM"/>
      <sheetName val="2.1.FDGL-US"/>
      <sheetName val="2.2.FDGL-EU"/>
      <sheetName val="3.IPD"/>
      <sheetName val="Graphs"/>
      <sheetName val="PIF"/>
      <sheetName val="Project Charter."/>
      <sheetName val="Activity Duration"/>
      <sheetName val="RACI"/>
      <sheetName val="Sheet1"/>
    </sheetNames>
    <sheetDataSet>
      <sheetData sheetId="0"/>
      <sheetData sheetId="1">
        <row r="16">
          <cell r="D16">
            <v>500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40.x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42" Type="http://schemas.openxmlformats.org/officeDocument/2006/relationships/ctrlProp" Target="../ctrlProps/ctrlProp56.xml"/><Relationship Id="rId47" Type="http://schemas.openxmlformats.org/officeDocument/2006/relationships/ctrlProp" Target="../ctrlProps/ctrlProp61.xml"/><Relationship Id="rId50" Type="http://schemas.openxmlformats.org/officeDocument/2006/relationships/ctrlProp" Target="../ctrlProps/ctrlProp64.xml"/><Relationship Id="rId55" Type="http://schemas.openxmlformats.org/officeDocument/2006/relationships/ctrlProp" Target="../ctrlProps/ctrlProp69.xml"/><Relationship Id="rId63" Type="http://schemas.openxmlformats.org/officeDocument/2006/relationships/ctrlProp" Target="../ctrlProps/ctrlProp77.xml"/><Relationship Id="rId68" Type="http://schemas.openxmlformats.org/officeDocument/2006/relationships/ctrlProp" Target="../ctrlProps/ctrlProp82.xml"/><Relationship Id="rId7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0.xml"/><Relationship Id="rId29" Type="http://schemas.openxmlformats.org/officeDocument/2006/relationships/ctrlProp" Target="../ctrlProps/ctrlProp43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40" Type="http://schemas.openxmlformats.org/officeDocument/2006/relationships/ctrlProp" Target="../ctrlProps/ctrlProp54.xml"/><Relationship Id="rId45" Type="http://schemas.openxmlformats.org/officeDocument/2006/relationships/ctrlProp" Target="../ctrlProps/ctrlProp59.xml"/><Relationship Id="rId53" Type="http://schemas.openxmlformats.org/officeDocument/2006/relationships/ctrlProp" Target="../ctrlProps/ctrlProp67.xml"/><Relationship Id="rId58" Type="http://schemas.openxmlformats.org/officeDocument/2006/relationships/ctrlProp" Target="../ctrlProps/ctrlProp72.xml"/><Relationship Id="rId66" Type="http://schemas.openxmlformats.org/officeDocument/2006/relationships/ctrlProp" Target="../ctrlProps/ctrlProp80.xml"/><Relationship Id="rId5" Type="http://schemas.openxmlformats.org/officeDocument/2006/relationships/ctrlProp" Target="../ctrlProps/ctrlProp19.xml"/><Relationship Id="rId61" Type="http://schemas.openxmlformats.org/officeDocument/2006/relationships/ctrlProp" Target="../ctrlProps/ctrlProp75.xml"/><Relationship Id="rId19" Type="http://schemas.openxmlformats.org/officeDocument/2006/relationships/ctrlProp" Target="../ctrlProps/ctrlProp3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Relationship Id="rId43" Type="http://schemas.openxmlformats.org/officeDocument/2006/relationships/ctrlProp" Target="../ctrlProps/ctrlProp57.xml"/><Relationship Id="rId48" Type="http://schemas.openxmlformats.org/officeDocument/2006/relationships/ctrlProp" Target="../ctrlProps/ctrlProp62.xml"/><Relationship Id="rId56" Type="http://schemas.openxmlformats.org/officeDocument/2006/relationships/ctrlProp" Target="../ctrlProps/ctrlProp70.xml"/><Relationship Id="rId64" Type="http://schemas.openxmlformats.org/officeDocument/2006/relationships/ctrlProp" Target="../ctrlProps/ctrlProp78.xml"/><Relationship Id="rId8" Type="http://schemas.openxmlformats.org/officeDocument/2006/relationships/ctrlProp" Target="../ctrlProps/ctrlProp22.xml"/><Relationship Id="rId51" Type="http://schemas.openxmlformats.org/officeDocument/2006/relationships/ctrlProp" Target="../ctrlProps/ctrlProp6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46" Type="http://schemas.openxmlformats.org/officeDocument/2006/relationships/ctrlProp" Target="../ctrlProps/ctrlProp60.xml"/><Relationship Id="rId59" Type="http://schemas.openxmlformats.org/officeDocument/2006/relationships/ctrlProp" Target="../ctrlProps/ctrlProp73.xml"/><Relationship Id="rId67" Type="http://schemas.openxmlformats.org/officeDocument/2006/relationships/ctrlProp" Target="../ctrlProps/ctrlProp81.xml"/><Relationship Id="rId20" Type="http://schemas.openxmlformats.org/officeDocument/2006/relationships/ctrlProp" Target="../ctrlProps/ctrlProp34.xml"/><Relationship Id="rId41" Type="http://schemas.openxmlformats.org/officeDocument/2006/relationships/ctrlProp" Target="../ctrlProps/ctrlProp55.xml"/><Relationship Id="rId54" Type="http://schemas.openxmlformats.org/officeDocument/2006/relationships/ctrlProp" Target="../ctrlProps/ctrlProp68.xml"/><Relationship Id="rId62" Type="http://schemas.openxmlformats.org/officeDocument/2006/relationships/ctrlProp" Target="../ctrlProps/ctrlProp7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0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49" Type="http://schemas.openxmlformats.org/officeDocument/2006/relationships/ctrlProp" Target="../ctrlProps/ctrlProp63.xml"/><Relationship Id="rId57" Type="http://schemas.openxmlformats.org/officeDocument/2006/relationships/ctrlProp" Target="../ctrlProps/ctrlProp71.xml"/><Relationship Id="rId10" Type="http://schemas.openxmlformats.org/officeDocument/2006/relationships/ctrlProp" Target="../ctrlProps/ctrlProp24.xml"/><Relationship Id="rId31" Type="http://schemas.openxmlformats.org/officeDocument/2006/relationships/ctrlProp" Target="../ctrlProps/ctrlProp45.xml"/><Relationship Id="rId44" Type="http://schemas.openxmlformats.org/officeDocument/2006/relationships/ctrlProp" Target="../ctrlProps/ctrlProp58.xml"/><Relationship Id="rId52" Type="http://schemas.openxmlformats.org/officeDocument/2006/relationships/ctrlProp" Target="../ctrlProps/ctrlProp66.xml"/><Relationship Id="rId60" Type="http://schemas.openxmlformats.org/officeDocument/2006/relationships/ctrlProp" Target="../ctrlProps/ctrlProp74.xml"/><Relationship Id="rId65" Type="http://schemas.openxmlformats.org/officeDocument/2006/relationships/ctrlProp" Target="../ctrlProps/ctrlProp79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39" Type="http://schemas.openxmlformats.org/officeDocument/2006/relationships/ctrlProp" Target="../ctrlProps/ctrlProp53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05.xml"/><Relationship Id="rId21" Type="http://schemas.openxmlformats.org/officeDocument/2006/relationships/ctrlProp" Target="../ctrlProps/ctrlProp100.xml"/><Relationship Id="rId42" Type="http://schemas.openxmlformats.org/officeDocument/2006/relationships/ctrlProp" Target="../ctrlProps/ctrlProp121.xml"/><Relationship Id="rId47" Type="http://schemas.openxmlformats.org/officeDocument/2006/relationships/ctrlProp" Target="../ctrlProps/ctrlProp126.xml"/><Relationship Id="rId63" Type="http://schemas.openxmlformats.org/officeDocument/2006/relationships/ctrlProp" Target="../ctrlProps/ctrlProp142.xml"/><Relationship Id="rId68" Type="http://schemas.openxmlformats.org/officeDocument/2006/relationships/ctrlProp" Target="../ctrlProps/ctrlProp147.xml"/><Relationship Id="rId16" Type="http://schemas.openxmlformats.org/officeDocument/2006/relationships/ctrlProp" Target="../ctrlProps/ctrlProp95.xml"/><Relationship Id="rId11" Type="http://schemas.openxmlformats.org/officeDocument/2006/relationships/ctrlProp" Target="../ctrlProps/ctrlProp90.xml"/><Relationship Id="rId24" Type="http://schemas.openxmlformats.org/officeDocument/2006/relationships/ctrlProp" Target="../ctrlProps/ctrlProp103.xml"/><Relationship Id="rId32" Type="http://schemas.openxmlformats.org/officeDocument/2006/relationships/ctrlProp" Target="../ctrlProps/ctrlProp111.xml"/><Relationship Id="rId37" Type="http://schemas.openxmlformats.org/officeDocument/2006/relationships/ctrlProp" Target="../ctrlProps/ctrlProp116.xml"/><Relationship Id="rId40" Type="http://schemas.openxmlformats.org/officeDocument/2006/relationships/ctrlProp" Target="../ctrlProps/ctrlProp119.xml"/><Relationship Id="rId45" Type="http://schemas.openxmlformats.org/officeDocument/2006/relationships/ctrlProp" Target="../ctrlProps/ctrlProp124.xml"/><Relationship Id="rId53" Type="http://schemas.openxmlformats.org/officeDocument/2006/relationships/ctrlProp" Target="../ctrlProps/ctrlProp132.xml"/><Relationship Id="rId58" Type="http://schemas.openxmlformats.org/officeDocument/2006/relationships/ctrlProp" Target="../ctrlProps/ctrlProp137.xml"/><Relationship Id="rId66" Type="http://schemas.openxmlformats.org/officeDocument/2006/relationships/ctrlProp" Target="../ctrlProps/ctrlProp145.xml"/><Relationship Id="rId74" Type="http://schemas.openxmlformats.org/officeDocument/2006/relationships/ctrlProp" Target="../ctrlProps/ctrlProp153.xml"/><Relationship Id="rId5" Type="http://schemas.openxmlformats.org/officeDocument/2006/relationships/ctrlProp" Target="../ctrlProps/ctrlProp84.xml"/><Relationship Id="rId61" Type="http://schemas.openxmlformats.org/officeDocument/2006/relationships/ctrlProp" Target="../ctrlProps/ctrlProp140.xml"/><Relationship Id="rId19" Type="http://schemas.openxmlformats.org/officeDocument/2006/relationships/ctrlProp" Target="../ctrlProps/ctrlProp98.xml"/><Relationship Id="rId14" Type="http://schemas.openxmlformats.org/officeDocument/2006/relationships/ctrlProp" Target="../ctrlProps/ctrlProp93.xml"/><Relationship Id="rId22" Type="http://schemas.openxmlformats.org/officeDocument/2006/relationships/ctrlProp" Target="../ctrlProps/ctrlProp101.xml"/><Relationship Id="rId27" Type="http://schemas.openxmlformats.org/officeDocument/2006/relationships/ctrlProp" Target="../ctrlProps/ctrlProp106.xml"/><Relationship Id="rId30" Type="http://schemas.openxmlformats.org/officeDocument/2006/relationships/ctrlProp" Target="../ctrlProps/ctrlProp109.xml"/><Relationship Id="rId35" Type="http://schemas.openxmlformats.org/officeDocument/2006/relationships/ctrlProp" Target="../ctrlProps/ctrlProp114.xml"/><Relationship Id="rId43" Type="http://schemas.openxmlformats.org/officeDocument/2006/relationships/ctrlProp" Target="../ctrlProps/ctrlProp122.xml"/><Relationship Id="rId48" Type="http://schemas.openxmlformats.org/officeDocument/2006/relationships/ctrlProp" Target="../ctrlProps/ctrlProp127.xml"/><Relationship Id="rId56" Type="http://schemas.openxmlformats.org/officeDocument/2006/relationships/ctrlProp" Target="../ctrlProps/ctrlProp135.xml"/><Relationship Id="rId64" Type="http://schemas.openxmlformats.org/officeDocument/2006/relationships/ctrlProp" Target="../ctrlProps/ctrlProp143.xml"/><Relationship Id="rId69" Type="http://schemas.openxmlformats.org/officeDocument/2006/relationships/ctrlProp" Target="../ctrlProps/ctrlProp148.xml"/><Relationship Id="rId77" Type="http://schemas.openxmlformats.org/officeDocument/2006/relationships/ctrlProp" Target="../ctrlProps/ctrlProp156.xml"/><Relationship Id="rId8" Type="http://schemas.openxmlformats.org/officeDocument/2006/relationships/ctrlProp" Target="../ctrlProps/ctrlProp87.xml"/><Relationship Id="rId51" Type="http://schemas.openxmlformats.org/officeDocument/2006/relationships/ctrlProp" Target="../ctrlProps/ctrlProp130.xml"/><Relationship Id="rId72" Type="http://schemas.openxmlformats.org/officeDocument/2006/relationships/ctrlProp" Target="../ctrlProps/ctrlProp151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91.xml"/><Relationship Id="rId17" Type="http://schemas.openxmlformats.org/officeDocument/2006/relationships/ctrlProp" Target="../ctrlProps/ctrlProp96.xml"/><Relationship Id="rId25" Type="http://schemas.openxmlformats.org/officeDocument/2006/relationships/ctrlProp" Target="../ctrlProps/ctrlProp104.xml"/><Relationship Id="rId33" Type="http://schemas.openxmlformats.org/officeDocument/2006/relationships/ctrlProp" Target="../ctrlProps/ctrlProp112.xml"/><Relationship Id="rId38" Type="http://schemas.openxmlformats.org/officeDocument/2006/relationships/ctrlProp" Target="../ctrlProps/ctrlProp117.xml"/><Relationship Id="rId46" Type="http://schemas.openxmlformats.org/officeDocument/2006/relationships/ctrlProp" Target="../ctrlProps/ctrlProp125.xml"/><Relationship Id="rId59" Type="http://schemas.openxmlformats.org/officeDocument/2006/relationships/ctrlProp" Target="../ctrlProps/ctrlProp138.xml"/><Relationship Id="rId67" Type="http://schemas.openxmlformats.org/officeDocument/2006/relationships/ctrlProp" Target="../ctrlProps/ctrlProp146.xml"/><Relationship Id="rId20" Type="http://schemas.openxmlformats.org/officeDocument/2006/relationships/ctrlProp" Target="../ctrlProps/ctrlProp99.xml"/><Relationship Id="rId41" Type="http://schemas.openxmlformats.org/officeDocument/2006/relationships/ctrlProp" Target="../ctrlProps/ctrlProp120.xml"/><Relationship Id="rId54" Type="http://schemas.openxmlformats.org/officeDocument/2006/relationships/ctrlProp" Target="../ctrlProps/ctrlProp133.xml"/><Relationship Id="rId62" Type="http://schemas.openxmlformats.org/officeDocument/2006/relationships/ctrlProp" Target="../ctrlProps/ctrlProp141.xml"/><Relationship Id="rId70" Type="http://schemas.openxmlformats.org/officeDocument/2006/relationships/ctrlProp" Target="../ctrlProps/ctrlProp149.xml"/><Relationship Id="rId75" Type="http://schemas.openxmlformats.org/officeDocument/2006/relationships/ctrlProp" Target="../ctrlProps/ctrlProp15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85.xml"/><Relationship Id="rId15" Type="http://schemas.openxmlformats.org/officeDocument/2006/relationships/ctrlProp" Target="../ctrlProps/ctrlProp94.xml"/><Relationship Id="rId23" Type="http://schemas.openxmlformats.org/officeDocument/2006/relationships/ctrlProp" Target="../ctrlProps/ctrlProp102.xml"/><Relationship Id="rId28" Type="http://schemas.openxmlformats.org/officeDocument/2006/relationships/ctrlProp" Target="../ctrlProps/ctrlProp107.xml"/><Relationship Id="rId36" Type="http://schemas.openxmlformats.org/officeDocument/2006/relationships/ctrlProp" Target="../ctrlProps/ctrlProp115.xml"/><Relationship Id="rId49" Type="http://schemas.openxmlformats.org/officeDocument/2006/relationships/ctrlProp" Target="../ctrlProps/ctrlProp128.xml"/><Relationship Id="rId57" Type="http://schemas.openxmlformats.org/officeDocument/2006/relationships/ctrlProp" Target="../ctrlProps/ctrlProp136.xml"/><Relationship Id="rId10" Type="http://schemas.openxmlformats.org/officeDocument/2006/relationships/ctrlProp" Target="../ctrlProps/ctrlProp89.xml"/><Relationship Id="rId31" Type="http://schemas.openxmlformats.org/officeDocument/2006/relationships/ctrlProp" Target="../ctrlProps/ctrlProp110.xml"/><Relationship Id="rId44" Type="http://schemas.openxmlformats.org/officeDocument/2006/relationships/ctrlProp" Target="../ctrlProps/ctrlProp123.xml"/><Relationship Id="rId52" Type="http://schemas.openxmlformats.org/officeDocument/2006/relationships/ctrlProp" Target="../ctrlProps/ctrlProp131.xml"/><Relationship Id="rId60" Type="http://schemas.openxmlformats.org/officeDocument/2006/relationships/ctrlProp" Target="../ctrlProps/ctrlProp139.xml"/><Relationship Id="rId65" Type="http://schemas.openxmlformats.org/officeDocument/2006/relationships/ctrlProp" Target="../ctrlProps/ctrlProp144.xml"/><Relationship Id="rId73" Type="http://schemas.openxmlformats.org/officeDocument/2006/relationships/ctrlProp" Target="../ctrlProps/ctrlProp152.xml"/><Relationship Id="rId78" Type="http://schemas.openxmlformats.org/officeDocument/2006/relationships/ctrlProp" Target="../ctrlProps/ctrlProp157.xml"/><Relationship Id="rId4" Type="http://schemas.openxmlformats.org/officeDocument/2006/relationships/ctrlProp" Target="../ctrlProps/ctrlProp83.xml"/><Relationship Id="rId9" Type="http://schemas.openxmlformats.org/officeDocument/2006/relationships/ctrlProp" Target="../ctrlProps/ctrlProp88.xml"/><Relationship Id="rId13" Type="http://schemas.openxmlformats.org/officeDocument/2006/relationships/ctrlProp" Target="../ctrlProps/ctrlProp92.xml"/><Relationship Id="rId18" Type="http://schemas.openxmlformats.org/officeDocument/2006/relationships/ctrlProp" Target="../ctrlProps/ctrlProp97.xml"/><Relationship Id="rId39" Type="http://schemas.openxmlformats.org/officeDocument/2006/relationships/ctrlProp" Target="../ctrlProps/ctrlProp118.xml"/><Relationship Id="rId34" Type="http://schemas.openxmlformats.org/officeDocument/2006/relationships/ctrlProp" Target="../ctrlProps/ctrlProp113.xml"/><Relationship Id="rId50" Type="http://schemas.openxmlformats.org/officeDocument/2006/relationships/ctrlProp" Target="../ctrlProps/ctrlProp129.xml"/><Relationship Id="rId55" Type="http://schemas.openxmlformats.org/officeDocument/2006/relationships/ctrlProp" Target="../ctrlProps/ctrlProp134.xml"/><Relationship Id="rId76" Type="http://schemas.openxmlformats.org/officeDocument/2006/relationships/ctrlProp" Target="../ctrlProps/ctrlProp155.xml"/><Relationship Id="rId7" Type="http://schemas.openxmlformats.org/officeDocument/2006/relationships/ctrlProp" Target="../ctrlProps/ctrlProp86.xml"/><Relationship Id="rId71" Type="http://schemas.openxmlformats.org/officeDocument/2006/relationships/ctrlProp" Target="../ctrlProps/ctrlProp150.xml"/><Relationship Id="rId2" Type="http://schemas.openxmlformats.org/officeDocument/2006/relationships/drawing" Target="../drawings/drawing3.xml"/><Relationship Id="rId29" Type="http://schemas.openxmlformats.org/officeDocument/2006/relationships/ctrlProp" Target="../ctrlProps/ctrlProp108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67.xml"/><Relationship Id="rId18" Type="http://schemas.openxmlformats.org/officeDocument/2006/relationships/ctrlProp" Target="../ctrlProps/ctrlProp172.xml"/><Relationship Id="rId26" Type="http://schemas.openxmlformats.org/officeDocument/2006/relationships/ctrlProp" Target="../ctrlProps/ctrlProp180.xml"/><Relationship Id="rId39" Type="http://schemas.openxmlformats.org/officeDocument/2006/relationships/ctrlProp" Target="../ctrlProps/ctrlProp193.xml"/><Relationship Id="rId21" Type="http://schemas.openxmlformats.org/officeDocument/2006/relationships/ctrlProp" Target="../ctrlProps/ctrlProp175.xml"/><Relationship Id="rId34" Type="http://schemas.openxmlformats.org/officeDocument/2006/relationships/ctrlProp" Target="../ctrlProps/ctrlProp188.xml"/><Relationship Id="rId42" Type="http://schemas.openxmlformats.org/officeDocument/2006/relationships/ctrlProp" Target="../ctrlProps/ctrlProp196.xml"/><Relationship Id="rId47" Type="http://schemas.openxmlformats.org/officeDocument/2006/relationships/ctrlProp" Target="../ctrlProps/ctrlProp201.xml"/><Relationship Id="rId50" Type="http://schemas.openxmlformats.org/officeDocument/2006/relationships/ctrlProp" Target="../ctrlProps/ctrlProp204.xml"/><Relationship Id="rId55" Type="http://schemas.openxmlformats.org/officeDocument/2006/relationships/ctrlProp" Target="../ctrlProps/ctrlProp209.xml"/><Relationship Id="rId63" Type="http://schemas.openxmlformats.org/officeDocument/2006/relationships/ctrlProp" Target="../ctrlProps/ctrlProp217.xml"/><Relationship Id="rId7" Type="http://schemas.openxmlformats.org/officeDocument/2006/relationships/ctrlProp" Target="../ctrlProps/ctrlProp16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70.xml"/><Relationship Id="rId29" Type="http://schemas.openxmlformats.org/officeDocument/2006/relationships/ctrlProp" Target="../ctrlProps/ctrlProp183.xml"/><Relationship Id="rId11" Type="http://schemas.openxmlformats.org/officeDocument/2006/relationships/ctrlProp" Target="../ctrlProps/ctrlProp165.xml"/><Relationship Id="rId24" Type="http://schemas.openxmlformats.org/officeDocument/2006/relationships/ctrlProp" Target="../ctrlProps/ctrlProp178.xml"/><Relationship Id="rId32" Type="http://schemas.openxmlformats.org/officeDocument/2006/relationships/ctrlProp" Target="../ctrlProps/ctrlProp186.xml"/><Relationship Id="rId37" Type="http://schemas.openxmlformats.org/officeDocument/2006/relationships/ctrlProp" Target="../ctrlProps/ctrlProp191.xml"/><Relationship Id="rId40" Type="http://schemas.openxmlformats.org/officeDocument/2006/relationships/ctrlProp" Target="../ctrlProps/ctrlProp194.xml"/><Relationship Id="rId45" Type="http://schemas.openxmlformats.org/officeDocument/2006/relationships/ctrlProp" Target="../ctrlProps/ctrlProp199.xml"/><Relationship Id="rId53" Type="http://schemas.openxmlformats.org/officeDocument/2006/relationships/ctrlProp" Target="../ctrlProps/ctrlProp207.xml"/><Relationship Id="rId58" Type="http://schemas.openxmlformats.org/officeDocument/2006/relationships/ctrlProp" Target="../ctrlProps/ctrlProp212.xml"/><Relationship Id="rId5" Type="http://schemas.openxmlformats.org/officeDocument/2006/relationships/ctrlProp" Target="../ctrlProps/ctrlProp159.xml"/><Relationship Id="rId61" Type="http://schemas.openxmlformats.org/officeDocument/2006/relationships/ctrlProp" Target="../ctrlProps/ctrlProp215.xml"/><Relationship Id="rId19" Type="http://schemas.openxmlformats.org/officeDocument/2006/relationships/ctrlProp" Target="../ctrlProps/ctrlProp173.xml"/><Relationship Id="rId14" Type="http://schemas.openxmlformats.org/officeDocument/2006/relationships/ctrlProp" Target="../ctrlProps/ctrlProp168.xml"/><Relationship Id="rId22" Type="http://schemas.openxmlformats.org/officeDocument/2006/relationships/ctrlProp" Target="../ctrlProps/ctrlProp176.xml"/><Relationship Id="rId27" Type="http://schemas.openxmlformats.org/officeDocument/2006/relationships/ctrlProp" Target="../ctrlProps/ctrlProp181.xml"/><Relationship Id="rId30" Type="http://schemas.openxmlformats.org/officeDocument/2006/relationships/ctrlProp" Target="../ctrlProps/ctrlProp184.xml"/><Relationship Id="rId35" Type="http://schemas.openxmlformats.org/officeDocument/2006/relationships/ctrlProp" Target="../ctrlProps/ctrlProp189.xml"/><Relationship Id="rId43" Type="http://schemas.openxmlformats.org/officeDocument/2006/relationships/ctrlProp" Target="../ctrlProps/ctrlProp197.xml"/><Relationship Id="rId48" Type="http://schemas.openxmlformats.org/officeDocument/2006/relationships/ctrlProp" Target="../ctrlProps/ctrlProp202.xml"/><Relationship Id="rId56" Type="http://schemas.openxmlformats.org/officeDocument/2006/relationships/ctrlProp" Target="../ctrlProps/ctrlProp210.xml"/><Relationship Id="rId8" Type="http://schemas.openxmlformats.org/officeDocument/2006/relationships/ctrlProp" Target="../ctrlProps/ctrlProp162.xml"/><Relationship Id="rId51" Type="http://schemas.openxmlformats.org/officeDocument/2006/relationships/ctrlProp" Target="../ctrlProps/ctrlProp205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66.xml"/><Relationship Id="rId17" Type="http://schemas.openxmlformats.org/officeDocument/2006/relationships/ctrlProp" Target="../ctrlProps/ctrlProp171.xml"/><Relationship Id="rId25" Type="http://schemas.openxmlformats.org/officeDocument/2006/relationships/ctrlProp" Target="../ctrlProps/ctrlProp179.xml"/><Relationship Id="rId33" Type="http://schemas.openxmlformats.org/officeDocument/2006/relationships/ctrlProp" Target="../ctrlProps/ctrlProp187.xml"/><Relationship Id="rId38" Type="http://schemas.openxmlformats.org/officeDocument/2006/relationships/ctrlProp" Target="../ctrlProps/ctrlProp192.xml"/><Relationship Id="rId46" Type="http://schemas.openxmlformats.org/officeDocument/2006/relationships/ctrlProp" Target="../ctrlProps/ctrlProp200.xml"/><Relationship Id="rId59" Type="http://schemas.openxmlformats.org/officeDocument/2006/relationships/ctrlProp" Target="../ctrlProps/ctrlProp213.xml"/><Relationship Id="rId20" Type="http://schemas.openxmlformats.org/officeDocument/2006/relationships/ctrlProp" Target="../ctrlProps/ctrlProp174.xml"/><Relationship Id="rId41" Type="http://schemas.openxmlformats.org/officeDocument/2006/relationships/ctrlProp" Target="../ctrlProps/ctrlProp195.xml"/><Relationship Id="rId54" Type="http://schemas.openxmlformats.org/officeDocument/2006/relationships/ctrlProp" Target="../ctrlProps/ctrlProp208.xml"/><Relationship Id="rId62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60.xml"/><Relationship Id="rId15" Type="http://schemas.openxmlformats.org/officeDocument/2006/relationships/ctrlProp" Target="../ctrlProps/ctrlProp169.xml"/><Relationship Id="rId23" Type="http://schemas.openxmlformats.org/officeDocument/2006/relationships/ctrlProp" Target="../ctrlProps/ctrlProp177.xml"/><Relationship Id="rId28" Type="http://schemas.openxmlformats.org/officeDocument/2006/relationships/ctrlProp" Target="../ctrlProps/ctrlProp182.xml"/><Relationship Id="rId36" Type="http://schemas.openxmlformats.org/officeDocument/2006/relationships/ctrlProp" Target="../ctrlProps/ctrlProp190.xml"/><Relationship Id="rId49" Type="http://schemas.openxmlformats.org/officeDocument/2006/relationships/ctrlProp" Target="../ctrlProps/ctrlProp203.xml"/><Relationship Id="rId57" Type="http://schemas.openxmlformats.org/officeDocument/2006/relationships/ctrlProp" Target="../ctrlProps/ctrlProp211.xml"/><Relationship Id="rId10" Type="http://schemas.openxmlformats.org/officeDocument/2006/relationships/ctrlProp" Target="../ctrlProps/ctrlProp164.xml"/><Relationship Id="rId31" Type="http://schemas.openxmlformats.org/officeDocument/2006/relationships/ctrlProp" Target="../ctrlProps/ctrlProp185.xml"/><Relationship Id="rId44" Type="http://schemas.openxmlformats.org/officeDocument/2006/relationships/ctrlProp" Target="../ctrlProps/ctrlProp198.xml"/><Relationship Id="rId52" Type="http://schemas.openxmlformats.org/officeDocument/2006/relationships/ctrlProp" Target="../ctrlProps/ctrlProp206.xml"/><Relationship Id="rId60" Type="http://schemas.openxmlformats.org/officeDocument/2006/relationships/ctrlProp" Target="../ctrlProps/ctrlProp214.xml"/><Relationship Id="rId4" Type="http://schemas.openxmlformats.org/officeDocument/2006/relationships/ctrlProp" Target="../ctrlProps/ctrlProp158.xml"/><Relationship Id="rId9" Type="http://schemas.openxmlformats.org/officeDocument/2006/relationships/ctrlProp" Target="../ctrlProps/ctrlProp16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7.xml"/><Relationship Id="rId18" Type="http://schemas.openxmlformats.org/officeDocument/2006/relationships/ctrlProp" Target="../ctrlProps/ctrlProp232.xml"/><Relationship Id="rId26" Type="http://schemas.openxmlformats.org/officeDocument/2006/relationships/ctrlProp" Target="../ctrlProps/ctrlProp240.xml"/><Relationship Id="rId39" Type="http://schemas.openxmlformats.org/officeDocument/2006/relationships/ctrlProp" Target="../ctrlProps/ctrlProp253.xml"/><Relationship Id="rId21" Type="http://schemas.openxmlformats.org/officeDocument/2006/relationships/ctrlProp" Target="../ctrlProps/ctrlProp235.xml"/><Relationship Id="rId34" Type="http://schemas.openxmlformats.org/officeDocument/2006/relationships/ctrlProp" Target="../ctrlProps/ctrlProp248.xml"/><Relationship Id="rId42" Type="http://schemas.openxmlformats.org/officeDocument/2006/relationships/ctrlProp" Target="../ctrlProps/ctrlProp256.xml"/><Relationship Id="rId47" Type="http://schemas.openxmlformats.org/officeDocument/2006/relationships/ctrlProp" Target="../ctrlProps/ctrlProp261.xml"/><Relationship Id="rId50" Type="http://schemas.openxmlformats.org/officeDocument/2006/relationships/ctrlProp" Target="../ctrlProps/ctrlProp264.xml"/><Relationship Id="rId55" Type="http://schemas.openxmlformats.org/officeDocument/2006/relationships/ctrlProp" Target="../ctrlProps/ctrlProp269.xml"/><Relationship Id="rId63" Type="http://schemas.openxmlformats.org/officeDocument/2006/relationships/ctrlProp" Target="../ctrlProps/ctrlProp277.xml"/><Relationship Id="rId7" Type="http://schemas.openxmlformats.org/officeDocument/2006/relationships/ctrlProp" Target="../ctrlProps/ctrlProp221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230.xml"/><Relationship Id="rId29" Type="http://schemas.openxmlformats.org/officeDocument/2006/relationships/ctrlProp" Target="../ctrlProps/ctrlProp243.xml"/><Relationship Id="rId11" Type="http://schemas.openxmlformats.org/officeDocument/2006/relationships/ctrlProp" Target="../ctrlProps/ctrlProp225.xml"/><Relationship Id="rId24" Type="http://schemas.openxmlformats.org/officeDocument/2006/relationships/ctrlProp" Target="../ctrlProps/ctrlProp238.xml"/><Relationship Id="rId32" Type="http://schemas.openxmlformats.org/officeDocument/2006/relationships/ctrlProp" Target="../ctrlProps/ctrlProp246.xml"/><Relationship Id="rId37" Type="http://schemas.openxmlformats.org/officeDocument/2006/relationships/ctrlProp" Target="../ctrlProps/ctrlProp251.xml"/><Relationship Id="rId40" Type="http://schemas.openxmlformats.org/officeDocument/2006/relationships/ctrlProp" Target="../ctrlProps/ctrlProp254.xml"/><Relationship Id="rId45" Type="http://schemas.openxmlformats.org/officeDocument/2006/relationships/ctrlProp" Target="../ctrlProps/ctrlProp259.xml"/><Relationship Id="rId53" Type="http://schemas.openxmlformats.org/officeDocument/2006/relationships/ctrlProp" Target="../ctrlProps/ctrlProp267.xml"/><Relationship Id="rId58" Type="http://schemas.openxmlformats.org/officeDocument/2006/relationships/ctrlProp" Target="../ctrlProps/ctrlProp272.xml"/><Relationship Id="rId5" Type="http://schemas.openxmlformats.org/officeDocument/2006/relationships/ctrlProp" Target="../ctrlProps/ctrlProp219.xml"/><Relationship Id="rId61" Type="http://schemas.openxmlformats.org/officeDocument/2006/relationships/ctrlProp" Target="../ctrlProps/ctrlProp275.xml"/><Relationship Id="rId19" Type="http://schemas.openxmlformats.org/officeDocument/2006/relationships/ctrlProp" Target="../ctrlProps/ctrlProp233.xml"/><Relationship Id="rId14" Type="http://schemas.openxmlformats.org/officeDocument/2006/relationships/ctrlProp" Target="../ctrlProps/ctrlProp228.xml"/><Relationship Id="rId22" Type="http://schemas.openxmlformats.org/officeDocument/2006/relationships/ctrlProp" Target="../ctrlProps/ctrlProp236.xml"/><Relationship Id="rId27" Type="http://schemas.openxmlformats.org/officeDocument/2006/relationships/ctrlProp" Target="../ctrlProps/ctrlProp241.xml"/><Relationship Id="rId30" Type="http://schemas.openxmlformats.org/officeDocument/2006/relationships/ctrlProp" Target="../ctrlProps/ctrlProp244.xml"/><Relationship Id="rId35" Type="http://schemas.openxmlformats.org/officeDocument/2006/relationships/ctrlProp" Target="../ctrlProps/ctrlProp249.xml"/><Relationship Id="rId43" Type="http://schemas.openxmlformats.org/officeDocument/2006/relationships/ctrlProp" Target="../ctrlProps/ctrlProp257.xml"/><Relationship Id="rId48" Type="http://schemas.openxmlformats.org/officeDocument/2006/relationships/ctrlProp" Target="../ctrlProps/ctrlProp262.xml"/><Relationship Id="rId56" Type="http://schemas.openxmlformats.org/officeDocument/2006/relationships/ctrlProp" Target="../ctrlProps/ctrlProp270.xml"/><Relationship Id="rId8" Type="http://schemas.openxmlformats.org/officeDocument/2006/relationships/ctrlProp" Target="../ctrlProps/ctrlProp222.xml"/><Relationship Id="rId51" Type="http://schemas.openxmlformats.org/officeDocument/2006/relationships/ctrlProp" Target="../ctrlProps/ctrlProp265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6.xml"/><Relationship Id="rId17" Type="http://schemas.openxmlformats.org/officeDocument/2006/relationships/ctrlProp" Target="../ctrlProps/ctrlProp231.xml"/><Relationship Id="rId25" Type="http://schemas.openxmlformats.org/officeDocument/2006/relationships/ctrlProp" Target="../ctrlProps/ctrlProp239.xml"/><Relationship Id="rId33" Type="http://schemas.openxmlformats.org/officeDocument/2006/relationships/ctrlProp" Target="../ctrlProps/ctrlProp247.xml"/><Relationship Id="rId38" Type="http://schemas.openxmlformats.org/officeDocument/2006/relationships/ctrlProp" Target="../ctrlProps/ctrlProp252.xml"/><Relationship Id="rId46" Type="http://schemas.openxmlformats.org/officeDocument/2006/relationships/ctrlProp" Target="../ctrlProps/ctrlProp260.xml"/><Relationship Id="rId59" Type="http://schemas.openxmlformats.org/officeDocument/2006/relationships/ctrlProp" Target="../ctrlProps/ctrlProp273.xml"/><Relationship Id="rId20" Type="http://schemas.openxmlformats.org/officeDocument/2006/relationships/ctrlProp" Target="../ctrlProps/ctrlProp234.xml"/><Relationship Id="rId41" Type="http://schemas.openxmlformats.org/officeDocument/2006/relationships/ctrlProp" Target="../ctrlProps/ctrlProp255.xml"/><Relationship Id="rId54" Type="http://schemas.openxmlformats.org/officeDocument/2006/relationships/ctrlProp" Target="../ctrlProps/ctrlProp268.xml"/><Relationship Id="rId62" Type="http://schemas.openxmlformats.org/officeDocument/2006/relationships/ctrlProp" Target="../ctrlProps/ctrlProp27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20.xml"/><Relationship Id="rId15" Type="http://schemas.openxmlformats.org/officeDocument/2006/relationships/ctrlProp" Target="../ctrlProps/ctrlProp229.xml"/><Relationship Id="rId23" Type="http://schemas.openxmlformats.org/officeDocument/2006/relationships/ctrlProp" Target="../ctrlProps/ctrlProp237.xml"/><Relationship Id="rId28" Type="http://schemas.openxmlformats.org/officeDocument/2006/relationships/ctrlProp" Target="../ctrlProps/ctrlProp242.xml"/><Relationship Id="rId36" Type="http://schemas.openxmlformats.org/officeDocument/2006/relationships/ctrlProp" Target="../ctrlProps/ctrlProp250.xml"/><Relationship Id="rId49" Type="http://schemas.openxmlformats.org/officeDocument/2006/relationships/ctrlProp" Target="../ctrlProps/ctrlProp263.xml"/><Relationship Id="rId57" Type="http://schemas.openxmlformats.org/officeDocument/2006/relationships/ctrlProp" Target="../ctrlProps/ctrlProp271.xml"/><Relationship Id="rId10" Type="http://schemas.openxmlformats.org/officeDocument/2006/relationships/ctrlProp" Target="../ctrlProps/ctrlProp224.xml"/><Relationship Id="rId31" Type="http://schemas.openxmlformats.org/officeDocument/2006/relationships/ctrlProp" Target="../ctrlProps/ctrlProp245.xml"/><Relationship Id="rId44" Type="http://schemas.openxmlformats.org/officeDocument/2006/relationships/ctrlProp" Target="../ctrlProps/ctrlProp258.xml"/><Relationship Id="rId52" Type="http://schemas.openxmlformats.org/officeDocument/2006/relationships/ctrlProp" Target="../ctrlProps/ctrlProp266.xml"/><Relationship Id="rId60" Type="http://schemas.openxmlformats.org/officeDocument/2006/relationships/ctrlProp" Target="../ctrlProps/ctrlProp274.xml"/><Relationship Id="rId4" Type="http://schemas.openxmlformats.org/officeDocument/2006/relationships/ctrlProp" Target="../ctrlProps/ctrlProp218.xml"/><Relationship Id="rId9" Type="http://schemas.openxmlformats.org/officeDocument/2006/relationships/ctrlProp" Target="../ctrlProps/ctrlProp22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7.xml"/><Relationship Id="rId18" Type="http://schemas.openxmlformats.org/officeDocument/2006/relationships/ctrlProp" Target="../ctrlProps/ctrlProp292.xml"/><Relationship Id="rId26" Type="http://schemas.openxmlformats.org/officeDocument/2006/relationships/ctrlProp" Target="../ctrlProps/ctrlProp300.xml"/><Relationship Id="rId39" Type="http://schemas.openxmlformats.org/officeDocument/2006/relationships/ctrlProp" Target="../ctrlProps/ctrlProp313.xml"/><Relationship Id="rId21" Type="http://schemas.openxmlformats.org/officeDocument/2006/relationships/ctrlProp" Target="../ctrlProps/ctrlProp295.xml"/><Relationship Id="rId34" Type="http://schemas.openxmlformats.org/officeDocument/2006/relationships/ctrlProp" Target="../ctrlProps/ctrlProp308.xml"/><Relationship Id="rId42" Type="http://schemas.openxmlformats.org/officeDocument/2006/relationships/ctrlProp" Target="../ctrlProps/ctrlProp316.xml"/><Relationship Id="rId47" Type="http://schemas.openxmlformats.org/officeDocument/2006/relationships/ctrlProp" Target="../ctrlProps/ctrlProp321.xml"/><Relationship Id="rId50" Type="http://schemas.openxmlformats.org/officeDocument/2006/relationships/ctrlProp" Target="../ctrlProps/ctrlProp324.xml"/><Relationship Id="rId55" Type="http://schemas.openxmlformats.org/officeDocument/2006/relationships/ctrlProp" Target="../ctrlProps/ctrlProp329.xml"/><Relationship Id="rId63" Type="http://schemas.openxmlformats.org/officeDocument/2006/relationships/ctrlProp" Target="../ctrlProps/ctrlProp337.xml"/><Relationship Id="rId7" Type="http://schemas.openxmlformats.org/officeDocument/2006/relationships/ctrlProp" Target="../ctrlProps/ctrlProp281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290.xml"/><Relationship Id="rId29" Type="http://schemas.openxmlformats.org/officeDocument/2006/relationships/ctrlProp" Target="../ctrlProps/ctrlProp303.xml"/><Relationship Id="rId11" Type="http://schemas.openxmlformats.org/officeDocument/2006/relationships/ctrlProp" Target="../ctrlProps/ctrlProp285.xml"/><Relationship Id="rId24" Type="http://schemas.openxmlformats.org/officeDocument/2006/relationships/ctrlProp" Target="../ctrlProps/ctrlProp298.xml"/><Relationship Id="rId32" Type="http://schemas.openxmlformats.org/officeDocument/2006/relationships/ctrlProp" Target="../ctrlProps/ctrlProp306.xml"/><Relationship Id="rId37" Type="http://schemas.openxmlformats.org/officeDocument/2006/relationships/ctrlProp" Target="../ctrlProps/ctrlProp311.xml"/><Relationship Id="rId40" Type="http://schemas.openxmlformats.org/officeDocument/2006/relationships/ctrlProp" Target="../ctrlProps/ctrlProp314.xml"/><Relationship Id="rId45" Type="http://schemas.openxmlformats.org/officeDocument/2006/relationships/ctrlProp" Target="../ctrlProps/ctrlProp319.xml"/><Relationship Id="rId53" Type="http://schemas.openxmlformats.org/officeDocument/2006/relationships/ctrlProp" Target="../ctrlProps/ctrlProp327.xml"/><Relationship Id="rId58" Type="http://schemas.openxmlformats.org/officeDocument/2006/relationships/ctrlProp" Target="../ctrlProps/ctrlProp332.xml"/><Relationship Id="rId5" Type="http://schemas.openxmlformats.org/officeDocument/2006/relationships/ctrlProp" Target="../ctrlProps/ctrlProp279.xml"/><Relationship Id="rId61" Type="http://schemas.openxmlformats.org/officeDocument/2006/relationships/ctrlProp" Target="../ctrlProps/ctrlProp335.xml"/><Relationship Id="rId19" Type="http://schemas.openxmlformats.org/officeDocument/2006/relationships/ctrlProp" Target="../ctrlProps/ctrlProp293.xml"/><Relationship Id="rId14" Type="http://schemas.openxmlformats.org/officeDocument/2006/relationships/ctrlProp" Target="../ctrlProps/ctrlProp288.xml"/><Relationship Id="rId22" Type="http://schemas.openxmlformats.org/officeDocument/2006/relationships/ctrlProp" Target="../ctrlProps/ctrlProp296.xml"/><Relationship Id="rId27" Type="http://schemas.openxmlformats.org/officeDocument/2006/relationships/ctrlProp" Target="../ctrlProps/ctrlProp301.xml"/><Relationship Id="rId30" Type="http://schemas.openxmlformats.org/officeDocument/2006/relationships/ctrlProp" Target="../ctrlProps/ctrlProp304.xml"/><Relationship Id="rId35" Type="http://schemas.openxmlformats.org/officeDocument/2006/relationships/ctrlProp" Target="../ctrlProps/ctrlProp309.xml"/><Relationship Id="rId43" Type="http://schemas.openxmlformats.org/officeDocument/2006/relationships/ctrlProp" Target="../ctrlProps/ctrlProp317.xml"/><Relationship Id="rId48" Type="http://schemas.openxmlformats.org/officeDocument/2006/relationships/ctrlProp" Target="../ctrlProps/ctrlProp322.xml"/><Relationship Id="rId56" Type="http://schemas.openxmlformats.org/officeDocument/2006/relationships/ctrlProp" Target="../ctrlProps/ctrlProp330.xml"/><Relationship Id="rId8" Type="http://schemas.openxmlformats.org/officeDocument/2006/relationships/ctrlProp" Target="../ctrlProps/ctrlProp282.xml"/><Relationship Id="rId51" Type="http://schemas.openxmlformats.org/officeDocument/2006/relationships/ctrlProp" Target="../ctrlProps/ctrlProp325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6.xml"/><Relationship Id="rId17" Type="http://schemas.openxmlformats.org/officeDocument/2006/relationships/ctrlProp" Target="../ctrlProps/ctrlProp291.xml"/><Relationship Id="rId25" Type="http://schemas.openxmlformats.org/officeDocument/2006/relationships/ctrlProp" Target="../ctrlProps/ctrlProp299.xml"/><Relationship Id="rId33" Type="http://schemas.openxmlformats.org/officeDocument/2006/relationships/ctrlProp" Target="../ctrlProps/ctrlProp307.xml"/><Relationship Id="rId38" Type="http://schemas.openxmlformats.org/officeDocument/2006/relationships/ctrlProp" Target="../ctrlProps/ctrlProp312.xml"/><Relationship Id="rId46" Type="http://schemas.openxmlformats.org/officeDocument/2006/relationships/ctrlProp" Target="../ctrlProps/ctrlProp320.xml"/><Relationship Id="rId59" Type="http://schemas.openxmlformats.org/officeDocument/2006/relationships/ctrlProp" Target="../ctrlProps/ctrlProp333.xml"/><Relationship Id="rId20" Type="http://schemas.openxmlformats.org/officeDocument/2006/relationships/ctrlProp" Target="../ctrlProps/ctrlProp294.xml"/><Relationship Id="rId41" Type="http://schemas.openxmlformats.org/officeDocument/2006/relationships/ctrlProp" Target="../ctrlProps/ctrlProp315.xml"/><Relationship Id="rId54" Type="http://schemas.openxmlformats.org/officeDocument/2006/relationships/ctrlProp" Target="../ctrlProps/ctrlProp328.xml"/><Relationship Id="rId62" Type="http://schemas.openxmlformats.org/officeDocument/2006/relationships/ctrlProp" Target="../ctrlProps/ctrlProp33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280.xml"/><Relationship Id="rId15" Type="http://schemas.openxmlformats.org/officeDocument/2006/relationships/ctrlProp" Target="../ctrlProps/ctrlProp289.xml"/><Relationship Id="rId23" Type="http://schemas.openxmlformats.org/officeDocument/2006/relationships/ctrlProp" Target="../ctrlProps/ctrlProp297.xml"/><Relationship Id="rId28" Type="http://schemas.openxmlformats.org/officeDocument/2006/relationships/ctrlProp" Target="../ctrlProps/ctrlProp302.xml"/><Relationship Id="rId36" Type="http://schemas.openxmlformats.org/officeDocument/2006/relationships/ctrlProp" Target="../ctrlProps/ctrlProp310.xml"/><Relationship Id="rId49" Type="http://schemas.openxmlformats.org/officeDocument/2006/relationships/ctrlProp" Target="../ctrlProps/ctrlProp323.xml"/><Relationship Id="rId57" Type="http://schemas.openxmlformats.org/officeDocument/2006/relationships/ctrlProp" Target="../ctrlProps/ctrlProp331.xml"/><Relationship Id="rId10" Type="http://schemas.openxmlformats.org/officeDocument/2006/relationships/ctrlProp" Target="../ctrlProps/ctrlProp284.xml"/><Relationship Id="rId31" Type="http://schemas.openxmlformats.org/officeDocument/2006/relationships/ctrlProp" Target="../ctrlProps/ctrlProp305.xml"/><Relationship Id="rId44" Type="http://schemas.openxmlformats.org/officeDocument/2006/relationships/ctrlProp" Target="../ctrlProps/ctrlProp318.xml"/><Relationship Id="rId52" Type="http://schemas.openxmlformats.org/officeDocument/2006/relationships/ctrlProp" Target="../ctrlProps/ctrlProp326.xml"/><Relationship Id="rId60" Type="http://schemas.openxmlformats.org/officeDocument/2006/relationships/ctrlProp" Target="../ctrlProps/ctrlProp334.xml"/><Relationship Id="rId4" Type="http://schemas.openxmlformats.org/officeDocument/2006/relationships/ctrlProp" Target="../ctrlProps/ctrlProp278.xml"/><Relationship Id="rId9" Type="http://schemas.openxmlformats.org/officeDocument/2006/relationships/ctrlProp" Target="../ctrlProps/ctrlProp2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8" tint="-0.499984740745262"/>
    <pageSetUpPr fitToPage="1"/>
  </sheetPr>
  <dimension ref="A1:AC76"/>
  <sheetViews>
    <sheetView showGridLines="0" showZeros="0" topLeftCell="A19" zoomScaleNormal="100" zoomScaleSheetLayoutView="98" workbookViewId="0">
      <selection activeCell="C3" sqref="C3:N3"/>
    </sheetView>
  </sheetViews>
  <sheetFormatPr defaultColWidth="9.140625" defaultRowHeight="15"/>
  <cols>
    <col min="1" max="1" width="1.140625" style="19" customWidth="1"/>
    <col min="2" max="2" width="26.140625" style="18" bestFit="1" customWidth="1"/>
    <col min="3" max="3" width="11.140625" style="18" bestFit="1" customWidth="1"/>
    <col min="4" max="7" width="12.7109375" style="18" customWidth="1"/>
    <col min="8" max="8" width="19.7109375" style="18" customWidth="1"/>
    <col min="9" max="9" width="12.7109375" style="18" customWidth="1"/>
    <col min="10" max="11" width="12.7109375" style="17" customWidth="1"/>
    <col min="12" max="12" width="16.42578125" style="17" customWidth="1"/>
    <col min="13" max="14" width="12.7109375" style="17" customWidth="1"/>
    <col min="15" max="15" width="12.7109375" style="16" customWidth="1"/>
    <col min="16" max="18" width="12.7109375" style="185" customWidth="1"/>
    <col min="19" max="20" width="12.7109375" style="19" customWidth="1"/>
    <col min="21" max="29" width="9.140625" style="17"/>
    <col min="30" max="16384" width="9.140625" style="18"/>
  </cols>
  <sheetData>
    <row r="1" spans="1:29" s="19" customFormat="1" ht="11.25" customHeight="1" thickBot="1">
      <c r="O1" s="185"/>
      <c r="P1" s="185"/>
      <c r="Q1" s="185"/>
      <c r="R1" s="185"/>
    </row>
    <row r="2" spans="1:29" s="15" customFormat="1" ht="15" customHeight="1" thickTop="1" thickBot="1">
      <c r="A2" s="20"/>
      <c r="B2" s="217" t="s">
        <v>95</v>
      </c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879" t="s">
        <v>838</v>
      </c>
      <c r="O2" s="880"/>
      <c r="P2" s="269">
        <f>IF(ISBLANK(N2),"",INDEX(List!J2:J4,MATCH(N2,List!I2:I4,0)))</f>
        <v>0</v>
      </c>
      <c r="Q2" s="186"/>
      <c r="R2" s="186"/>
      <c r="S2" s="20"/>
      <c r="T2" s="20"/>
      <c r="U2" s="14"/>
      <c r="V2" s="14"/>
      <c r="W2" s="14"/>
      <c r="X2" s="14"/>
      <c r="Y2" s="14"/>
      <c r="Z2" s="14"/>
      <c r="AA2" s="14"/>
      <c r="AB2" s="14"/>
      <c r="AC2" s="14"/>
    </row>
    <row r="3" spans="1:29" ht="15" customHeight="1" thickTop="1">
      <c r="B3" s="357" t="s">
        <v>96</v>
      </c>
      <c r="C3" s="883" t="s">
        <v>1077</v>
      </c>
      <c r="D3" s="884"/>
      <c r="E3" s="884"/>
      <c r="F3" s="884"/>
      <c r="G3" s="884"/>
      <c r="H3" s="884"/>
      <c r="I3" s="884"/>
      <c r="J3" s="884"/>
      <c r="K3" s="884"/>
      <c r="L3" s="884"/>
      <c r="M3" s="884"/>
      <c r="N3" s="885"/>
      <c r="O3" s="219" t="s">
        <v>193</v>
      </c>
      <c r="P3" s="270"/>
    </row>
    <row r="4" spans="1:29" ht="15" customHeight="1">
      <c r="B4" s="357" t="s">
        <v>924</v>
      </c>
      <c r="C4" s="714">
        <v>250</v>
      </c>
      <c r="D4" s="368">
        <v>500</v>
      </c>
      <c r="E4" s="115">
        <v>750</v>
      </c>
      <c r="F4" s="337">
        <v>1000</v>
      </c>
      <c r="G4" s="115"/>
      <c r="H4" s="115"/>
      <c r="I4" s="115"/>
      <c r="J4" s="115"/>
      <c r="K4" s="282"/>
      <c r="L4" s="115"/>
      <c r="M4" s="115"/>
      <c r="N4" s="115"/>
      <c r="O4" s="215" t="s">
        <v>194</v>
      </c>
      <c r="P4" s="271">
        <f>INDEX(List!P2:P6,MATCH($O4,List!O2:O6,0))</f>
        <v>0</v>
      </c>
    </row>
    <row r="5" spans="1:29" ht="18" hidden="1" customHeight="1">
      <c r="B5" s="355"/>
      <c r="C5" s="55" t="b">
        <v>1</v>
      </c>
      <c r="D5" s="55" t="b">
        <v>1</v>
      </c>
      <c r="E5" s="55" t="b">
        <v>1</v>
      </c>
      <c r="F5" s="55" t="b">
        <v>1</v>
      </c>
      <c r="G5" s="55" t="b">
        <v>0</v>
      </c>
      <c r="H5" s="55" t="b">
        <v>0</v>
      </c>
      <c r="I5" s="55" t="b">
        <v>0</v>
      </c>
      <c r="J5" s="55" t="b">
        <v>0</v>
      </c>
      <c r="K5" s="55" t="b">
        <v>0</v>
      </c>
      <c r="L5" s="55" t="b">
        <v>0</v>
      </c>
      <c r="M5" s="55" t="b">
        <v>0</v>
      </c>
      <c r="N5" s="55" t="b">
        <v>0</v>
      </c>
      <c r="O5" s="187"/>
      <c r="P5" s="270"/>
    </row>
    <row r="6" spans="1:29" ht="15" customHeight="1">
      <c r="B6" s="358" t="s">
        <v>196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88"/>
      <c r="P6" s="270"/>
    </row>
    <row r="7" spans="1:29" ht="15" customHeight="1" thickBot="1">
      <c r="B7" s="357" t="s">
        <v>98</v>
      </c>
      <c r="C7" s="59" t="s">
        <v>405</v>
      </c>
      <c r="D7" s="59" t="s">
        <v>406</v>
      </c>
      <c r="E7" s="59" t="s">
        <v>962</v>
      </c>
      <c r="F7" s="59" t="s">
        <v>408</v>
      </c>
      <c r="G7" s="59" t="s">
        <v>407</v>
      </c>
      <c r="H7" s="59"/>
      <c r="I7" s="59"/>
      <c r="J7" s="59"/>
      <c r="K7" s="59"/>
      <c r="L7" s="59"/>
      <c r="M7" s="59"/>
      <c r="N7" s="59"/>
      <c r="O7" s="59"/>
    </row>
    <row r="8" spans="1:29" ht="15.75" hidden="1" customHeight="1" thickBot="1">
      <c r="B8" s="54"/>
      <c r="C8" s="56" t="b">
        <v>0</v>
      </c>
      <c r="D8" s="56" t="b">
        <v>0</v>
      </c>
      <c r="E8" s="56" t="b">
        <v>0</v>
      </c>
      <c r="F8" s="57" t="b">
        <v>1</v>
      </c>
      <c r="G8" s="57" t="b">
        <v>0</v>
      </c>
      <c r="H8" s="60"/>
      <c r="I8" s="61"/>
      <c r="J8" s="62"/>
      <c r="K8" s="63"/>
      <c r="L8" s="63"/>
      <c r="M8" s="63"/>
      <c r="N8" s="63"/>
      <c r="O8" s="189"/>
    </row>
    <row r="9" spans="1:29" ht="24.75" customHeight="1">
      <c r="B9" s="895" t="s">
        <v>99</v>
      </c>
      <c r="C9" s="897"/>
      <c r="D9" s="898"/>
      <c r="E9" s="898"/>
      <c r="F9" s="899"/>
      <c r="G9" s="892" t="s">
        <v>221</v>
      </c>
      <c r="H9" s="893"/>
      <c r="I9" s="894"/>
      <c r="J9" s="886" t="s">
        <v>104</v>
      </c>
      <c r="K9" s="887"/>
      <c r="L9" s="281" t="s">
        <v>899</v>
      </c>
      <c r="M9" s="281" t="s">
        <v>900</v>
      </c>
      <c r="N9" s="281" t="s">
        <v>963</v>
      </c>
      <c r="O9" s="281" t="s">
        <v>964</v>
      </c>
    </row>
    <row r="10" spans="1:29" ht="24.75" customHeight="1">
      <c r="B10" s="896"/>
      <c r="C10" s="900"/>
      <c r="D10" s="901"/>
      <c r="E10" s="901"/>
      <c r="F10" s="902"/>
      <c r="G10" s="70" t="s">
        <v>222</v>
      </c>
      <c r="H10" s="794"/>
      <c r="I10" s="722"/>
      <c r="J10" s="881" t="s">
        <v>97</v>
      </c>
      <c r="K10" s="882"/>
      <c r="L10" s="795" t="s">
        <v>1077</v>
      </c>
      <c r="M10" s="507"/>
      <c r="N10" s="507"/>
      <c r="O10" s="507"/>
    </row>
    <row r="11" spans="1:29" ht="15" customHeight="1" thickBot="1">
      <c r="B11" s="896"/>
      <c r="C11" s="903"/>
      <c r="D11" s="904"/>
      <c r="E11" s="904"/>
      <c r="F11" s="905"/>
      <c r="G11" s="70" t="s">
        <v>223</v>
      </c>
      <c r="H11" s="792"/>
      <c r="I11" s="722"/>
      <c r="J11" s="919" t="s">
        <v>105</v>
      </c>
      <c r="K11" s="920"/>
      <c r="L11" s="725" t="s">
        <v>117</v>
      </c>
      <c r="M11" s="369"/>
      <c r="N11" s="369"/>
      <c r="O11" s="369"/>
    </row>
    <row r="12" spans="1:29" ht="15" customHeight="1" thickTop="1" thickBot="1">
      <c r="B12" s="906" t="s">
        <v>142</v>
      </c>
      <c r="C12" s="940"/>
      <c r="D12" s="941"/>
      <c r="E12" s="941"/>
      <c r="F12" s="942"/>
      <c r="G12" s="70" t="s">
        <v>224</v>
      </c>
      <c r="H12" s="932"/>
      <c r="I12" s="933"/>
      <c r="J12" s="919" t="s">
        <v>985</v>
      </c>
      <c r="K12" s="920"/>
      <c r="L12" s="796" t="s">
        <v>1078</v>
      </c>
      <c r="M12" s="508"/>
      <c r="N12" s="508"/>
      <c r="O12" s="508"/>
      <c r="P12" s="912" t="s">
        <v>801</v>
      </c>
      <c r="Q12" s="913"/>
      <c r="R12" s="914"/>
    </row>
    <row r="13" spans="1:29" ht="15" customHeight="1">
      <c r="B13" s="907"/>
      <c r="C13" s="943"/>
      <c r="D13" s="944"/>
      <c r="E13" s="944"/>
      <c r="F13" s="945"/>
      <c r="G13" s="929" t="s">
        <v>430</v>
      </c>
      <c r="H13" s="934"/>
      <c r="I13" s="935"/>
      <c r="J13" s="921" t="s">
        <v>107</v>
      </c>
      <c r="K13" s="922"/>
      <c r="L13" s="923"/>
      <c r="M13" s="68" t="s">
        <v>109</v>
      </c>
      <c r="N13" s="69"/>
      <c r="O13" s="190" t="s">
        <v>184</v>
      </c>
      <c r="P13" s="192" t="s">
        <v>798</v>
      </c>
      <c r="Q13" s="184"/>
      <c r="R13" s="220"/>
    </row>
    <row r="14" spans="1:29">
      <c r="B14" s="699" t="s">
        <v>1019</v>
      </c>
      <c r="C14" s="946"/>
      <c r="D14" s="947"/>
      <c r="E14" s="947"/>
      <c r="F14" s="948"/>
      <c r="G14" s="930"/>
      <c r="H14" s="936"/>
      <c r="I14" s="937"/>
      <c r="J14" s="890" t="s">
        <v>108</v>
      </c>
      <c r="K14" s="891"/>
      <c r="L14" s="715" t="s">
        <v>908</v>
      </c>
      <c r="M14" s="70" t="s">
        <v>100</v>
      </c>
      <c r="N14" s="71"/>
      <c r="O14" s="191">
        <v>44404</v>
      </c>
      <c r="P14" s="192" t="s">
        <v>799</v>
      </c>
      <c r="Q14" s="184"/>
      <c r="R14" s="193"/>
    </row>
    <row r="15" spans="1:29">
      <c r="B15" s="698" t="s">
        <v>151</v>
      </c>
      <c r="C15" s="719"/>
      <c r="D15" s="924" t="s">
        <v>113</v>
      </c>
      <c r="E15" s="924"/>
      <c r="F15" s="721"/>
      <c r="G15" s="930"/>
      <c r="H15" s="936"/>
      <c r="I15" s="937"/>
      <c r="J15" s="568" t="s">
        <v>153</v>
      </c>
      <c r="K15" s="64"/>
      <c r="L15" s="572"/>
      <c r="M15" s="66" t="s">
        <v>428</v>
      </c>
      <c r="N15" s="927" t="str">
        <f ca="1">LOOKUP(O13,List!T2:T5,List!U2:U6)</f>
        <v>Dr. Deepak Gondaliya</v>
      </c>
      <c r="O15" s="928"/>
      <c r="P15" s="194" t="s">
        <v>800</v>
      </c>
      <c r="Q15" s="908"/>
      <c r="R15" s="909"/>
    </row>
    <row r="16" spans="1:29" ht="15.75" thickBot="1">
      <c r="B16" s="356" t="s">
        <v>102</v>
      </c>
      <c r="C16" s="720"/>
      <c r="D16" s="58" t="s">
        <v>101</v>
      </c>
      <c r="E16" s="58"/>
      <c r="F16" s="718" t="s">
        <v>1031</v>
      </c>
      <c r="G16" s="931"/>
      <c r="H16" s="938"/>
      <c r="I16" s="939"/>
      <c r="J16" s="571" t="s">
        <v>111</v>
      </c>
      <c r="K16" s="65"/>
      <c r="L16" s="254" t="s">
        <v>118</v>
      </c>
      <c r="M16" s="67" t="s">
        <v>429</v>
      </c>
      <c r="N16" s="925" t="s">
        <v>1069</v>
      </c>
      <c r="O16" s="926"/>
      <c r="P16" s="195" t="s">
        <v>428</v>
      </c>
      <c r="Q16" s="910" t="str">
        <f>IF(ISBLANK(R13),"",LOOKUP(R13,List!T2:T5,List!U2:U6))</f>
        <v/>
      </c>
      <c r="R16" s="911"/>
    </row>
    <row r="17" spans="2:16" ht="16.5" thickBot="1">
      <c r="B17" s="915" t="s">
        <v>1000</v>
      </c>
      <c r="C17" s="916"/>
      <c r="D17" s="916"/>
      <c r="E17" s="916"/>
      <c r="F17" s="916"/>
      <c r="G17" s="916"/>
      <c r="H17" s="917"/>
      <c r="I17" s="917"/>
      <c r="J17" s="916"/>
      <c r="K17" s="916"/>
      <c r="L17" s="916"/>
      <c r="M17" s="916"/>
      <c r="N17" s="916"/>
      <c r="O17" s="918"/>
    </row>
    <row r="18" spans="2:16">
      <c r="B18" s="560" t="s">
        <v>195</v>
      </c>
      <c r="C18" s="723">
        <v>250</v>
      </c>
      <c r="D18" s="724">
        <v>500</v>
      </c>
      <c r="E18" s="724">
        <v>750</v>
      </c>
      <c r="F18" s="561">
        <v>1000</v>
      </c>
      <c r="G18" s="561"/>
      <c r="H18" s="561"/>
      <c r="I18" s="561"/>
      <c r="J18" s="561"/>
      <c r="K18" s="562"/>
      <c r="L18" s="562"/>
      <c r="M18" s="562"/>
      <c r="N18" s="562"/>
      <c r="O18" s="888" t="s">
        <v>131</v>
      </c>
    </row>
    <row r="19" spans="2:16">
      <c r="B19" s="530" t="s">
        <v>210</v>
      </c>
      <c r="C19" s="532"/>
      <c r="D19" s="532"/>
      <c r="E19" s="532"/>
      <c r="F19" s="532"/>
      <c r="G19" s="532"/>
      <c r="H19" s="532"/>
      <c r="I19" s="532"/>
      <c r="J19" s="532"/>
      <c r="K19" s="532"/>
      <c r="L19" s="532"/>
      <c r="M19" s="532"/>
      <c r="N19" s="532"/>
      <c r="O19" s="889"/>
    </row>
    <row r="20" spans="2:16">
      <c r="B20" s="530" t="s">
        <v>970</v>
      </c>
      <c r="C20" s="532"/>
      <c r="D20" s="532"/>
      <c r="E20" s="532"/>
      <c r="F20" s="532"/>
      <c r="G20" s="532"/>
      <c r="H20" s="532"/>
      <c r="I20" s="532"/>
      <c r="J20" s="532"/>
      <c r="K20" s="532"/>
      <c r="L20" s="532"/>
      <c r="M20" s="532"/>
      <c r="N20" s="532"/>
      <c r="O20" s="533"/>
    </row>
    <row r="21" spans="2:16">
      <c r="B21" s="530" t="s">
        <v>971</v>
      </c>
      <c r="C21" s="532"/>
      <c r="D21" s="532"/>
      <c r="E21" s="532"/>
      <c r="F21" s="532"/>
      <c r="G21" s="532"/>
      <c r="H21" s="532"/>
      <c r="I21" s="532"/>
      <c r="J21" s="532"/>
      <c r="K21" s="532"/>
      <c r="L21" s="532"/>
      <c r="M21" s="532"/>
      <c r="N21" s="532"/>
      <c r="O21" s="533"/>
    </row>
    <row r="22" spans="2:16">
      <c r="B22" s="534" t="s">
        <v>186</v>
      </c>
      <c r="C22" s="550"/>
      <c r="D22" s="537"/>
      <c r="E22" s="537">
        <v>16.899999999999999</v>
      </c>
      <c r="F22" s="537"/>
      <c r="G22" s="537"/>
      <c r="H22" s="537"/>
      <c r="I22" s="537"/>
      <c r="J22" s="537"/>
      <c r="K22" s="537"/>
      <c r="L22" s="537"/>
      <c r="M22" s="537"/>
      <c r="N22" s="537"/>
      <c r="O22" s="552">
        <f t="shared" ref="O22:O27" si="0">SUM(C22:N22)</f>
        <v>16.899999999999999</v>
      </c>
      <c r="P22" s="334"/>
    </row>
    <row r="23" spans="2:16">
      <c r="B23" s="534" t="s">
        <v>907</v>
      </c>
      <c r="C23" s="539"/>
      <c r="D23" s="539"/>
      <c r="E23" s="539"/>
      <c r="F23" s="539"/>
      <c r="G23" s="539"/>
      <c r="H23" s="539"/>
      <c r="I23" s="539"/>
      <c r="J23" s="539"/>
      <c r="K23" s="539"/>
      <c r="L23" s="539"/>
      <c r="M23" s="539"/>
      <c r="N23" s="539"/>
      <c r="O23" s="553"/>
    </row>
    <row r="24" spans="2:16">
      <c r="B24" s="530" t="s">
        <v>932</v>
      </c>
      <c r="C24" s="541"/>
      <c r="D24" s="541"/>
      <c r="E24" s="541"/>
      <c r="F24" s="541"/>
      <c r="G24" s="541"/>
      <c r="H24" s="541"/>
      <c r="I24" s="541"/>
      <c r="J24" s="541"/>
      <c r="K24" s="541"/>
      <c r="L24" s="541"/>
      <c r="M24" s="541"/>
      <c r="N24" s="541"/>
      <c r="O24" s="554">
        <f t="shared" si="0"/>
        <v>0</v>
      </c>
    </row>
    <row r="25" spans="2:16">
      <c r="B25" s="534" t="s">
        <v>185</v>
      </c>
      <c r="C25" s="542">
        <f>C22*(C23)*(1-C24)</f>
        <v>0</v>
      </c>
      <c r="D25" s="542">
        <f t="shared" ref="D25:N25" si="1">D22*(D23)*(1-D24)</f>
        <v>0</v>
      </c>
      <c r="E25" s="542">
        <f t="shared" si="1"/>
        <v>0</v>
      </c>
      <c r="F25" s="542">
        <f t="shared" si="1"/>
        <v>0</v>
      </c>
      <c r="G25" s="542">
        <f t="shared" si="1"/>
        <v>0</v>
      </c>
      <c r="H25" s="542">
        <f t="shared" si="1"/>
        <v>0</v>
      </c>
      <c r="I25" s="542">
        <f t="shared" si="1"/>
        <v>0</v>
      </c>
      <c r="J25" s="542">
        <f t="shared" si="1"/>
        <v>0</v>
      </c>
      <c r="K25" s="542">
        <f t="shared" si="1"/>
        <v>0</v>
      </c>
      <c r="L25" s="542">
        <f t="shared" si="1"/>
        <v>0</v>
      </c>
      <c r="M25" s="542">
        <f t="shared" si="1"/>
        <v>0</v>
      </c>
      <c r="N25" s="542">
        <f t="shared" si="1"/>
        <v>0</v>
      </c>
      <c r="O25" s="555">
        <f t="shared" si="0"/>
        <v>0</v>
      </c>
    </row>
    <row r="26" spans="2:16">
      <c r="B26" s="534" t="s">
        <v>187</v>
      </c>
      <c r="C26" s="543"/>
      <c r="D26" s="544"/>
      <c r="E26" s="544"/>
      <c r="F26" s="544"/>
      <c r="G26" s="544"/>
      <c r="H26" s="544"/>
      <c r="I26" s="544"/>
      <c r="J26" s="544"/>
      <c r="K26" s="544"/>
      <c r="L26" s="544"/>
      <c r="M26" s="544"/>
      <c r="N26" s="544"/>
      <c r="O26" s="556">
        <f t="shared" si="0"/>
        <v>0</v>
      </c>
    </row>
    <row r="27" spans="2:16">
      <c r="B27" s="534" t="s">
        <v>152</v>
      </c>
      <c r="C27" s="545">
        <f t="shared" ref="C27:N27" si="2">C26*0.25*C23</f>
        <v>0</v>
      </c>
      <c r="D27" s="545">
        <f t="shared" si="2"/>
        <v>0</v>
      </c>
      <c r="E27" s="545">
        <f t="shared" si="2"/>
        <v>0</v>
      </c>
      <c r="F27" s="545">
        <f t="shared" si="2"/>
        <v>0</v>
      </c>
      <c r="G27" s="545">
        <f t="shared" si="2"/>
        <v>0</v>
      </c>
      <c r="H27" s="545">
        <f t="shared" si="2"/>
        <v>0</v>
      </c>
      <c r="I27" s="545">
        <f t="shared" si="2"/>
        <v>0</v>
      </c>
      <c r="J27" s="545">
        <f t="shared" si="2"/>
        <v>0</v>
      </c>
      <c r="K27" s="545">
        <f t="shared" si="2"/>
        <v>0</v>
      </c>
      <c r="L27" s="545">
        <f t="shared" si="2"/>
        <v>0</v>
      </c>
      <c r="M27" s="545">
        <f t="shared" si="2"/>
        <v>0</v>
      </c>
      <c r="N27" s="545">
        <f t="shared" si="2"/>
        <v>0</v>
      </c>
      <c r="O27" s="557">
        <f t="shared" si="0"/>
        <v>0</v>
      </c>
    </row>
    <row r="28" spans="2:16">
      <c r="B28" s="530" t="s">
        <v>191</v>
      </c>
      <c r="C28" s="570">
        <f t="shared" ref="C28:N28" si="3">C26*C18/1000000</f>
        <v>0</v>
      </c>
      <c r="D28" s="546">
        <f t="shared" si="3"/>
        <v>0</v>
      </c>
      <c r="E28" s="546">
        <f t="shared" si="3"/>
        <v>0</v>
      </c>
      <c r="F28" s="546">
        <f t="shared" si="3"/>
        <v>0</v>
      </c>
      <c r="G28" s="546">
        <f t="shared" si="3"/>
        <v>0</v>
      </c>
      <c r="H28" s="546">
        <f t="shared" si="3"/>
        <v>0</v>
      </c>
      <c r="I28" s="546">
        <f t="shared" si="3"/>
        <v>0</v>
      </c>
      <c r="J28" s="546">
        <f t="shared" si="3"/>
        <v>0</v>
      </c>
      <c r="K28" s="546">
        <f t="shared" si="3"/>
        <v>0</v>
      </c>
      <c r="L28" s="546">
        <f t="shared" si="3"/>
        <v>0</v>
      </c>
      <c r="M28" s="546">
        <f t="shared" si="3"/>
        <v>0</v>
      </c>
      <c r="N28" s="546">
        <f t="shared" si="3"/>
        <v>0</v>
      </c>
      <c r="O28" s="547">
        <f>SUM(C28:N28)</f>
        <v>0</v>
      </c>
    </row>
    <row r="29" spans="2:16">
      <c r="B29" s="534" t="s">
        <v>192</v>
      </c>
      <c r="C29" s="546">
        <f t="shared" ref="C29:N29" si="4">C26*C19/1000000</f>
        <v>0</v>
      </c>
      <c r="D29" s="546">
        <f t="shared" si="4"/>
        <v>0</v>
      </c>
      <c r="E29" s="546">
        <f t="shared" si="4"/>
        <v>0</v>
      </c>
      <c r="F29" s="546">
        <f t="shared" si="4"/>
        <v>0</v>
      </c>
      <c r="G29" s="546">
        <f t="shared" si="4"/>
        <v>0</v>
      </c>
      <c r="H29" s="546">
        <f t="shared" si="4"/>
        <v>0</v>
      </c>
      <c r="I29" s="546">
        <f t="shared" si="4"/>
        <v>0</v>
      </c>
      <c r="J29" s="546">
        <f t="shared" si="4"/>
        <v>0</v>
      </c>
      <c r="K29" s="546">
        <f t="shared" si="4"/>
        <v>0</v>
      </c>
      <c r="L29" s="546">
        <f t="shared" si="4"/>
        <v>0</v>
      </c>
      <c r="M29" s="546">
        <f t="shared" si="4"/>
        <v>0</v>
      </c>
      <c r="N29" s="546">
        <f t="shared" si="4"/>
        <v>0</v>
      </c>
      <c r="O29" s="547">
        <f>SUM(C29:N29)</f>
        <v>0</v>
      </c>
    </row>
    <row r="30" spans="2:16">
      <c r="B30" s="534" t="s">
        <v>972</v>
      </c>
      <c r="C30" s="546">
        <f>C26*C20/1000000</f>
        <v>0</v>
      </c>
      <c r="D30" s="546">
        <f t="shared" ref="D30:N30" si="5">D26*D20/1000000</f>
        <v>0</v>
      </c>
      <c r="E30" s="546">
        <f t="shared" si="5"/>
        <v>0</v>
      </c>
      <c r="F30" s="546">
        <f t="shared" si="5"/>
        <v>0</v>
      </c>
      <c r="G30" s="546">
        <f t="shared" si="5"/>
        <v>0</v>
      </c>
      <c r="H30" s="546">
        <f t="shared" si="5"/>
        <v>0</v>
      </c>
      <c r="I30" s="546">
        <f t="shared" si="5"/>
        <v>0</v>
      </c>
      <c r="J30" s="546">
        <f t="shared" si="5"/>
        <v>0</v>
      </c>
      <c r="K30" s="546">
        <f t="shared" si="5"/>
        <v>0</v>
      </c>
      <c r="L30" s="546">
        <f t="shared" si="5"/>
        <v>0</v>
      </c>
      <c r="M30" s="546">
        <f t="shared" si="5"/>
        <v>0</v>
      </c>
      <c r="N30" s="546">
        <f t="shared" si="5"/>
        <v>0</v>
      </c>
      <c r="O30" s="547">
        <f t="shared" ref="O30:O35" si="6">SUM(C30:N30)</f>
        <v>0</v>
      </c>
    </row>
    <row r="31" spans="2:16">
      <c r="B31" s="534" t="s">
        <v>973</v>
      </c>
      <c r="C31" s="546">
        <f>C26*C21/1000000</f>
        <v>0</v>
      </c>
      <c r="D31" s="546">
        <f t="shared" ref="D31:N31" si="7">D26*D21/1000000</f>
        <v>0</v>
      </c>
      <c r="E31" s="546">
        <f t="shared" si="7"/>
        <v>0</v>
      </c>
      <c r="F31" s="546">
        <f t="shared" si="7"/>
        <v>0</v>
      </c>
      <c r="G31" s="546">
        <f t="shared" si="7"/>
        <v>0</v>
      </c>
      <c r="H31" s="546">
        <f t="shared" si="7"/>
        <v>0</v>
      </c>
      <c r="I31" s="546">
        <f t="shared" si="7"/>
        <v>0</v>
      </c>
      <c r="J31" s="546">
        <f t="shared" si="7"/>
        <v>0</v>
      </c>
      <c r="K31" s="546">
        <f t="shared" si="7"/>
        <v>0</v>
      </c>
      <c r="L31" s="546">
        <f t="shared" si="7"/>
        <v>0</v>
      </c>
      <c r="M31" s="546">
        <f t="shared" si="7"/>
        <v>0</v>
      </c>
      <c r="N31" s="546">
        <f t="shared" si="7"/>
        <v>0</v>
      </c>
      <c r="O31" s="547">
        <f t="shared" si="6"/>
        <v>0</v>
      </c>
    </row>
    <row r="32" spans="2:16">
      <c r="B32" s="534" t="s">
        <v>190</v>
      </c>
      <c r="C32" s="569">
        <f t="shared" ref="C32:N32" si="8">C28*0.1</f>
        <v>0</v>
      </c>
      <c r="D32" s="548">
        <f t="shared" si="8"/>
        <v>0</v>
      </c>
      <c r="E32" s="548">
        <f t="shared" si="8"/>
        <v>0</v>
      </c>
      <c r="F32" s="548">
        <f t="shared" si="8"/>
        <v>0</v>
      </c>
      <c r="G32" s="548">
        <f t="shared" si="8"/>
        <v>0</v>
      </c>
      <c r="H32" s="548">
        <f t="shared" si="8"/>
        <v>0</v>
      </c>
      <c r="I32" s="548">
        <f t="shared" si="8"/>
        <v>0</v>
      </c>
      <c r="J32" s="548">
        <f t="shared" si="8"/>
        <v>0</v>
      </c>
      <c r="K32" s="548">
        <f t="shared" si="8"/>
        <v>0</v>
      </c>
      <c r="L32" s="548">
        <f t="shared" si="8"/>
        <v>0</v>
      </c>
      <c r="M32" s="548">
        <f t="shared" si="8"/>
        <v>0</v>
      </c>
      <c r="N32" s="548">
        <f t="shared" si="8"/>
        <v>0</v>
      </c>
      <c r="O32" s="547">
        <f t="shared" si="6"/>
        <v>0</v>
      </c>
    </row>
    <row r="33" spans="1:20">
      <c r="B33" s="534" t="s">
        <v>189</v>
      </c>
      <c r="C33" s="548">
        <f t="shared" ref="C33:N33" si="9">C29*0.1</f>
        <v>0</v>
      </c>
      <c r="D33" s="548">
        <f t="shared" si="9"/>
        <v>0</v>
      </c>
      <c r="E33" s="548">
        <f t="shared" si="9"/>
        <v>0</v>
      </c>
      <c r="F33" s="548">
        <f t="shared" si="9"/>
        <v>0</v>
      </c>
      <c r="G33" s="548">
        <f t="shared" si="9"/>
        <v>0</v>
      </c>
      <c r="H33" s="548">
        <f t="shared" si="9"/>
        <v>0</v>
      </c>
      <c r="I33" s="548">
        <f t="shared" si="9"/>
        <v>0</v>
      </c>
      <c r="J33" s="548">
        <f t="shared" si="9"/>
        <v>0</v>
      </c>
      <c r="K33" s="548">
        <f t="shared" si="9"/>
        <v>0</v>
      </c>
      <c r="L33" s="548">
        <f t="shared" si="9"/>
        <v>0</v>
      </c>
      <c r="M33" s="548">
        <f t="shared" si="9"/>
        <v>0</v>
      </c>
      <c r="N33" s="548">
        <f t="shared" si="9"/>
        <v>0</v>
      </c>
      <c r="O33" s="547">
        <f t="shared" si="6"/>
        <v>0</v>
      </c>
    </row>
    <row r="34" spans="1:20">
      <c r="B34" s="534" t="s">
        <v>974</v>
      </c>
      <c r="C34" s="548">
        <f t="shared" ref="C34:N34" si="10">C30*0.1</f>
        <v>0</v>
      </c>
      <c r="D34" s="548">
        <f t="shared" si="10"/>
        <v>0</v>
      </c>
      <c r="E34" s="548">
        <f t="shared" si="10"/>
        <v>0</v>
      </c>
      <c r="F34" s="548">
        <f t="shared" si="10"/>
        <v>0</v>
      </c>
      <c r="G34" s="548">
        <f t="shared" si="10"/>
        <v>0</v>
      </c>
      <c r="H34" s="548">
        <f t="shared" si="10"/>
        <v>0</v>
      </c>
      <c r="I34" s="548">
        <f t="shared" si="10"/>
        <v>0</v>
      </c>
      <c r="J34" s="548">
        <f t="shared" si="10"/>
        <v>0</v>
      </c>
      <c r="K34" s="548">
        <f t="shared" si="10"/>
        <v>0</v>
      </c>
      <c r="L34" s="548">
        <f t="shared" si="10"/>
        <v>0</v>
      </c>
      <c r="M34" s="548">
        <f t="shared" si="10"/>
        <v>0</v>
      </c>
      <c r="N34" s="548">
        <f t="shared" si="10"/>
        <v>0</v>
      </c>
      <c r="O34" s="547">
        <f t="shared" si="6"/>
        <v>0</v>
      </c>
    </row>
    <row r="35" spans="1:20" ht="15.75" thickBot="1">
      <c r="B35" s="549" t="s">
        <v>975</v>
      </c>
      <c r="C35" s="558">
        <f t="shared" ref="C35:N35" si="11">C31*0.1</f>
        <v>0</v>
      </c>
      <c r="D35" s="558">
        <f t="shared" si="11"/>
        <v>0</v>
      </c>
      <c r="E35" s="558">
        <f t="shared" si="11"/>
        <v>0</v>
      </c>
      <c r="F35" s="558">
        <f t="shared" si="11"/>
        <v>0</v>
      </c>
      <c r="G35" s="558">
        <f t="shared" si="11"/>
        <v>0</v>
      </c>
      <c r="H35" s="558">
        <f t="shared" si="11"/>
        <v>0</v>
      </c>
      <c r="I35" s="558">
        <f t="shared" si="11"/>
        <v>0</v>
      </c>
      <c r="J35" s="558">
        <f t="shared" si="11"/>
        <v>0</v>
      </c>
      <c r="K35" s="558">
        <f t="shared" si="11"/>
        <v>0</v>
      </c>
      <c r="L35" s="558">
        <f t="shared" si="11"/>
        <v>0</v>
      </c>
      <c r="M35" s="558">
        <f t="shared" si="11"/>
        <v>0</v>
      </c>
      <c r="N35" s="558">
        <f t="shared" si="11"/>
        <v>0</v>
      </c>
      <c r="O35" s="559">
        <f t="shared" si="6"/>
        <v>0</v>
      </c>
    </row>
    <row r="36" spans="1:20" s="19" customFormat="1" ht="15.75" thickBot="1">
      <c r="O36" s="253"/>
      <c r="P36" s="185"/>
      <c r="Q36" s="185"/>
      <c r="R36" s="185"/>
    </row>
    <row r="37" spans="1:20" s="17" customFormat="1" ht="15.75">
      <c r="A37" s="19"/>
      <c r="B37" s="875" t="s">
        <v>1001</v>
      </c>
      <c r="C37" s="876"/>
      <c r="D37" s="876"/>
      <c r="E37" s="876"/>
      <c r="F37" s="876"/>
      <c r="G37" s="876"/>
      <c r="H37" s="876"/>
      <c r="I37" s="876"/>
      <c r="J37" s="876"/>
      <c r="K37" s="876"/>
      <c r="L37" s="876"/>
      <c r="M37" s="876"/>
      <c r="N37" s="876"/>
      <c r="O37" s="877"/>
      <c r="P37" s="185"/>
      <c r="Q37" s="185"/>
      <c r="R37" s="185"/>
      <c r="S37" s="19"/>
      <c r="T37" s="19"/>
    </row>
    <row r="38" spans="1:20" s="17" customFormat="1">
      <c r="A38" s="19"/>
      <c r="B38" s="530" t="s">
        <v>195</v>
      </c>
      <c r="C38" s="723"/>
      <c r="D38" s="724"/>
      <c r="E38" s="724"/>
      <c r="F38" s="531"/>
      <c r="G38" s="531"/>
      <c r="H38" s="531"/>
      <c r="I38" s="531"/>
      <c r="J38" s="531"/>
      <c r="K38" s="532"/>
      <c r="L38" s="532"/>
      <c r="M38" s="532"/>
      <c r="N38" s="532"/>
      <c r="O38" s="878" t="s">
        <v>131</v>
      </c>
      <c r="P38" s="185"/>
      <c r="Q38" s="185"/>
      <c r="R38" s="185"/>
      <c r="S38" s="19"/>
      <c r="T38" s="19"/>
    </row>
    <row r="39" spans="1:20" s="17" customFormat="1">
      <c r="A39" s="19"/>
      <c r="B39" s="530" t="s">
        <v>210</v>
      </c>
      <c r="C39" s="532"/>
      <c r="D39" s="532"/>
      <c r="E39" s="532"/>
      <c r="F39" s="532"/>
      <c r="G39" s="532"/>
      <c r="H39" s="532"/>
      <c r="I39" s="532"/>
      <c r="J39" s="532"/>
      <c r="K39" s="532"/>
      <c r="L39" s="532"/>
      <c r="M39" s="532"/>
      <c r="N39" s="532"/>
      <c r="O39" s="878"/>
      <c r="P39" s="185"/>
      <c r="Q39" s="185"/>
      <c r="R39" s="185"/>
      <c r="S39" s="19"/>
      <c r="T39" s="19"/>
    </row>
    <row r="40" spans="1:20" s="17" customFormat="1">
      <c r="A40" s="19"/>
      <c r="B40" s="530" t="s">
        <v>970</v>
      </c>
      <c r="C40" s="532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3"/>
      <c r="P40" s="185"/>
      <c r="Q40" s="185"/>
      <c r="R40" s="185"/>
      <c r="S40" s="19"/>
      <c r="T40" s="19"/>
    </row>
    <row r="41" spans="1:20" s="17" customFormat="1">
      <c r="A41" s="19"/>
      <c r="B41" s="530" t="s">
        <v>971</v>
      </c>
      <c r="C41" s="532"/>
      <c r="D41" s="532"/>
      <c r="E41" s="532"/>
      <c r="F41" s="532"/>
      <c r="G41" s="532"/>
      <c r="H41" s="532"/>
      <c r="I41" s="532"/>
      <c r="J41" s="532"/>
      <c r="K41" s="532"/>
      <c r="L41" s="532"/>
      <c r="M41" s="532"/>
      <c r="N41" s="532"/>
      <c r="O41" s="533"/>
      <c r="P41" s="185"/>
      <c r="Q41" s="185"/>
      <c r="R41" s="185"/>
      <c r="S41" s="19"/>
      <c r="T41" s="19"/>
    </row>
    <row r="42" spans="1:20" s="17" customFormat="1">
      <c r="A42" s="19"/>
      <c r="B42" s="534" t="s">
        <v>186</v>
      </c>
      <c r="C42" s="550"/>
      <c r="D42" s="537"/>
      <c r="E42" s="537"/>
      <c r="F42" s="537"/>
      <c r="G42" s="537"/>
      <c r="H42" s="537"/>
      <c r="I42" s="537"/>
      <c r="J42" s="537"/>
      <c r="K42" s="537"/>
      <c r="L42" s="537"/>
      <c r="M42" s="537"/>
      <c r="N42" s="537"/>
      <c r="O42" s="552">
        <f>SUM(C42:N42)</f>
        <v>0</v>
      </c>
      <c r="P42" s="185"/>
      <c r="Q42" s="185"/>
      <c r="R42" s="185"/>
      <c r="S42" s="19"/>
      <c r="T42" s="19"/>
    </row>
    <row r="43" spans="1:20" s="17" customFormat="1">
      <c r="A43" s="19"/>
      <c r="B43" s="534" t="s">
        <v>907</v>
      </c>
      <c r="C43" s="539"/>
      <c r="D43" s="539"/>
      <c r="E43" s="539"/>
      <c r="F43" s="539"/>
      <c r="G43" s="539"/>
      <c r="H43" s="539"/>
      <c r="I43" s="539"/>
      <c r="J43" s="539"/>
      <c r="K43" s="539"/>
      <c r="L43" s="539"/>
      <c r="M43" s="539"/>
      <c r="N43" s="539"/>
      <c r="O43" s="553"/>
      <c r="P43" s="185"/>
      <c r="Q43" s="185"/>
      <c r="R43" s="185"/>
      <c r="S43" s="19"/>
      <c r="T43" s="19"/>
    </row>
    <row r="44" spans="1:20" s="17" customFormat="1">
      <c r="A44" s="19"/>
      <c r="B44" s="530" t="s">
        <v>932</v>
      </c>
      <c r="C44" s="541"/>
      <c r="D44" s="541"/>
      <c r="E44" s="541"/>
      <c r="F44" s="541"/>
      <c r="G44" s="541"/>
      <c r="H44" s="541"/>
      <c r="I44" s="541"/>
      <c r="J44" s="541"/>
      <c r="K44" s="541"/>
      <c r="L44" s="541"/>
      <c r="M44" s="541"/>
      <c r="N44" s="541"/>
      <c r="O44" s="554">
        <f t="shared" ref="O44:O49" si="12">SUM(C44:N44)</f>
        <v>0</v>
      </c>
      <c r="P44" s="185"/>
      <c r="Q44" s="185"/>
      <c r="R44" s="185"/>
      <c r="S44" s="19"/>
      <c r="T44" s="19"/>
    </row>
    <row r="45" spans="1:20" s="17" customFormat="1">
      <c r="A45" s="19"/>
      <c r="B45" s="534" t="s">
        <v>185</v>
      </c>
      <c r="C45" s="542">
        <f>C42*(C43)*(1-C44)</f>
        <v>0</v>
      </c>
      <c r="D45" s="542">
        <f t="shared" ref="D45:N45" si="13">D42*(D43)*(1-D44)</f>
        <v>0</v>
      </c>
      <c r="E45" s="542">
        <f t="shared" si="13"/>
        <v>0</v>
      </c>
      <c r="F45" s="542">
        <f t="shared" si="13"/>
        <v>0</v>
      </c>
      <c r="G45" s="542">
        <f t="shared" si="13"/>
        <v>0</v>
      </c>
      <c r="H45" s="542">
        <f t="shared" si="13"/>
        <v>0</v>
      </c>
      <c r="I45" s="542">
        <f t="shared" si="13"/>
        <v>0</v>
      </c>
      <c r="J45" s="542">
        <f t="shared" si="13"/>
        <v>0</v>
      </c>
      <c r="K45" s="542">
        <f t="shared" si="13"/>
        <v>0</v>
      </c>
      <c r="L45" s="542">
        <f t="shared" si="13"/>
        <v>0</v>
      </c>
      <c r="M45" s="542">
        <f t="shared" si="13"/>
        <v>0</v>
      </c>
      <c r="N45" s="542">
        <f t="shared" si="13"/>
        <v>0</v>
      </c>
      <c r="O45" s="555">
        <f t="shared" si="12"/>
        <v>0</v>
      </c>
      <c r="P45" s="185"/>
      <c r="Q45" s="185"/>
      <c r="R45" s="185"/>
      <c r="S45" s="19"/>
      <c r="T45" s="19"/>
    </row>
    <row r="46" spans="1:20" s="17" customFormat="1">
      <c r="A46" s="19"/>
      <c r="B46" s="534" t="s">
        <v>187</v>
      </c>
      <c r="C46" s="543"/>
      <c r="D46" s="544"/>
      <c r="E46" s="544"/>
      <c r="F46" s="544"/>
      <c r="G46" s="544"/>
      <c r="H46" s="544"/>
      <c r="I46" s="544"/>
      <c r="J46" s="544"/>
      <c r="K46" s="544"/>
      <c r="L46" s="544"/>
      <c r="M46" s="544"/>
      <c r="N46" s="544"/>
      <c r="O46" s="556">
        <f t="shared" si="12"/>
        <v>0</v>
      </c>
      <c r="P46" s="185"/>
      <c r="Q46" s="185"/>
      <c r="R46" s="185"/>
      <c r="S46" s="19"/>
      <c r="T46" s="19"/>
    </row>
    <row r="47" spans="1:20" s="17" customFormat="1">
      <c r="A47" s="19"/>
      <c r="B47" s="534" t="s">
        <v>152</v>
      </c>
      <c r="C47" s="545">
        <f t="shared" ref="C47:N47" si="14">C46*0.25*C43</f>
        <v>0</v>
      </c>
      <c r="D47" s="545">
        <f t="shared" si="14"/>
        <v>0</v>
      </c>
      <c r="E47" s="545">
        <f t="shared" si="14"/>
        <v>0</v>
      </c>
      <c r="F47" s="545">
        <f t="shared" si="14"/>
        <v>0</v>
      </c>
      <c r="G47" s="545">
        <f t="shared" si="14"/>
        <v>0</v>
      </c>
      <c r="H47" s="545">
        <f t="shared" si="14"/>
        <v>0</v>
      </c>
      <c r="I47" s="545">
        <f t="shared" si="14"/>
        <v>0</v>
      </c>
      <c r="J47" s="545">
        <f t="shared" si="14"/>
        <v>0</v>
      </c>
      <c r="K47" s="545">
        <f t="shared" si="14"/>
        <v>0</v>
      </c>
      <c r="L47" s="545">
        <f t="shared" si="14"/>
        <v>0</v>
      </c>
      <c r="M47" s="545">
        <f t="shared" si="14"/>
        <v>0</v>
      </c>
      <c r="N47" s="545">
        <f t="shared" si="14"/>
        <v>0</v>
      </c>
      <c r="O47" s="557">
        <f t="shared" si="12"/>
        <v>0</v>
      </c>
      <c r="P47" s="185"/>
      <c r="Q47" s="185"/>
      <c r="R47" s="185"/>
      <c r="S47" s="19"/>
      <c r="T47" s="19"/>
    </row>
    <row r="48" spans="1:20" s="17" customFormat="1">
      <c r="A48" s="19"/>
      <c r="B48" s="530" t="s">
        <v>191</v>
      </c>
      <c r="C48" s="546">
        <f>C46*C38/1000000</f>
        <v>0</v>
      </c>
      <c r="D48" s="546">
        <f>D46*D38/1000000</f>
        <v>0</v>
      </c>
      <c r="E48" s="546">
        <f t="shared" ref="E48:N48" si="15">E46*E38/1000000</f>
        <v>0</v>
      </c>
      <c r="F48" s="546">
        <f t="shared" si="15"/>
        <v>0</v>
      </c>
      <c r="G48" s="546">
        <f t="shared" si="15"/>
        <v>0</v>
      </c>
      <c r="H48" s="546">
        <f t="shared" si="15"/>
        <v>0</v>
      </c>
      <c r="I48" s="546">
        <f t="shared" si="15"/>
        <v>0</v>
      </c>
      <c r="J48" s="546">
        <f t="shared" si="15"/>
        <v>0</v>
      </c>
      <c r="K48" s="546">
        <f t="shared" si="15"/>
        <v>0</v>
      </c>
      <c r="L48" s="546">
        <f t="shared" si="15"/>
        <v>0</v>
      </c>
      <c r="M48" s="546">
        <f t="shared" si="15"/>
        <v>0</v>
      </c>
      <c r="N48" s="546">
        <f t="shared" si="15"/>
        <v>0</v>
      </c>
      <c r="O48" s="547">
        <f t="shared" si="12"/>
        <v>0</v>
      </c>
      <c r="P48" s="185"/>
      <c r="Q48" s="185"/>
      <c r="R48" s="185"/>
      <c r="S48" s="19"/>
      <c r="T48" s="19"/>
    </row>
    <row r="49" spans="1:20" s="17" customFormat="1">
      <c r="A49" s="19"/>
      <c r="B49" s="534" t="s">
        <v>192</v>
      </c>
      <c r="C49" s="546">
        <f>C46*C39/1000000</f>
        <v>0</v>
      </c>
      <c r="D49" s="546">
        <f>D46*D39/1000000</f>
        <v>0</v>
      </c>
      <c r="E49" s="546">
        <f t="shared" ref="E49:N49" si="16">E46*E39/1000000</f>
        <v>0</v>
      </c>
      <c r="F49" s="546">
        <f t="shared" si="16"/>
        <v>0</v>
      </c>
      <c r="G49" s="546">
        <f t="shared" si="16"/>
        <v>0</v>
      </c>
      <c r="H49" s="546">
        <f t="shared" si="16"/>
        <v>0</v>
      </c>
      <c r="I49" s="546">
        <f t="shared" si="16"/>
        <v>0</v>
      </c>
      <c r="J49" s="546">
        <f t="shared" si="16"/>
        <v>0</v>
      </c>
      <c r="K49" s="546">
        <f t="shared" si="16"/>
        <v>0</v>
      </c>
      <c r="L49" s="546">
        <f t="shared" si="16"/>
        <v>0</v>
      </c>
      <c r="M49" s="546">
        <f t="shared" si="16"/>
        <v>0</v>
      </c>
      <c r="N49" s="546">
        <f t="shared" si="16"/>
        <v>0</v>
      </c>
      <c r="O49" s="547">
        <f t="shared" si="12"/>
        <v>0</v>
      </c>
      <c r="P49" s="185"/>
      <c r="Q49" s="185"/>
      <c r="R49" s="185"/>
      <c r="S49" s="19"/>
      <c r="T49" s="19"/>
    </row>
    <row r="50" spans="1:20" s="17" customFormat="1">
      <c r="A50" s="19"/>
      <c r="B50" s="534" t="s">
        <v>972</v>
      </c>
      <c r="C50" s="546">
        <f>C46*C40/1000000</f>
        <v>0</v>
      </c>
      <c r="D50" s="546">
        <f>D46*D40/1000000</f>
        <v>0</v>
      </c>
      <c r="E50" s="546">
        <f t="shared" ref="E50:N50" si="17">E46*E40/1000000</f>
        <v>0</v>
      </c>
      <c r="F50" s="546">
        <f t="shared" si="17"/>
        <v>0</v>
      </c>
      <c r="G50" s="546">
        <f t="shared" si="17"/>
        <v>0</v>
      </c>
      <c r="H50" s="546">
        <f t="shared" si="17"/>
        <v>0</v>
      </c>
      <c r="I50" s="546">
        <f t="shared" si="17"/>
        <v>0</v>
      </c>
      <c r="J50" s="546">
        <f t="shared" si="17"/>
        <v>0</v>
      </c>
      <c r="K50" s="546">
        <f t="shared" si="17"/>
        <v>0</v>
      </c>
      <c r="L50" s="546">
        <f t="shared" si="17"/>
        <v>0</v>
      </c>
      <c r="M50" s="546">
        <f t="shared" si="17"/>
        <v>0</v>
      </c>
      <c r="N50" s="546">
        <f t="shared" si="17"/>
        <v>0</v>
      </c>
      <c r="O50" s="547">
        <f t="shared" ref="O50:O55" si="18">SUM(C50:N50)</f>
        <v>0</v>
      </c>
      <c r="P50" s="185"/>
      <c r="Q50" s="185"/>
      <c r="R50" s="185"/>
      <c r="S50" s="19"/>
      <c r="T50" s="19"/>
    </row>
    <row r="51" spans="1:20" s="17" customFormat="1">
      <c r="A51" s="19"/>
      <c r="B51" s="534" t="s">
        <v>973</v>
      </c>
      <c r="C51" s="546">
        <f>C46*C41/1000000</f>
        <v>0</v>
      </c>
      <c r="D51" s="546">
        <f>D46*D41/1000000</f>
        <v>0</v>
      </c>
      <c r="E51" s="546">
        <f t="shared" ref="E51:N51" si="19">E46*E41/1000000</f>
        <v>0</v>
      </c>
      <c r="F51" s="546">
        <f t="shared" si="19"/>
        <v>0</v>
      </c>
      <c r="G51" s="546">
        <f t="shared" si="19"/>
        <v>0</v>
      </c>
      <c r="H51" s="546">
        <f t="shared" si="19"/>
        <v>0</v>
      </c>
      <c r="I51" s="546">
        <f t="shared" si="19"/>
        <v>0</v>
      </c>
      <c r="J51" s="546">
        <f t="shared" si="19"/>
        <v>0</v>
      </c>
      <c r="K51" s="546">
        <f t="shared" si="19"/>
        <v>0</v>
      </c>
      <c r="L51" s="546">
        <f t="shared" si="19"/>
        <v>0</v>
      </c>
      <c r="M51" s="546">
        <f t="shared" si="19"/>
        <v>0</v>
      </c>
      <c r="N51" s="546">
        <f t="shared" si="19"/>
        <v>0</v>
      </c>
      <c r="O51" s="547">
        <f t="shared" si="18"/>
        <v>0</v>
      </c>
      <c r="P51" s="185"/>
      <c r="Q51" s="185"/>
      <c r="R51" s="185"/>
      <c r="S51" s="19"/>
      <c r="T51" s="19"/>
    </row>
    <row r="52" spans="1:20" s="17" customFormat="1">
      <c r="A52" s="19"/>
      <c r="B52" s="534" t="s">
        <v>190</v>
      </c>
      <c r="C52" s="548">
        <f t="shared" ref="C52:D55" si="20">C48*0.1</f>
        <v>0</v>
      </c>
      <c r="D52" s="548">
        <f t="shared" si="20"/>
        <v>0</v>
      </c>
      <c r="E52" s="548">
        <f t="shared" ref="E52:N52" si="21">E48*0.1</f>
        <v>0</v>
      </c>
      <c r="F52" s="548">
        <f t="shared" si="21"/>
        <v>0</v>
      </c>
      <c r="G52" s="548">
        <f t="shared" si="21"/>
        <v>0</v>
      </c>
      <c r="H52" s="548">
        <f t="shared" si="21"/>
        <v>0</v>
      </c>
      <c r="I52" s="548">
        <f t="shared" si="21"/>
        <v>0</v>
      </c>
      <c r="J52" s="548">
        <f t="shared" si="21"/>
        <v>0</v>
      </c>
      <c r="K52" s="548">
        <f t="shared" si="21"/>
        <v>0</v>
      </c>
      <c r="L52" s="548">
        <f t="shared" si="21"/>
        <v>0</v>
      </c>
      <c r="M52" s="548">
        <f t="shared" si="21"/>
        <v>0</v>
      </c>
      <c r="N52" s="548">
        <f t="shared" si="21"/>
        <v>0</v>
      </c>
      <c r="O52" s="547">
        <f t="shared" si="18"/>
        <v>0</v>
      </c>
      <c r="P52" s="185"/>
      <c r="Q52" s="185"/>
      <c r="R52" s="185"/>
      <c r="S52" s="19"/>
      <c r="T52" s="19"/>
    </row>
    <row r="53" spans="1:20" s="17" customFormat="1">
      <c r="A53" s="19"/>
      <c r="B53" s="534" t="s">
        <v>189</v>
      </c>
      <c r="C53" s="548">
        <f t="shared" si="20"/>
        <v>0</v>
      </c>
      <c r="D53" s="548">
        <f t="shared" si="20"/>
        <v>0</v>
      </c>
      <c r="E53" s="548">
        <f t="shared" ref="E53:N53" si="22">E49*0.1</f>
        <v>0</v>
      </c>
      <c r="F53" s="548">
        <f t="shared" si="22"/>
        <v>0</v>
      </c>
      <c r="G53" s="548">
        <f t="shared" si="22"/>
        <v>0</v>
      </c>
      <c r="H53" s="548">
        <f t="shared" si="22"/>
        <v>0</v>
      </c>
      <c r="I53" s="548">
        <f t="shared" si="22"/>
        <v>0</v>
      </c>
      <c r="J53" s="548">
        <f t="shared" si="22"/>
        <v>0</v>
      </c>
      <c r="K53" s="548">
        <f t="shared" si="22"/>
        <v>0</v>
      </c>
      <c r="L53" s="548">
        <f t="shared" si="22"/>
        <v>0</v>
      </c>
      <c r="M53" s="548">
        <f t="shared" si="22"/>
        <v>0</v>
      </c>
      <c r="N53" s="548">
        <f t="shared" si="22"/>
        <v>0</v>
      </c>
      <c r="O53" s="547">
        <f t="shared" si="18"/>
        <v>0</v>
      </c>
      <c r="P53" s="185"/>
      <c r="Q53" s="185"/>
      <c r="R53" s="185"/>
      <c r="S53" s="19"/>
      <c r="T53" s="19"/>
    </row>
    <row r="54" spans="1:20" s="17" customFormat="1">
      <c r="A54" s="19"/>
      <c r="B54" s="534" t="s">
        <v>974</v>
      </c>
      <c r="C54" s="548">
        <f t="shared" si="20"/>
        <v>0</v>
      </c>
      <c r="D54" s="548">
        <f t="shared" si="20"/>
        <v>0</v>
      </c>
      <c r="E54" s="548">
        <f t="shared" ref="E54:N54" si="23">E50*0.1</f>
        <v>0</v>
      </c>
      <c r="F54" s="548">
        <f t="shared" si="23"/>
        <v>0</v>
      </c>
      <c r="G54" s="548">
        <f t="shared" si="23"/>
        <v>0</v>
      </c>
      <c r="H54" s="548">
        <f t="shared" si="23"/>
        <v>0</v>
      </c>
      <c r="I54" s="548">
        <f t="shared" si="23"/>
        <v>0</v>
      </c>
      <c r="J54" s="548">
        <f t="shared" si="23"/>
        <v>0</v>
      </c>
      <c r="K54" s="548">
        <f t="shared" si="23"/>
        <v>0</v>
      </c>
      <c r="L54" s="548">
        <f t="shared" si="23"/>
        <v>0</v>
      </c>
      <c r="M54" s="548">
        <f t="shared" si="23"/>
        <v>0</v>
      </c>
      <c r="N54" s="548">
        <f t="shared" si="23"/>
        <v>0</v>
      </c>
      <c r="O54" s="547">
        <f t="shared" si="18"/>
        <v>0</v>
      </c>
      <c r="P54" s="185"/>
      <c r="Q54" s="185"/>
      <c r="R54" s="185"/>
      <c r="S54" s="19"/>
      <c r="T54" s="19"/>
    </row>
    <row r="55" spans="1:20" s="17" customFormat="1" ht="15.75" thickBot="1">
      <c r="A55" s="19"/>
      <c r="B55" s="549" t="s">
        <v>975</v>
      </c>
      <c r="C55" s="558">
        <f t="shared" si="20"/>
        <v>0</v>
      </c>
      <c r="D55" s="558">
        <f t="shared" si="20"/>
        <v>0</v>
      </c>
      <c r="E55" s="558">
        <f t="shared" ref="E55:N55" si="24">E51*0.1</f>
        <v>0</v>
      </c>
      <c r="F55" s="558">
        <f t="shared" si="24"/>
        <v>0</v>
      </c>
      <c r="G55" s="558">
        <f t="shared" si="24"/>
        <v>0</v>
      </c>
      <c r="H55" s="558">
        <f t="shared" si="24"/>
        <v>0</v>
      </c>
      <c r="I55" s="558">
        <f t="shared" si="24"/>
        <v>0</v>
      </c>
      <c r="J55" s="558">
        <f t="shared" si="24"/>
        <v>0</v>
      </c>
      <c r="K55" s="558">
        <f t="shared" si="24"/>
        <v>0</v>
      </c>
      <c r="L55" s="558">
        <f t="shared" si="24"/>
        <v>0</v>
      </c>
      <c r="M55" s="558">
        <f t="shared" si="24"/>
        <v>0</v>
      </c>
      <c r="N55" s="558">
        <f t="shared" si="24"/>
        <v>0</v>
      </c>
      <c r="O55" s="559">
        <f t="shared" si="18"/>
        <v>0</v>
      </c>
      <c r="P55" s="185"/>
      <c r="Q55" s="185"/>
      <c r="R55" s="185"/>
      <c r="S55" s="19"/>
      <c r="T55" s="19"/>
    </row>
    <row r="56" spans="1:20" s="17" customFormat="1">
      <c r="A56" s="19"/>
      <c r="B56" s="551"/>
      <c r="C56" s="551"/>
      <c r="D56" s="551"/>
      <c r="E56" s="551"/>
      <c r="F56" s="551"/>
      <c r="G56" s="551"/>
      <c r="H56" s="551"/>
      <c r="I56" s="551"/>
      <c r="J56" s="551"/>
      <c r="K56" s="551"/>
      <c r="L56" s="551"/>
      <c r="M56" s="551"/>
      <c r="N56" s="551"/>
      <c r="O56" s="551"/>
      <c r="P56" s="185"/>
      <c r="Q56" s="185"/>
      <c r="R56" s="185"/>
      <c r="S56" s="19"/>
      <c r="T56" s="19"/>
    </row>
    <row r="57" spans="1:20" s="17" customFormat="1" ht="15.75" thickBo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53"/>
      <c r="P57" s="185"/>
      <c r="Q57" s="185"/>
      <c r="R57" s="185"/>
      <c r="S57" s="19"/>
      <c r="T57" s="19"/>
    </row>
    <row r="58" spans="1:20" s="17" customFormat="1" ht="15.75">
      <c r="A58" s="19"/>
      <c r="B58" s="875" t="s">
        <v>1002</v>
      </c>
      <c r="C58" s="876"/>
      <c r="D58" s="876"/>
      <c r="E58" s="876"/>
      <c r="F58" s="876"/>
      <c r="G58" s="876"/>
      <c r="H58" s="876"/>
      <c r="I58" s="876"/>
      <c r="J58" s="876"/>
      <c r="K58" s="876"/>
      <c r="L58" s="876"/>
      <c r="M58" s="876"/>
      <c r="N58" s="876"/>
      <c r="O58" s="877"/>
      <c r="P58" s="185"/>
      <c r="Q58" s="185"/>
      <c r="R58" s="185"/>
      <c r="S58" s="19"/>
      <c r="T58" s="19"/>
    </row>
    <row r="59" spans="1:20" s="17" customFormat="1">
      <c r="A59" s="19"/>
      <c r="B59" s="530" t="s">
        <v>195</v>
      </c>
      <c r="C59" s="531"/>
      <c r="D59" s="531"/>
      <c r="E59" s="531"/>
      <c r="F59" s="531"/>
      <c r="G59" s="531"/>
      <c r="H59" s="531"/>
      <c r="I59" s="531"/>
      <c r="J59" s="531"/>
      <c r="K59" s="532"/>
      <c r="L59" s="532"/>
      <c r="M59" s="532"/>
      <c r="N59" s="532"/>
      <c r="O59" s="878" t="s">
        <v>131</v>
      </c>
      <c r="P59" s="185"/>
      <c r="Q59" s="185"/>
      <c r="R59" s="185"/>
      <c r="S59" s="19"/>
      <c r="T59" s="19"/>
    </row>
    <row r="60" spans="1:20" s="17" customFormat="1">
      <c r="A60" s="19"/>
      <c r="B60" s="530" t="s">
        <v>210</v>
      </c>
      <c r="C60" s="532"/>
      <c r="D60" s="532"/>
      <c r="E60" s="532"/>
      <c r="F60" s="532"/>
      <c r="G60" s="532"/>
      <c r="H60" s="532"/>
      <c r="I60" s="532"/>
      <c r="J60" s="532"/>
      <c r="K60" s="532"/>
      <c r="L60" s="532"/>
      <c r="M60" s="532"/>
      <c r="N60" s="532"/>
      <c r="O60" s="878"/>
      <c r="P60" s="185"/>
      <c r="Q60" s="185"/>
      <c r="R60" s="185"/>
      <c r="S60" s="19"/>
      <c r="T60" s="19"/>
    </row>
    <row r="61" spans="1:20" s="17" customFormat="1">
      <c r="A61" s="19"/>
      <c r="B61" s="530" t="s">
        <v>970</v>
      </c>
      <c r="C61" s="532"/>
      <c r="D61" s="532"/>
      <c r="E61" s="532"/>
      <c r="F61" s="532"/>
      <c r="G61" s="532"/>
      <c r="H61" s="532"/>
      <c r="I61" s="532"/>
      <c r="J61" s="532"/>
      <c r="K61" s="532"/>
      <c r="L61" s="532"/>
      <c r="M61" s="532"/>
      <c r="N61" s="532"/>
      <c r="O61" s="533"/>
      <c r="P61" s="185"/>
      <c r="Q61" s="185"/>
      <c r="R61" s="185"/>
      <c r="S61" s="19"/>
      <c r="T61" s="19"/>
    </row>
    <row r="62" spans="1:20" s="17" customFormat="1">
      <c r="A62" s="19"/>
      <c r="B62" s="530" t="s">
        <v>971</v>
      </c>
      <c r="C62" s="532"/>
      <c r="D62" s="532"/>
      <c r="E62" s="532"/>
      <c r="F62" s="532"/>
      <c r="G62" s="532"/>
      <c r="H62" s="532"/>
      <c r="I62" s="532"/>
      <c r="J62" s="532"/>
      <c r="K62" s="532"/>
      <c r="L62" s="532"/>
      <c r="M62" s="532"/>
      <c r="N62" s="532"/>
      <c r="O62" s="533"/>
      <c r="P62" s="185"/>
      <c r="Q62" s="185"/>
      <c r="R62" s="185"/>
      <c r="S62" s="19"/>
      <c r="T62" s="19"/>
    </row>
    <row r="63" spans="1:20" s="17" customFormat="1">
      <c r="A63" s="19"/>
      <c r="B63" s="534" t="s">
        <v>186</v>
      </c>
      <c r="C63" s="535"/>
      <c r="D63" s="536"/>
      <c r="E63" s="537"/>
      <c r="F63" s="537"/>
      <c r="G63" s="537"/>
      <c r="H63" s="537"/>
      <c r="I63" s="537"/>
      <c r="J63" s="537"/>
      <c r="K63" s="537"/>
      <c r="L63" s="537"/>
      <c r="M63" s="537"/>
      <c r="N63" s="537"/>
      <c r="O63" s="552">
        <f>SUM(C63:N63)</f>
        <v>0</v>
      </c>
      <c r="P63" s="185"/>
      <c r="Q63" s="185"/>
      <c r="R63" s="185"/>
      <c r="S63" s="19"/>
      <c r="T63" s="19"/>
    </row>
    <row r="64" spans="1:20" s="17" customFormat="1">
      <c r="A64" s="19"/>
      <c r="B64" s="534" t="s">
        <v>907</v>
      </c>
      <c r="C64" s="538"/>
      <c r="D64" s="538"/>
      <c r="E64" s="539"/>
      <c r="F64" s="539"/>
      <c r="G64" s="539"/>
      <c r="H64" s="539"/>
      <c r="I64" s="539"/>
      <c r="J64" s="539"/>
      <c r="K64" s="539"/>
      <c r="L64" s="539"/>
      <c r="M64" s="539"/>
      <c r="N64" s="539"/>
      <c r="O64" s="553"/>
      <c r="P64" s="185"/>
      <c r="Q64" s="185"/>
      <c r="R64" s="185"/>
      <c r="S64" s="19"/>
      <c r="T64" s="19"/>
    </row>
    <row r="65" spans="1:20" s="17" customFormat="1">
      <c r="A65" s="19"/>
      <c r="B65" s="530" t="s">
        <v>932</v>
      </c>
      <c r="C65" s="540"/>
      <c r="D65" s="540"/>
      <c r="E65" s="541"/>
      <c r="F65" s="541"/>
      <c r="G65" s="541"/>
      <c r="H65" s="541"/>
      <c r="I65" s="541"/>
      <c r="J65" s="541"/>
      <c r="K65" s="541"/>
      <c r="L65" s="541"/>
      <c r="M65" s="541"/>
      <c r="N65" s="541"/>
      <c r="O65" s="554">
        <f t="shared" ref="O65:O70" si="25">SUM(C65:N65)</f>
        <v>0</v>
      </c>
      <c r="P65" s="185"/>
      <c r="Q65" s="185"/>
      <c r="R65" s="185"/>
      <c r="S65" s="19"/>
      <c r="T65" s="19"/>
    </row>
    <row r="66" spans="1:20" s="17" customFormat="1">
      <c r="A66" s="19"/>
      <c r="B66" s="534" t="s">
        <v>185</v>
      </c>
      <c r="C66" s="542">
        <f>C63*(C64)*(1-C65)</f>
        <v>0</v>
      </c>
      <c r="D66" s="542">
        <f t="shared" ref="D66:N66" si="26">D63*(D64)*(1-D65)</f>
        <v>0</v>
      </c>
      <c r="E66" s="542">
        <f t="shared" si="26"/>
        <v>0</v>
      </c>
      <c r="F66" s="542">
        <f t="shared" si="26"/>
        <v>0</v>
      </c>
      <c r="G66" s="542">
        <f t="shared" si="26"/>
        <v>0</v>
      </c>
      <c r="H66" s="542">
        <f t="shared" si="26"/>
        <v>0</v>
      </c>
      <c r="I66" s="542">
        <f t="shared" si="26"/>
        <v>0</v>
      </c>
      <c r="J66" s="542">
        <f t="shared" si="26"/>
        <v>0</v>
      </c>
      <c r="K66" s="542">
        <f t="shared" si="26"/>
        <v>0</v>
      </c>
      <c r="L66" s="542">
        <f t="shared" si="26"/>
        <v>0</v>
      </c>
      <c r="M66" s="542">
        <f t="shared" si="26"/>
        <v>0</v>
      </c>
      <c r="N66" s="542">
        <f t="shared" si="26"/>
        <v>0</v>
      </c>
      <c r="O66" s="555">
        <f t="shared" si="25"/>
        <v>0</v>
      </c>
      <c r="P66" s="185"/>
      <c r="Q66" s="185"/>
      <c r="R66" s="185"/>
      <c r="S66" s="19"/>
      <c r="T66" s="19"/>
    </row>
    <row r="67" spans="1:20">
      <c r="B67" s="534" t="s">
        <v>187</v>
      </c>
      <c r="C67" s="543"/>
      <c r="D67" s="544"/>
      <c r="E67" s="544"/>
      <c r="F67" s="544"/>
      <c r="G67" s="544"/>
      <c r="H67" s="544"/>
      <c r="I67" s="544"/>
      <c r="J67" s="544"/>
      <c r="K67" s="544"/>
      <c r="L67" s="544"/>
      <c r="M67" s="544"/>
      <c r="N67" s="544"/>
      <c r="O67" s="556">
        <f t="shared" si="25"/>
        <v>0</v>
      </c>
    </row>
    <row r="68" spans="1:20">
      <c r="B68" s="534" t="s">
        <v>152</v>
      </c>
      <c r="C68" s="545">
        <f>C67*0.25*C64</f>
        <v>0</v>
      </c>
      <c r="D68" s="545">
        <f>D67*0.25*D64</f>
        <v>0</v>
      </c>
      <c r="E68" s="545">
        <f t="shared" ref="E68:N68" si="27">E67*0.25*E64</f>
        <v>0</v>
      </c>
      <c r="F68" s="545">
        <f t="shared" si="27"/>
        <v>0</v>
      </c>
      <c r="G68" s="545">
        <f t="shared" si="27"/>
        <v>0</v>
      </c>
      <c r="H68" s="545">
        <f t="shared" si="27"/>
        <v>0</v>
      </c>
      <c r="I68" s="545">
        <f t="shared" si="27"/>
        <v>0</v>
      </c>
      <c r="J68" s="545">
        <f t="shared" si="27"/>
        <v>0</v>
      </c>
      <c r="K68" s="545">
        <f t="shared" si="27"/>
        <v>0</v>
      </c>
      <c r="L68" s="545">
        <f t="shared" si="27"/>
        <v>0</v>
      </c>
      <c r="M68" s="545">
        <f t="shared" si="27"/>
        <v>0</v>
      </c>
      <c r="N68" s="545">
        <f t="shared" si="27"/>
        <v>0</v>
      </c>
      <c r="O68" s="557">
        <f t="shared" si="25"/>
        <v>0</v>
      </c>
    </row>
    <row r="69" spans="1:20">
      <c r="B69" s="530" t="s">
        <v>191</v>
      </c>
      <c r="C69" s="546">
        <f>C67*C59/1000000</f>
        <v>0</v>
      </c>
      <c r="D69" s="546">
        <f>D67*D59/1000000</f>
        <v>0</v>
      </c>
      <c r="E69" s="546">
        <f t="shared" ref="E69:N69" si="28">E67*E59/1000000</f>
        <v>0</v>
      </c>
      <c r="F69" s="546">
        <f t="shared" si="28"/>
        <v>0</v>
      </c>
      <c r="G69" s="546">
        <f t="shared" si="28"/>
        <v>0</v>
      </c>
      <c r="H69" s="546">
        <f t="shared" si="28"/>
        <v>0</v>
      </c>
      <c r="I69" s="546">
        <f t="shared" si="28"/>
        <v>0</v>
      </c>
      <c r="J69" s="546">
        <f t="shared" si="28"/>
        <v>0</v>
      </c>
      <c r="K69" s="546">
        <f t="shared" si="28"/>
        <v>0</v>
      </c>
      <c r="L69" s="546">
        <f t="shared" si="28"/>
        <v>0</v>
      </c>
      <c r="M69" s="546">
        <f t="shared" si="28"/>
        <v>0</v>
      </c>
      <c r="N69" s="546">
        <f t="shared" si="28"/>
        <v>0</v>
      </c>
      <c r="O69" s="547">
        <f t="shared" si="25"/>
        <v>0</v>
      </c>
    </row>
    <row r="70" spans="1:20">
      <c r="B70" s="534" t="s">
        <v>192</v>
      </c>
      <c r="C70" s="546">
        <f>C67*C60/1000000</f>
        <v>0</v>
      </c>
      <c r="D70" s="546">
        <f>D67*D60/1000000</f>
        <v>0</v>
      </c>
      <c r="E70" s="546">
        <f t="shared" ref="E70:N70" si="29">E67*E60/1000000</f>
        <v>0</v>
      </c>
      <c r="F70" s="546">
        <f t="shared" si="29"/>
        <v>0</v>
      </c>
      <c r="G70" s="546">
        <f t="shared" si="29"/>
        <v>0</v>
      </c>
      <c r="H70" s="546">
        <f t="shared" si="29"/>
        <v>0</v>
      </c>
      <c r="I70" s="546">
        <f t="shared" si="29"/>
        <v>0</v>
      </c>
      <c r="J70" s="546">
        <f t="shared" si="29"/>
        <v>0</v>
      </c>
      <c r="K70" s="546">
        <f t="shared" si="29"/>
        <v>0</v>
      </c>
      <c r="L70" s="546">
        <f t="shared" si="29"/>
        <v>0</v>
      </c>
      <c r="M70" s="546">
        <f t="shared" si="29"/>
        <v>0</v>
      </c>
      <c r="N70" s="546">
        <f t="shared" si="29"/>
        <v>0</v>
      </c>
      <c r="O70" s="547">
        <f t="shared" si="25"/>
        <v>0</v>
      </c>
    </row>
    <row r="71" spans="1:20">
      <c r="B71" s="534" t="s">
        <v>972</v>
      </c>
      <c r="C71" s="546">
        <f>C67*C61/1000000</f>
        <v>0</v>
      </c>
      <c r="D71" s="546">
        <f>D67*D61/1000000</f>
        <v>0</v>
      </c>
      <c r="E71" s="546">
        <f t="shared" ref="E71:N71" si="30">E67*E61/1000000</f>
        <v>0</v>
      </c>
      <c r="F71" s="546">
        <f t="shared" si="30"/>
        <v>0</v>
      </c>
      <c r="G71" s="546">
        <f t="shared" si="30"/>
        <v>0</v>
      </c>
      <c r="H71" s="546">
        <f t="shared" si="30"/>
        <v>0</v>
      </c>
      <c r="I71" s="546">
        <f t="shared" si="30"/>
        <v>0</v>
      </c>
      <c r="J71" s="546">
        <f t="shared" si="30"/>
        <v>0</v>
      </c>
      <c r="K71" s="546">
        <f t="shared" si="30"/>
        <v>0</v>
      </c>
      <c r="L71" s="546">
        <f t="shared" si="30"/>
        <v>0</v>
      </c>
      <c r="M71" s="546">
        <f t="shared" si="30"/>
        <v>0</v>
      </c>
      <c r="N71" s="546">
        <f t="shared" si="30"/>
        <v>0</v>
      </c>
      <c r="O71" s="547">
        <f t="shared" ref="O71:O76" si="31">SUM(C71:N71)</f>
        <v>0</v>
      </c>
    </row>
    <row r="72" spans="1:20">
      <c r="B72" s="534" t="s">
        <v>973</v>
      </c>
      <c r="C72" s="546">
        <f>C67*C62/1000000</f>
        <v>0</v>
      </c>
      <c r="D72" s="546">
        <f>D67*D62/1000000</f>
        <v>0</v>
      </c>
      <c r="E72" s="546">
        <f t="shared" ref="E72:N72" si="32">E67*E62/1000000</f>
        <v>0</v>
      </c>
      <c r="F72" s="546">
        <f t="shared" si="32"/>
        <v>0</v>
      </c>
      <c r="G72" s="546">
        <f t="shared" si="32"/>
        <v>0</v>
      </c>
      <c r="H72" s="546">
        <f t="shared" si="32"/>
        <v>0</v>
      </c>
      <c r="I72" s="546">
        <f t="shared" si="32"/>
        <v>0</v>
      </c>
      <c r="J72" s="546">
        <f t="shared" si="32"/>
        <v>0</v>
      </c>
      <c r="K72" s="546">
        <f t="shared" si="32"/>
        <v>0</v>
      </c>
      <c r="L72" s="546">
        <f t="shared" si="32"/>
        <v>0</v>
      </c>
      <c r="M72" s="546">
        <f t="shared" si="32"/>
        <v>0</v>
      </c>
      <c r="N72" s="546">
        <f t="shared" si="32"/>
        <v>0</v>
      </c>
      <c r="O72" s="547">
        <f t="shared" si="31"/>
        <v>0</v>
      </c>
    </row>
    <row r="73" spans="1:20">
      <c r="B73" s="534" t="s">
        <v>190</v>
      </c>
      <c r="C73" s="548">
        <f t="shared" ref="C73:D76" si="33">C69*0.1</f>
        <v>0</v>
      </c>
      <c r="D73" s="548">
        <f t="shared" si="33"/>
        <v>0</v>
      </c>
      <c r="E73" s="548">
        <f t="shared" ref="E73:N73" si="34">E69*0.1</f>
        <v>0</v>
      </c>
      <c r="F73" s="548">
        <f t="shared" si="34"/>
        <v>0</v>
      </c>
      <c r="G73" s="548">
        <f t="shared" si="34"/>
        <v>0</v>
      </c>
      <c r="H73" s="548">
        <f t="shared" si="34"/>
        <v>0</v>
      </c>
      <c r="I73" s="548">
        <f t="shared" si="34"/>
        <v>0</v>
      </c>
      <c r="J73" s="548">
        <f t="shared" si="34"/>
        <v>0</v>
      </c>
      <c r="K73" s="548">
        <f t="shared" si="34"/>
        <v>0</v>
      </c>
      <c r="L73" s="548">
        <f t="shared" si="34"/>
        <v>0</v>
      </c>
      <c r="M73" s="548">
        <f t="shared" si="34"/>
        <v>0</v>
      </c>
      <c r="N73" s="548">
        <f t="shared" si="34"/>
        <v>0</v>
      </c>
      <c r="O73" s="547">
        <f t="shared" si="31"/>
        <v>0</v>
      </c>
    </row>
    <row r="74" spans="1:20">
      <c r="B74" s="534" t="s">
        <v>189</v>
      </c>
      <c r="C74" s="548">
        <f t="shared" si="33"/>
        <v>0</v>
      </c>
      <c r="D74" s="548">
        <f t="shared" si="33"/>
        <v>0</v>
      </c>
      <c r="E74" s="548">
        <f t="shared" ref="E74:N74" si="35">E70*0.1</f>
        <v>0</v>
      </c>
      <c r="F74" s="548">
        <f t="shared" si="35"/>
        <v>0</v>
      </c>
      <c r="G74" s="548">
        <f t="shared" si="35"/>
        <v>0</v>
      </c>
      <c r="H74" s="548">
        <f t="shared" si="35"/>
        <v>0</v>
      </c>
      <c r="I74" s="548">
        <f t="shared" si="35"/>
        <v>0</v>
      </c>
      <c r="J74" s="548">
        <f t="shared" si="35"/>
        <v>0</v>
      </c>
      <c r="K74" s="548">
        <f t="shared" si="35"/>
        <v>0</v>
      </c>
      <c r="L74" s="548">
        <f t="shared" si="35"/>
        <v>0</v>
      </c>
      <c r="M74" s="548">
        <f t="shared" si="35"/>
        <v>0</v>
      </c>
      <c r="N74" s="548">
        <f t="shared" si="35"/>
        <v>0</v>
      </c>
      <c r="O74" s="547">
        <f t="shared" si="31"/>
        <v>0</v>
      </c>
    </row>
    <row r="75" spans="1:20">
      <c r="B75" s="534" t="s">
        <v>974</v>
      </c>
      <c r="C75" s="548">
        <f t="shared" si="33"/>
        <v>0</v>
      </c>
      <c r="D75" s="548">
        <f t="shared" si="33"/>
        <v>0</v>
      </c>
      <c r="E75" s="548">
        <f t="shared" ref="E75:N75" si="36">E71*0.1</f>
        <v>0</v>
      </c>
      <c r="F75" s="548">
        <f t="shared" si="36"/>
        <v>0</v>
      </c>
      <c r="G75" s="548">
        <f t="shared" si="36"/>
        <v>0</v>
      </c>
      <c r="H75" s="548">
        <f t="shared" si="36"/>
        <v>0</v>
      </c>
      <c r="I75" s="548">
        <f t="shared" si="36"/>
        <v>0</v>
      </c>
      <c r="J75" s="548">
        <f t="shared" si="36"/>
        <v>0</v>
      </c>
      <c r="K75" s="548">
        <f t="shared" si="36"/>
        <v>0</v>
      </c>
      <c r="L75" s="548">
        <f t="shared" si="36"/>
        <v>0</v>
      </c>
      <c r="M75" s="548">
        <f t="shared" si="36"/>
        <v>0</v>
      </c>
      <c r="N75" s="548">
        <f t="shared" si="36"/>
        <v>0</v>
      </c>
      <c r="O75" s="547">
        <f t="shared" si="31"/>
        <v>0</v>
      </c>
    </row>
    <row r="76" spans="1:20" ht="15.75" thickBot="1">
      <c r="B76" s="549" t="s">
        <v>975</v>
      </c>
      <c r="C76" s="558">
        <f t="shared" si="33"/>
        <v>0</v>
      </c>
      <c r="D76" s="558">
        <f t="shared" si="33"/>
        <v>0</v>
      </c>
      <c r="E76" s="558">
        <f t="shared" ref="E76:N76" si="37">E72*0.1</f>
        <v>0</v>
      </c>
      <c r="F76" s="558">
        <f t="shared" si="37"/>
        <v>0</v>
      </c>
      <c r="G76" s="558">
        <f t="shared" si="37"/>
        <v>0</v>
      </c>
      <c r="H76" s="558">
        <f t="shared" si="37"/>
        <v>0</v>
      </c>
      <c r="I76" s="558">
        <f t="shared" si="37"/>
        <v>0</v>
      </c>
      <c r="J76" s="558">
        <f t="shared" si="37"/>
        <v>0</v>
      </c>
      <c r="K76" s="558">
        <f t="shared" si="37"/>
        <v>0</v>
      </c>
      <c r="L76" s="558">
        <f t="shared" si="37"/>
        <v>0</v>
      </c>
      <c r="M76" s="558">
        <f t="shared" si="37"/>
        <v>0</v>
      </c>
      <c r="N76" s="558">
        <f t="shared" si="37"/>
        <v>0</v>
      </c>
      <c r="O76" s="559">
        <f t="shared" si="31"/>
        <v>0</v>
      </c>
    </row>
  </sheetData>
  <sheetProtection selectLockedCells="1"/>
  <dataConsolidate/>
  <mergeCells count="29">
    <mergeCell ref="Q15:R15"/>
    <mergeCell ref="Q16:R16"/>
    <mergeCell ref="P12:R12"/>
    <mergeCell ref="B17:O17"/>
    <mergeCell ref="J11:K11"/>
    <mergeCell ref="J13:L13"/>
    <mergeCell ref="D15:E15"/>
    <mergeCell ref="N16:O16"/>
    <mergeCell ref="N15:O15"/>
    <mergeCell ref="J12:K12"/>
    <mergeCell ref="G13:G16"/>
    <mergeCell ref="H12:I12"/>
    <mergeCell ref="H13:I16"/>
    <mergeCell ref="C12:F13"/>
    <mergeCell ref="C14:F14"/>
    <mergeCell ref="B58:O58"/>
    <mergeCell ref="O59:O60"/>
    <mergeCell ref="N2:O2"/>
    <mergeCell ref="J10:K10"/>
    <mergeCell ref="C3:N3"/>
    <mergeCell ref="J9:K9"/>
    <mergeCell ref="O18:O19"/>
    <mergeCell ref="J14:K14"/>
    <mergeCell ref="G9:I9"/>
    <mergeCell ref="B9:B11"/>
    <mergeCell ref="C9:F11"/>
    <mergeCell ref="B37:O37"/>
    <mergeCell ref="O38:O39"/>
    <mergeCell ref="B12:B13"/>
  </mergeCells>
  <conditionalFormatting sqref="C4:N4">
    <cfRule type="expression" dxfId="511" priority="156">
      <formula>C$5=TRUE</formula>
    </cfRule>
  </conditionalFormatting>
  <conditionalFormatting sqref="C6 C19:C21 D27:N27 F6 F18:J18 D23:N24 F19:F22 F26:F35 C25:N25 C27:C35 D30:N35">
    <cfRule type="expression" dxfId="510" priority="152">
      <formula>C$5=TRUE</formula>
    </cfRule>
  </conditionalFormatting>
  <conditionalFormatting sqref="D6 D19:D21 D25 D27:D35">
    <cfRule type="expression" dxfId="509" priority="151">
      <formula>D$5=TRUE</formula>
    </cfRule>
  </conditionalFormatting>
  <conditionalFormatting sqref="E6 E19:E21 E25 E27:E35">
    <cfRule type="expression" dxfId="508" priority="150">
      <formula>E$5=TRUE</formula>
    </cfRule>
  </conditionalFormatting>
  <conditionalFormatting sqref="G19:G21 G25 G27:G35 G6">
    <cfRule type="expression" dxfId="507" priority="148">
      <formula>G$5=TRUE</formula>
    </cfRule>
  </conditionalFormatting>
  <conditionalFormatting sqref="H19:H21 H25 H27:H35">
    <cfRule type="expression" dxfId="506" priority="147">
      <formula>H$5=TRUE</formula>
    </cfRule>
  </conditionalFormatting>
  <conditionalFormatting sqref="I19:I21 I25 I27:I35">
    <cfRule type="expression" dxfId="505" priority="146">
      <formula>I$5=TRUE</formula>
    </cfRule>
  </conditionalFormatting>
  <conditionalFormatting sqref="J19:J21 J25 J27:J35">
    <cfRule type="expression" dxfId="504" priority="145">
      <formula>J$5=TRUE</formula>
    </cfRule>
  </conditionalFormatting>
  <conditionalFormatting sqref="K18:K22 K25:K35">
    <cfRule type="expression" dxfId="503" priority="144">
      <formula>K$5=TRUE</formula>
    </cfRule>
  </conditionalFormatting>
  <conditionalFormatting sqref="L6 L18:L22 L25:L35">
    <cfRule type="expression" dxfId="502" priority="143">
      <formula>L$5=TRUE</formula>
    </cfRule>
  </conditionalFormatting>
  <conditionalFormatting sqref="M6 M18:M22 M25:M35">
    <cfRule type="expression" dxfId="501" priority="142">
      <formula>M$5=TRUE</formula>
    </cfRule>
  </conditionalFormatting>
  <conditionalFormatting sqref="N84:N89 N92:N94 N97:N101 N104:N110 N113:N115 N18:N22 N25:N35">
    <cfRule type="expression" dxfId="500" priority="141">
      <formula>N$5=TRUE</formula>
    </cfRule>
  </conditionalFormatting>
  <conditionalFormatting sqref="N6">
    <cfRule type="expression" dxfId="499" priority="140">
      <formula>N$5=TRUE</formula>
    </cfRule>
  </conditionalFormatting>
  <conditionalFormatting sqref="C25:O25 C27:O35">
    <cfRule type="cellIs" dxfId="498" priority="135" operator="equal">
      <formula>0</formula>
    </cfRule>
  </conditionalFormatting>
  <conditionalFormatting sqref="C7">
    <cfRule type="expression" dxfId="497" priority="134">
      <formula>$C$8=TRUE</formula>
    </cfRule>
  </conditionalFormatting>
  <conditionalFormatting sqref="C22:C24">
    <cfRule type="expression" dxfId="496" priority="123">
      <formula>C$5=TRUE</formula>
    </cfRule>
  </conditionalFormatting>
  <conditionalFormatting sqref="D22">
    <cfRule type="expression" dxfId="495" priority="122">
      <formula>D$5=TRUE</formula>
    </cfRule>
  </conditionalFormatting>
  <conditionalFormatting sqref="E22">
    <cfRule type="expression" dxfId="494" priority="121">
      <formula>E$5=TRUE</formula>
    </cfRule>
  </conditionalFormatting>
  <conditionalFormatting sqref="G22">
    <cfRule type="expression" dxfId="493" priority="119">
      <formula>G$5=TRUE</formula>
    </cfRule>
  </conditionalFormatting>
  <conditionalFormatting sqref="H22">
    <cfRule type="expression" dxfId="492" priority="118">
      <formula>H$5=TRUE</formula>
    </cfRule>
  </conditionalFormatting>
  <conditionalFormatting sqref="I22">
    <cfRule type="expression" dxfId="491" priority="117">
      <formula>I$5=TRUE</formula>
    </cfRule>
  </conditionalFormatting>
  <conditionalFormatting sqref="J22">
    <cfRule type="expression" dxfId="490" priority="116">
      <formula>J$5=TRUE</formula>
    </cfRule>
  </conditionalFormatting>
  <conditionalFormatting sqref="C26">
    <cfRule type="expression" dxfId="489" priority="115">
      <formula>C$5=TRUE</formula>
    </cfRule>
  </conditionalFormatting>
  <conditionalFormatting sqref="D26">
    <cfRule type="expression" dxfId="488" priority="114">
      <formula>D$5=TRUE</formula>
    </cfRule>
  </conditionalFormatting>
  <conditionalFormatting sqref="E26">
    <cfRule type="expression" dxfId="487" priority="113">
      <formula>E$5=TRUE</formula>
    </cfRule>
  </conditionalFormatting>
  <conditionalFormatting sqref="G26">
    <cfRule type="expression" dxfId="486" priority="111">
      <formula>G$5=TRUE</formula>
    </cfRule>
  </conditionalFormatting>
  <conditionalFormatting sqref="H26">
    <cfRule type="expression" dxfId="485" priority="110">
      <formula>H$5=TRUE</formula>
    </cfRule>
  </conditionalFormatting>
  <conditionalFormatting sqref="I26">
    <cfRule type="expression" dxfId="484" priority="109">
      <formula>I$5=TRUE</formula>
    </cfRule>
  </conditionalFormatting>
  <conditionalFormatting sqref="J26">
    <cfRule type="expression" dxfId="483" priority="108">
      <formula>J$5=TRUE</formula>
    </cfRule>
  </conditionalFormatting>
  <conditionalFormatting sqref="C4:N4">
    <cfRule type="expression" dxfId="482" priority="1080">
      <formula>$P$4=4</formula>
    </cfRule>
    <cfRule type="expression" dxfId="481" priority="1081">
      <formula>$P$4=3</formula>
    </cfRule>
    <cfRule type="expression" dxfId="480" priority="1082">
      <formula>$P$4=0</formula>
    </cfRule>
    <cfRule type="expression" dxfId="479" priority="1083">
      <formula>$P$4=1</formula>
    </cfRule>
    <cfRule type="expression" dxfId="478" priority="1084">
      <formula>$P$4=2</formula>
    </cfRule>
  </conditionalFormatting>
  <conditionalFormatting sqref="H6:K6">
    <cfRule type="expression" dxfId="477" priority="104">
      <formula>H$5=TRUE</formula>
    </cfRule>
  </conditionalFormatting>
  <conditionalFormatting sqref="H7:I7">
    <cfRule type="expression" dxfId="476" priority="103">
      <formula>$E$8=TRUE</formula>
    </cfRule>
  </conditionalFormatting>
  <conditionalFormatting sqref="E7">
    <cfRule type="expression" dxfId="475" priority="102">
      <formula>$E$8=TRUE</formula>
    </cfRule>
  </conditionalFormatting>
  <conditionalFormatting sqref="F7">
    <cfRule type="expression" dxfId="474" priority="101">
      <formula>$F$8=TRUE</formula>
    </cfRule>
  </conditionalFormatting>
  <conditionalFormatting sqref="G7">
    <cfRule type="expression" dxfId="473" priority="100">
      <formula>$G$8=TRUE</formula>
    </cfRule>
  </conditionalFormatting>
  <conditionalFormatting sqref="D7">
    <cfRule type="expression" dxfId="472" priority="99">
      <formula>$D$8=TRUE</formula>
    </cfRule>
  </conditionalFormatting>
  <conditionalFormatting sqref="J7:O7">
    <cfRule type="expression" dxfId="471" priority="98">
      <formula>$E$8=TRUE</formula>
    </cfRule>
  </conditionalFormatting>
  <conditionalFormatting sqref="O22">
    <cfRule type="expression" dxfId="470" priority="97">
      <formula>O$5=TRUE</formula>
    </cfRule>
  </conditionalFormatting>
  <conditionalFormatting sqref="O23">
    <cfRule type="expression" dxfId="469" priority="96">
      <formula>O$5=TRUE</formula>
    </cfRule>
  </conditionalFormatting>
  <conditionalFormatting sqref="O24">
    <cfRule type="expression" dxfId="468" priority="95">
      <formula>O$5=TRUE</formula>
    </cfRule>
  </conditionalFormatting>
  <conditionalFormatting sqref="O25">
    <cfRule type="expression" dxfId="467" priority="94">
      <formula>O$5=TRUE</formula>
    </cfRule>
  </conditionalFormatting>
  <conditionalFormatting sqref="O25">
    <cfRule type="expression" dxfId="466" priority="93">
      <formula>O$5=TRUE</formula>
    </cfRule>
  </conditionalFormatting>
  <conditionalFormatting sqref="O26">
    <cfRule type="expression" dxfId="465" priority="92">
      <formula>O$5=TRUE</formula>
    </cfRule>
  </conditionalFormatting>
  <conditionalFormatting sqref="O27">
    <cfRule type="expression" dxfId="464" priority="91">
      <formula>O$5=TRUE</formula>
    </cfRule>
  </conditionalFormatting>
  <conditionalFormatting sqref="O27">
    <cfRule type="expression" dxfId="463" priority="90">
      <formula>O$5=TRUE</formula>
    </cfRule>
  </conditionalFormatting>
  <conditionalFormatting sqref="C39:C41 F38:J38 D43:N44 F39:F42 F46 F48:F55 C45:N45 C47:C55 D47:N47 D50:N55">
    <cfRule type="expression" dxfId="462" priority="89">
      <formula>C$5=TRUE</formula>
    </cfRule>
  </conditionalFormatting>
  <conditionalFormatting sqref="D39:D41 D45 D47:N55">
    <cfRule type="expression" dxfId="461" priority="88">
      <formula>D$5=TRUE</formula>
    </cfRule>
  </conditionalFormatting>
  <conditionalFormatting sqref="E39:E41 E45 E47:E55">
    <cfRule type="expression" dxfId="460" priority="87">
      <formula>E$5=TRUE</formula>
    </cfRule>
  </conditionalFormatting>
  <conditionalFormatting sqref="G39:G41 G45 G47:G55">
    <cfRule type="expression" dxfId="459" priority="86">
      <formula>G$5=TRUE</formula>
    </cfRule>
  </conditionalFormatting>
  <conditionalFormatting sqref="H39:H41 H45 H47:H55">
    <cfRule type="expression" dxfId="458" priority="85">
      <formula>H$5=TRUE</formula>
    </cfRule>
  </conditionalFormatting>
  <conditionalFormatting sqref="I39:I41 I45 I47:I55">
    <cfRule type="expression" dxfId="457" priority="84">
      <formula>I$5=TRUE</formula>
    </cfRule>
  </conditionalFormatting>
  <conditionalFormatting sqref="J39:J41 J45 J47:J55">
    <cfRule type="expression" dxfId="456" priority="83">
      <formula>J$5=TRUE</formula>
    </cfRule>
  </conditionalFormatting>
  <conditionalFormatting sqref="K38:K42 K45:K55">
    <cfRule type="expression" dxfId="455" priority="82">
      <formula>K$5=TRUE</formula>
    </cfRule>
  </conditionalFormatting>
  <conditionalFormatting sqref="L38:L42 L45:L55">
    <cfRule type="expression" dxfId="454" priority="81">
      <formula>L$5=TRUE</formula>
    </cfRule>
  </conditionalFormatting>
  <conditionalFormatting sqref="M38:M42 M45:M55">
    <cfRule type="expression" dxfId="453" priority="80">
      <formula>M$5=TRUE</formula>
    </cfRule>
  </conditionalFormatting>
  <conditionalFormatting sqref="N38:N42 N45:N55">
    <cfRule type="expression" dxfId="452" priority="79">
      <formula>N$5=TRUE</formula>
    </cfRule>
  </conditionalFormatting>
  <conditionalFormatting sqref="C45:O45 C47:O55">
    <cfRule type="cellIs" dxfId="451" priority="78" operator="equal">
      <formula>0</formula>
    </cfRule>
  </conditionalFormatting>
  <conditionalFormatting sqref="C42:C44">
    <cfRule type="expression" dxfId="450" priority="76">
      <formula>C$5=TRUE</formula>
    </cfRule>
  </conditionalFormatting>
  <conditionalFormatting sqref="D42">
    <cfRule type="expression" dxfId="449" priority="75">
      <formula>D$5=TRUE</formula>
    </cfRule>
  </conditionalFormatting>
  <conditionalFormatting sqref="E42">
    <cfRule type="expression" dxfId="448" priority="74">
      <formula>E$5=TRUE</formula>
    </cfRule>
  </conditionalFormatting>
  <conditionalFormatting sqref="G42">
    <cfRule type="expression" dxfId="447" priority="73">
      <formula>G$5=TRUE</formula>
    </cfRule>
  </conditionalFormatting>
  <conditionalFormatting sqref="H42">
    <cfRule type="expression" dxfId="446" priority="72">
      <formula>H$5=TRUE</formula>
    </cfRule>
  </conditionalFormatting>
  <conditionalFormatting sqref="I42">
    <cfRule type="expression" dxfId="445" priority="71">
      <formula>I$5=TRUE</formula>
    </cfRule>
  </conditionalFormatting>
  <conditionalFormatting sqref="J42">
    <cfRule type="expression" dxfId="444" priority="70">
      <formula>J$5=TRUE</formula>
    </cfRule>
  </conditionalFormatting>
  <conditionalFormatting sqref="C46">
    <cfRule type="expression" dxfId="443" priority="69">
      <formula>C$5=TRUE</formula>
    </cfRule>
  </conditionalFormatting>
  <conditionalFormatting sqref="D46">
    <cfRule type="expression" dxfId="442" priority="68">
      <formula>D$5=TRUE</formula>
    </cfRule>
  </conditionalFormatting>
  <conditionalFormatting sqref="E46">
    <cfRule type="expression" dxfId="441" priority="67">
      <formula>E$5=TRUE</formula>
    </cfRule>
  </conditionalFormatting>
  <conditionalFormatting sqref="G46">
    <cfRule type="expression" dxfId="440" priority="66">
      <formula>G$5=TRUE</formula>
    </cfRule>
  </conditionalFormatting>
  <conditionalFormatting sqref="H46">
    <cfRule type="expression" dxfId="439" priority="65">
      <formula>H$5=TRUE</formula>
    </cfRule>
  </conditionalFormatting>
  <conditionalFormatting sqref="I46">
    <cfRule type="expression" dxfId="438" priority="64">
      <formula>I$5=TRUE</formula>
    </cfRule>
  </conditionalFormatting>
  <conditionalFormatting sqref="J46">
    <cfRule type="expression" dxfId="437" priority="63">
      <formula>J$5=TRUE</formula>
    </cfRule>
  </conditionalFormatting>
  <conditionalFormatting sqref="O42">
    <cfRule type="expression" dxfId="436" priority="62">
      <formula>O$5=TRUE</formula>
    </cfRule>
  </conditionalFormatting>
  <conditionalFormatting sqref="O43">
    <cfRule type="expression" dxfId="435" priority="61">
      <formula>O$5=TRUE</formula>
    </cfRule>
  </conditionalFormatting>
  <conditionalFormatting sqref="O44">
    <cfRule type="expression" dxfId="434" priority="60">
      <formula>O$5=TRUE</formula>
    </cfRule>
  </conditionalFormatting>
  <conditionalFormatting sqref="O45">
    <cfRule type="expression" dxfId="433" priority="59">
      <formula>O$5=TRUE</formula>
    </cfRule>
  </conditionalFormatting>
  <conditionalFormatting sqref="O45">
    <cfRule type="expression" dxfId="432" priority="58">
      <formula>O$5=TRUE</formula>
    </cfRule>
  </conditionalFormatting>
  <conditionalFormatting sqref="O46">
    <cfRule type="expression" dxfId="431" priority="57">
      <formula>O$5=TRUE</formula>
    </cfRule>
  </conditionalFormatting>
  <conditionalFormatting sqref="O47">
    <cfRule type="expression" dxfId="430" priority="56">
      <formula>O$5=TRUE</formula>
    </cfRule>
  </conditionalFormatting>
  <conditionalFormatting sqref="O47">
    <cfRule type="expression" dxfId="429" priority="55">
      <formula>O$5=TRUE</formula>
    </cfRule>
  </conditionalFormatting>
  <conditionalFormatting sqref="C60:C62 F59:J59 D64:N65 F60:F63 F67 F69:F76 C68:C76 D68:N68 D71:N76 C66:N66">
    <cfRule type="expression" dxfId="428" priority="54">
      <formula>C$5=TRUE</formula>
    </cfRule>
  </conditionalFormatting>
  <conditionalFormatting sqref="D60:D62 D68:N76 D66:N66">
    <cfRule type="expression" dxfId="427" priority="53">
      <formula>D$5=TRUE</formula>
    </cfRule>
  </conditionalFormatting>
  <conditionalFormatting sqref="E60:E62 E66 E68:E76">
    <cfRule type="expression" dxfId="426" priority="52">
      <formula>E$5=TRUE</formula>
    </cfRule>
  </conditionalFormatting>
  <conditionalFormatting sqref="G60:G62 G66 G68:G76">
    <cfRule type="expression" dxfId="425" priority="51">
      <formula>G$5=TRUE</formula>
    </cfRule>
  </conditionalFormatting>
  <conditionalFormatting sqref="H60:H62 H66 H68:H76">
    <cfRule type="expression" dxfId="424" priority="50">
      <formula>H$5=TRUE</formula>
    </cfRule>
  </conditionalFormatting>
  <conditionalFormatting sqref="I60:I62 I66 I68:I76">
    <cfRule type="expression" dxfId="423" priority="49">
      <formula>I$5=TRUE</formula>
    </cfRule>
  </conditionalFormatting>
  <conditionalFormatting sqref="J60:J62 J66 J68:J76">
    <cfRule type="expression" dxfId="422" priority="48">
      <formula>J$5=TRUE</formula>
    </cfRule>
  </conditionalFormatting>
  <conditionalFormatting sqref="K59:K63 K66:K76">
    <cfRule type="expression" dxfId="421" priority="47">
      <formula>K$5=TRUE</formula>
    </cfRule>
  </conditionalFormatting>
  <conditionalFormatting sqref="L59:L63 L66:L76">
    <cfRule type="expression" dxfId="420" priority="46">
      <formula>L$5=TRUE</formula>
    </cfRule>
  </conditionalFormatting>
  <conditionalFormatting sqref="M59:M63 M66:M76">
    <cfRule type="expression" dxfId="419" priority="45">
      <formula>M$5=TRUE</formula>
    </cfRule>
  </conditionalFormatting>
  <conditionalFormatting sqref="N59:N63 N66:N76">
    <cfRule type="expression" dxfId="418" priority="44">
      <formula>N$5=TRUE</formula>
    </cfRule>
  </conditionalFormatting>
  <conditionalFormatting sqref="C68:O76 C66:O66">
    <cfRule type="cellIs" dxfId="417" priority="43" operator="equal">
      <formula>0</formula>
    </cfRule>
  </conditionalFormatting>
  <conditionalFormatting sqref="C59:E59">
    <cfRule type="expression" dxfId="416" priority="42">
      <formula>C$5=TRUE</formula>
    </cfRule>
  </conditionalFormatting>
  <conditionalFormatting sqref="C63:C65">
    <cfRule type="expression" dxfId="415" priority="41">
      <formula>C$5=TRUE</formula>
    </cfRule>
  </conditionalFormatting>
  <conditionalFormatting sqref="D63">
    <cfRule type="expression" dxfId="414" priority="40">
      <formula>D$5=TRUE</formula>
    </cfRule>
  </conditionalFormatting>
  <conditionalFormatting sqref="E63">
    <cfRule type="expression" dxfId="413" priority="39">
      <formula>E$5=TRUE</formula>
    </cfRule>
  </conditionalFormatting>
  <conditionalFormatting sqref="G63">
    <cfRule type="expression" dxfId="412" priority="38">
      <formula>G$5=TRUE</formula>
    </cfRule>
  </conditionalFormatting>
  <conditionalFormatting sqref="H63">
    <cfRule type="expression" dxfId="411" priority="37">
      <formula>H$5=TRUE</formula>
    </cfRule>
  </conditionalFormatting>
  <conditionalFormatting sqref="I63">
    <cfRule type="expression" dxfId="410" priority="36">
      <formula>I$5=TRUE</formula>
    </cfRule>
  </conditionalFormatting>
  <conditionalFormatting sqref="J63">
    <cfRule type="expression" dxfId="409" priority="35">
      <formula>J$5=TRUE</formula>
    </cfRule>
  </conditionalFormatting>
  <conditionalFormatting sqref="C67">
    <cfRule type="expression" dxfId="408" priority="34">
      <formula>C$5=TRUE</formula>
    </cfRule>
  </conditionalFormatting>
  <conditionalFormatting sqref="D67">
    <cfRule type="expression" dxfId="407" priority="33">
      <formula>D$5=TRUE</formula>
    </cfRule>
  </conditionalFormatting>
  <conditionalFormatting sqref="E67">
    <cfRule type="expression" dxfId="406" priority="32">
      <formula>E$5=TRUE</formula>
    </cfRule>
  </conditionalFormatting>
  <conditionalFormatting sqref="G67">
    <cfRule type="expression" dxfId="405" priority="31">
      <formula>G$5=TRUE</formula>
    </cfRule>
  </conditionalFormatting>
  <conditionalFormatting sqref="H67">
    <cfRule type="expression" dxfId="404" priority="30">
      <formula>H$5=TRUE</formula>
    </cfRule>
  </conditionalFormatting>
  <conditionalFormatting sqref="I67">
    <cfRule type="expression" dxfId="403" priority="29">
      <formula>I$5=TRUE</formula>
    </cfRule>
  </conditionalFormatting>
  <conditionalFormatting sqref="J67">
    <cfRule type="expression" dxfId="402" priority="28">
      <formula>J$5=TRUE</formula>
    </cfRule>
  </conditionalFormatting>
  <conditionalFormatting sqref="O63">
    <cfRule type="expression" dxfId="401" priority="27">
      <formula>O$5=TRUE</formula>
    </cfRule>
  </conditionalFormatting>
  <conditionalFormatting sqref="O64">
    <cfRule type="expression" dxfId="400" priority="26">
      <formula>O$5=TRUE</formula>
    </cfRule>
  </conditionalFormatting>
  <conditionalFormatting sqref="O65">
    <cfRule type="expression" dxfId="399" priority="25">
      <formula>O$5=TRUE</formula>
    </cfRule>
  </conditionalFormatting>
  <conditionalFormatting sqref="O66">
    <cfRule type="expression" dxfId="398" priority="24">
      <formula>O$5=TRUE</formula>
    </cfRule>
  </conditionalFormatting>
  <conditionalFormatting sqref="O66">
    <cfRule type="expression" dxfId="397" priority="23">
      <formula>O$5=TRUE</formula>
    </cfRule>
  </conditionalFormatting>
  <conditionalFormatting sqref="O67">
    <cfRule type="expression" dxfId="396" priority="22">
      <formula>O$5=TRUE</formula>
    </cfRule>
  </conditionalFormatting>
  <conditionalFormatting sqref="O68">
    <cfRule type="expression" dxfId="395" priority="21">
      <formula>O$5=TRUE</formula>
    </cfRule>
  </conditionalFormatting>
  <conditionalFormatting sqref="O68:O76">
    <cfRule type="expression" dxfId="394" priority="20">
      <formula>O$5=TRUE</formula>
    </cfRule>
  </conditionalFormatting>
  <conditionalFormatting sqref="B18:B35">
    <cfRule type="expression" dxfId="393" priority="19">
      <formula>$C$8=TRUE</formula>
    </cfRule>
  </conditionalFormatting>
  <conditionalFormatting sqref="B17:O17">
    <cfRule type="expression" dxfId="392" priority="18">
      <formula>$C$8=TRUE</formula>
    </cfRule>
  </conditionalFormatting>
  <conditionalFormatting sqref="O22:O35 C19:N35 F18:N18">
    <cfRule type="expression" dxfId="391" priority="17">
      <formula>$C$8=TRUE</formula>
    </cfRule>
  </conditionalFormatting>
  <conditionalFormatting sqref="B37:O37">
    <cfRule type="expression" dxfId="390" priority="16">
      <formula>$D$8=TRUE</formula>
    </cfRule>
  </conditionalFormatting>
  <conditionalFormatting sqref="B38:B55">
    <cfRule type="expression" dxfId="389" priority="15">
      <formula>$D$8=TRUE</formula>
    </cfRule>
  </conditionalFormatting>
  <conditionalFormatting sqref="C39:N55 O42:O55 F38:N38">
    <cfRule type="expression" dxfId="388" priority="14">
      <formula>$D$8=TRUE</formula>
    </cfRule>
  </conditionalFormatting>
  <conditionalFormatting sqref="B58:O58">
    <cfRule type="expression" dxfId="387" priority="13">
      <formula>$E$8=TRUE</formula>
    </cfRule>
  </conditionalFormatting>
  <conditionalFormatting sqref="B59:B76">
    <cfRule type="expression" dxfId="386" priority="12">
      <formula>$E$8=TRUE</formula>
    </cfRule>
  </conditionalFormatting>
  <conditionalFormatting sqref="C59:N76 O63:O76">
    <cfRule type="expression" dxfId="385" priority="11">
      <formula>$E$8=TRUE</formula>
    </cfRule>
  </conditionalFormatting>
  <conditionalFormatting sqref="O59:O62">
    <cfRule type="expression" dxfId="384" priority="10">
      <formula>$E$8=TRUE</formula>
    </cfRule>
  </conditionalFormatting>
  <conditionalFormatting sqref="C12">
    <cfRule type="expression" dxfId="383" priority="9">
      <formula>$C$8=TRUE</formula>
    </cfRule>
  </conditionalFormatting>
  <conditionalFormatting sqref="E18">
    <cfRule type="expression" dxfId="382" priority="6">
      <formula>E$5=TRUE</formula>
    </cfRule>
  </conditionalFormatting>
  <conditionalFormatting sqref="C18">
    <cfRule type="expression" dxfId="381" priority="5">
      <formula>C$5=TRUE</formula>
    </cfRule>
  </conditionalFormatting>
  <conditionalFormatting sqref="D18">
    <cfRule type="expression" dxfId="380" priority="4">
      <formula>D$5=TRUE</formula>
    </cfRule>
  </conditionalFormatting>
  <conditionalFormatting sqref="E38">
    <cfRule type="expression" dxfId="379" priority="3">
      <formula>E$5=TRUE</formula>
    </cfRule>
  </conditionalFormatting>
  <conditionalFormatting sqref="C38">
    <cfRule type="expression" dxfId="378" priority="2">
      <formula>C$5=TRUE</formula>
    </cfRule>
  </conditionalFormatting>
  <conditionalFormatting sqref="D38">
    <cfRule type="expression" dxfId="377" priority="1">
      <formula>D$5=TRUE</formula>
    </cfRule>
  </conditionalFormatting>
  <dataValidations count="5">
    <dataValidation operator="greaterThanOrEqual" allowBlank="1" showInputMessage="1" showErrorMessage="1" sqref="O14 R14"/>
    <dataValidation type="decimal" allowBlank="1" showInputMessage="1" showErrorMessage="1" errorTitle="Only number no text" error="Please enter valid number. No text!" sqref="C28:N31 C69:N72 C48:N51">
      <formula1>0</formula1>
      <formula2>100000000000000000000</formula2>
    </dataValidation>
    <dataValidation type="decimal" allowBlank="1" showInputMessage="1" showErrorMessage="1" errorTitle="Only number no text" error="Please enter valid number. No text!" sqref="C22:N24 C42:N44 C63:N65">
      <formula1>0</formula1>
      <formula2>100000000000000000</formula2>
    </dataValidation>
    <dataValidation type="whole" operator="greaterThan" allowBlank="1" showInputMessage="1" showErrorMessage="1" sqref="C6:N6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C4:N4"/>
  </dataValidations>
  <pageMargins left="0.25" right="0.25" top="0.75" bottom="0.75" header="0.3" footer="0.3"/>
  <pageSetup paperSize="9" scale="63" orientation="landscape" blackAndWhite="1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6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2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7" name="Check Box 22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3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4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5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0" name="Check Box 27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6</xdr:col>
                    <xdr:colOff>190500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List!$W$2:$W$8</xm:f>
          </x14:formula1>
          <xm:sqref>L16</xm:sqref>
        </x14:dataValidation>
        <x14:dataValidation type="list" allowBlank="1" showInputMessage="1" showErrorMessage="1">
          <x14:formula1>
            <xm:f>List!$S$2:$S$3</xm:f>
          </x14:formula1>
          <xm:sqref>L11:O11</xm:sqref>
        </x14:dataValidation>
        <x14:dataValidation type="list" allowBlank="1" showInputMessage="1" showErrorMessage="1">
          <x14:formula1>
            <xm:f>List!$O$2:$O$16</xm:f>
          </x14:formula1>
          <xm:sqref>O4</xm:sqref>
        </x14:dataValidation>
        <x14:dataValidation type="list" allowBlank="1" showInputMessage="1" showErrorMessage="1">
          <x14:formula1>
            <xm:f>List!$I$2:$I$4</xm:f>
          </x14:formula1>
          <xm:sqref>N2:O2</xm:sqref>
        </x14:dataValidation>
        <x14:dataValidation type="list" allowBlank="1" showInputMessage="1" showErrorMessage="1">
          <x14:formula1>
            <xm:f>List!$T$2:$T$5</xm:f>
          </x14:formula1>
          <xm:sqref>R13</xm:sqref>
        </x14:dataValidation>
        <x14:dataValidation type="list" allowBlank="1" showInputMessage="1" showErrorMessage="1">
          <x14:formula1>
            <xm:f>List!$T$2:$T$8</xm:f>
          </x14:formula1>
          <xm:sqref>O13</xm:sqref>
        </x14:dataValidation>
        <x14:dataValidation type="list" allowBlank="1" showInputMessage="1" showErrorMessage="1">
          <x14:formula1>
            <xm:f>List!$Q$2:$Q$7</xm:f>
          </x14:formula1>
          <xm:sqref>L15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-0.499984740745262"/>
    <outlinePr summaryBelow="0" summaryRight="0"/>
  </sheetPr>
  <dimension ref="A1:J196"/>
  <sheetViews>
    <sheetView zoomScale="96" zoomScaleNormal="96" workbookViewId="0">
      <pane ySplit="1" topLeftCell="A2" activePane="bottomLeft" state="frozen"/>
      <selection pane="bottomLeft" sqref="A1:C1"/>
    </sheetView>
  </sheetViews>
  <sheetFormatPr defaultColWidth="9.140625" defaultRowHeight="15.75" customHeight="1"/>
  <cols>
    <col min="1" max="1" width="3.5703125" style="145" customWidth="1"/>
    <col min="2" max="2" width="3.7109375" style="145" customWidth="1"/>
    <col min="3" max="3" width="59.7109375" style="145" customWidth="1"/>
    <col min="4" max="4" width="12.85546875" style="154" customWidth="1"/>
    <col min="5" max="6" width="12.7109375" style="145" customWidth="1"/>
    <col min="7" max="10" width="12.7109375" style="139" customWidth="1"/>
    <col min="11" max="16384" width="9.140625" style="137"/>
  </cols>
  <sheetData>
    <row r="1" spans="1:10" ht="15">
      <c r="A1" s="1477" t="s">
        <v>232</v>
      </c>
      <c r="B1" s="1477"/>
      <c r="C1" s="1477"/>
      <c r="D1" s="151" t="s">
        <v>764</v>
      </c>
      <c r="E1" s="133"/>
      <c r="F1" s="134"/>
      <c r="G1" s="135"/>
      <c r="H1" s="124"/>
      <c r="I1" s="136"/>
      <c r="J1" s="124"/>
    </row>
    <row r="2" spans="1:10" ht="15.75" customHeight="1">
      <c r="A2" s="146" t="s">
        <v>233</v>
      </c>
      <c r="B2" s="146"/>
      <c r="C2" s="146"/>
      <c r="D2" s="147">
        <f>SUM(D3:D5)</f>
        <v>0</v>
      </c>
      <c r="E2" s="137"/>
      <c r="F2" s="138"/>
      <c r="H2" s="140"/>
      <c r="I2" s="141"/>
      <c r="J2" s="137"/>
    </row>
    <row r="3" spans="1:10" ht="15.75" customHeight="1">
      <c r="A3" s="146"/>
      <c r="B3" s="148" t="s">
        <v>234</v>
      </c>
      <c r="C3" s="148"/>
      <c r="D3" s="152"/>
      <c r="E3" s="137"/>
      <c r="F3" s="137"/>
      <c r="H3" s="137"/>
      <c r="I3" s="141"/>
      <c r="J3" s="137"/>
    </row>
    <row r="4" spans="1:10" ht="15.75" customHeight="1">
      <c r="A4" s="146"/>
      <c r="B4" s="148" t="s">
        <v>235</v>
      </c>
      <c r="C4" s="148"/>
      <c r="D4" s="152"/>
      <c r="E4" s="137"/>
      <c r="F4" s="137"/>
      <c r="H4" s="142"/>
      <c r="I4" s="143"/>
      <c r="J4" s="137"/>
    </row>
    <row r="5" spans="1:10" ht="15.75" customHeight="1">
      <c r="A5" s="146"/>
      <c r="B5" s="148" t="s">
        <v>236</v>
      </c>
      <c r="C5" s="148"/>
      <c r="D5" s="152"/>
      <c r="E5" s="137"/>
      <c r="F5" s="137"/>
      <c r="J5" s="137"/>
    </row>
    <row r="6" spans="1:10" ht="15.75" customHeight="1">
      <c r="A6" s="146" t="s">
        <v>0</v>
      </c>
      <c r="B6" s="146"/>
      <c r="C6" s="146"/>
      <c r="D6" s="147">
        <f>SUM(D7:D11)</f>
        <v>0</v>
      </c>
      <c r="E6" s="137"/>
      <c r="F6" s="137"/>
      <c r="H6" s="137"/>
      <c r="I6" s="144"/>
      <c r="J6" s="137"/>
    </row>
    <row r="7" spans="1:10" ht="15.75" customHeight="1">
      <c r="A7" s="146"/>
      <c r="B7" s="148" t="s">
        <v>237</v>
      </c>
      <c r="C7" s="148"/>
      <c r="D7" s="153"/>
      <c r="E7" s="137"/>
      <c r="F7" s="137"/>
    </row>
    <row r="8" spans="1:10" ht="15.75" customHeight="1">
      <c r="A8" s="146"/>
      <c r="B8" s="148" t="s">
        <v>238</v>
      </c>
      <c r="C8" s="148"/>
      <c r="D8" s="153"/>
      <c r="E8" s="137"/>
      <c r="F8" s="137"/>
    </row>
    <row r="9" spans="1:10" ht="15.75" customHeight="1">
      <c r="A9" s="146"/>
      <c r="B9" s="148" t="s">
        <v>239</v>
      </c>
      <c r="C9" s="148"/>
      <c r="D9" s="153"/>
      <c r="E9" s="137"/>
      <c r="F9" s="137"/>
    </row>
    <row r="10" spans="1:10" ht="15.75" customHeight="1">
      <c r="A10" s="146"/>
      <c r="B10" s="148" t="s">
        <v>240</v>
      </c>
      <c r="C10" s="148"/>
      <c r="D10" s="153"/>
      <c r="E10" s="137"/>
      <c r="F10" s="137"/>
    </row>
    <row r="11" spans="1:10" ht="15.75" customHeight="1">
      <c r="A11" s="146"/>
      <c r="B11" s="148" t="s">
        <v>241</v>
      </c>
      <c r="C11" s="148"/>
      <c r="D11" s="153"/>
      <c r="E11" s="137"/>
      <c r="F11" s="137"/>
    </row>
    <row r="12" spans="1:10" ht="15.75" customHeight="1">
      <c r="A12" s="146" t="s">
        <v>1</v>
      </c>
      <c r="B12" s="146"/>
      <c r="C12" s="146"/>
      <c r="D12" s="147">
        <f>SUM(D13:D14)</f>
        <v>0</v>
      </c>
      <c r="E12" s="137"/>
      <c r="F12" s="137"/>
    </row>
    <row r="13" spans="1:10" ht="15.75" customHeight="1">
      <c r="A13" s="146"/>
      <c r="B13" s="148" t="s">
        <v>242</v>
      </c>
      <c r="C13" s="148"/>
      <c r="D13" s="153"/>
      <c r="E13" s="137"/>
      <c r="F13" s="137"/>
    </row>
    <row r="14" spans="1:10" ht="15.75" customHeight="1">
      <c r="A14" s="146"/>
      <c r="B14" s="148" t="s">
        <v>243</v>
      </c>
      <c r="C14" s="148"/>
      <c r="D14" s="153"/>
      <c r="E14" s="137"/>
      <c r="F14" s="137"/>
    </row>
    <row r="15" spans="1:10" ht="15.75" customHeight="1">
      <c r="A15" s="146" t="s">
        <v>244</v>
      </c>
      <c r="B15" s="146"/>
      <c r="C15" s="146"/>
      <c r="D15" s="147">
        <f>SUM(D16:D19)</f>
        <v>0</v>
      </c>
      <c r="E15" s="137"/>
      <c r="F15" s="137"/>
    </row>
    <row r="16" spans="1:10" ht="15.75" customHeight="1">
      <c r="A16" s="146"/>
      <c r="B16" s="148" t="s">
        <v>245</v>
      </c>
      <c r="C16" s="148"/>
      <c r="D16" s="153"/>
      <c r="E16" s="137"/>
      <c r="F16" s="137"/>
    </row>
    <row r="17" spans="1:6" ht="15.75" customHeight="1">
      <c r="A17" s="146"/>
      <c r="B17" s="148" t="s">
        <v>246</v>
      </c>
      <c r="C17" s="148"/>
      <c r="D17" s="153"/>
      <c r="E17" s="137"/>
      <c r="F17" s="137"/>
    </row>
    <row r="18" spans="1:6" ht="15.75" customHeight="1">
      <c r="A18" s="146"/>
      <c r="B18" s="148" t="s">
        <v>247</v>
      </c>
      <c r="C18" s="148"/>
      <c r="D18" s="153"/>
      <c r="E18" s="137"/>
      <c r="F18" s="137"/>
    </row>
    <row r="19" spans="1:6" ht="15.75" customHeight="1">
      <c r="A19" s="146"/>
      <c r="B19" s="148" t="s">
        <v>248</v>
      </c>
      <c r="C19" s="148"/>
      <c r="D19" s="153"/>
      <c r="E19" s="137"/>
      <c r="F19" s="137"/>
    </row>
    <row r="20" spans="1:6" ht="15.75" customHeight="1">
      <c r="A20" s="146" t="s">
        <v>2</v>
      </c>
      <c r="B20" s="146"/>
      <c r="C20" s="146"/>
      <c r="D20" s="147">
        <f>D21+D25+D39+D44</f>
        <v>0</v>
      </c>
      <c r="E20" s="137"/>
      <c r="F20" s="137"/>
    </row>
    <row r="21" spans="1:6" ht="15.75" customHeight="1">
      <c r="A21" s="146"/>
      <c r="B21" s="149" t="s">
        <v>249</v>
      </c>
      <c r="C21" s="149"/>
      <c r="D21" s="150">
        <f>SUM(D22:D24)</f>
        <v>0</v>
      </c>
      <c r="E21" s="137"/>
      <c r="F21" s="137"/>
    </row>
    <row r="22" spans="1:6" ht="15.75" customHeight="1">
      <c r="A22" s="146"/>
      <c r="B22" s="149"/>
      <c r="C22" s="148" t="s">
        <v>250</v>
      </c>
      <c r="D22" s="153"/>
      <c r="E22" s="137"/>
      <c r="F22" s="137"/>
    </row>
    <row r="23" spans="1:6" ht="15.75" customHeight="1">
      <c r="A23" s="146"/>
      <c r="B23" s="149"/>
      <c r="C23" s="148" t="s">
        <v>251</v>
      </c>
      <c r="D23" s="153"/>
      <c r="E23" s="137"/>
      <c r="F23" s="137"/>
    </row>
    <row r="24" spans="1:6" ht="15.75" customHeight="1">
      <c r="A24" s="146"/>
      <c r="B24" s="149"/>
      <c r="C24" s="148" t="s">
        <v>252</v>
      </c>
      <c r="D24" s="153"/>
      <c r="E24" s="137"/>
      <c r="F24" s="137"/>
    </row>
    <row r="25" spans="1:6" ht="15.75" customHeight="1">
      <c r="A25" s="146"/>
      <c r="B25" s="149" t="s">
        <v>253</v>
      </c>
      <c r="C25" s="149"/>
      <c r="D25" s="150">
        <f>SUM(D26:D38)</f>
        <v>0</v>
      </c>
      <c r="E25" s="137"/>
      <c r="F25" s="137"/>
    </row>
    <row r="26" spans="1:6" ht="15.75" customHeight="1">
      <c r="A26" s="146"/>
      <c r="B26" s="149"/>
      <c r="C26" s="148" t="s">
        <v>254</v>
      </c>
      <c r="D26" s="153"/>
      <c r="E26" s="137"/>
      <c r="F26" s="137"/>
    </row>
    <row r="27" spans="1:6" ht="15.75" customHeight="1">
      <c r="A27" s="146"/>
      <c r="B27" s="149"/>
      <c r="C27" s="148" t="s">
        <v>255</v>
      </c>
      <c r="D27" s="153"/>
      <c r="E27" s="137"/>
      <c r="F27" s="137"/>
    </row>
    <row r="28" spans="1:6" ht="15.75" customHeight="1">
      <c r="A28" s="146"/>
      <c r="B28" s="149"/>
      <c r="C28" s="148" t="s">
        <v>256</v>
      </c>
      <c r="D28" s="153"/>
      <c r="E28" s="137"/>
      <c r="F28" s="137"/>
    </row>
    <row r="29" spans="1:6" ht="15.75" customHeight="1">
      <c r="A29" s="146"/>
      <c r="B29" s="149"/>
      <c r="C29" s="148" t="s">
        <v>257</v>
      </c>
      <c r="D29" s="153"/>
      <c r="E29" s="137"/>
      <c r="F29" s="137"/>
    </row>
    <row r="30" spans="1:6" ht="15.75" customHeight="1">
      <c r="A30" s="146"/>
      <c r="B30" s="149"/>
      <c r="C30" s="148" t="s">
        <v>258</v>
      </c>
      <c r="D30" s="153"/>
      <c r="E30" s="137"/>
      <c r="F30" s="137"/>
    </row>
    <row r="31" spans="1:6" ht="15.75" customHeight="1">
      <c r="A31" s="146"/>
      <c r="B31" s="149"/>
      <c r="C31" s="148" t="s">
        <v>259</v>
      </c>
      <c r="D31" s="153"/>
      <c r="E31" s="137"/>
      <c r="F31" s="137"/>
    </row>
    <row r="32" spans="1:6" ht="15.75" customHeight="1">
      <c r="A32" s="146"/>
      <c r="B32" s="149"/>
      <c r="C32" s="148" t="s">
        <v>260</v>
      </c>
      <c r="D32" s="153"/>
      <c r="E32" s="137"/>
      <c r="F32" s="137"/>
    </row>
    <row r="33" spans="1:6" ht="15.75" customHeight="1">
      <c r="A33" s="146"/>
      <c r="B33" s="149"/>
      <c r="C33" s="148" t="s">
        <v>261</v>
      </c>
      <c r="D33" s="153"/>
      <c r="E33" s="137"/>
      <c r="F33" s="137"/>
    </row>
    <row r="34" spans="1:6" ht="15.75" customHeight="1">
      <c r="A34" s="146"/>
      <c r="B34" s="149"/>
      <c r="C34" s="148" t="s">
        <v>262</v>
      </c>
      <c r="D34" s="153"/>
      <c r="E34" s="137"/>
      <c r="F34" s="137"/>
    </row>
    <row r="35" spans="1:6" ht="15.75" customHeight="1">
      <c r="A35" s="146"/>
      <c r="B35" s="149"/>
      <c r="C35" s="148" t="s">
        <v>263</v>
      </c>
      <c r="D35" s="153"/>
      <c r="E35" s="137"/>
      <c r="F35" s="137"/>
    </row>
    <row r="36" spans="1:6" ht="15.75" customHeight="1">
      <c r="A36" s="146"/>
      <c r="B36" s="149"/>
      <c r="C36" s="148" t="s">
        <v>264</v>
      </c>
      <c r="D36" s="153"/>
      <c r="E36" s="137"/>
      <c r="F36" s="137"/>
    </row>
    <row r="37" spans="1:6" ht="15.75" customHeight="1">
      <c r="A37" s="146"/>
      <c r="B37" s="149"/>
      <c r="C37" s="148" t="s">
        <v>265</v>
      </c>
      <c r="D37" s="153"/>
      <c r="E37" s="137"/>
      <c r="F37" s="137"/>
    </row>
    <row r="38" spans="1:6" ht="15.75" customHeight="1">
      <c r="A38" s="146"/>
      <c r="B38" s="149"/>
      <c r="C38" s="148" t="s">
        <v>266</v>
      </c>
      <c r="D38" s="153"/>
      <c r="E38" s="137"/>
      <c r="F38" s="137"/>
    </row>
    <row r="39" spans="1:6" ht="15.75" customHeight="1">
      <c r="A39" s="146"/>
      <c r="B39" s="149" t="s">
        <v>267</v>
      </c>
      <c r="C39" s="149"/>
      <c r="D39" s="150">
        <f>SUM(D40:D43)</f>
        <v>0</v>
      </c>
      <c r="E39" s="137"/>
      <c r="F39" s="137"/>
    </row>
    <row r="40" spans="1:6" ht="15.75" customHeight="1">
      <c r="A40" s="146"/>
      <c r="B40" s="149"/>
      <c r="C40" s="148" t="s">
        <v>268</v>
      </c>
      <c r="D40" s="153"/>
      <c r="E40" s="137"/>
      <c r="F40" s="137"/>
    </row>
    <row r="41" spans="1:6" ht="15.75" customHeight="1">
      <c r="A41" s="146"/>
      <c r="B41" s="149"/>
      <c r="C41" s="148" t="s">
        <v>261</v>
      </c>
      <c r="D41" s="153"/>
      <c r="E41" s="137"/>
      <c r="F41" s="137"/>
    </row>
    <row r="42" spans="1:6" ht="15.75" customHeight="1">
      <c r="A42" s="146"/>
      <c r="B42" s="149"/>
      <c r="C42" s="148" t="s">
        <v>269</v>
      </c>
      <c r="D42" s="153"/>
      <c r="E42" s="137"/>
      <c r="F42" s="137"/>
    </row>
    <row r="43" spans="1:6" ht="15.75" customHeight="1">
      <c r="A43" s="146"/>
      <c r="B43" s="149"/>
      <c r="C43" s="148" t="s">
        <v>270</v>
      </c>
      <c r="D43" s="153"/>
      <c r="E43" s="137"/>
      <c r="F43" s="137"/>
    </row>
    <row r="44" spans="1:6" ht="15.75" customHeight="1">
      <c r="A44" s="146"/>
      <c r="B44" s="149" t="s">
        <v>271</v>
      </c>
      <c r="C44" s="149"/>
      <c r="D44" s="150">
        <f>SUM(D45:D48)</f>
        <v>0</v>
      </c>
      <c r="E44" s="137"/>
      <c r="F44" s="137"/>
    </row>
    <row r="45" spans="1:6" ht="15.75" customHeight="1">
      <c r="A45" s="146"/>
      <c r="B45" s="149"/>
      <c r="C45" s="148" t="s">
        <v>272</v>
      </c>
      <c r="D45" s="153"/>
      <c r="E45" s="137"/>
      <c r="F45" s="137"/>
    </row>
    <row r="46" spans="1:6" ht="15.75" customHeight="1">
      <c r="A46" s="146"/>
      <c r="B46" s="149"/>
      <c r="C46" s="148" t="s">
        <v>273</v>
      </c>
      <c r="D46" s="153"/>
      <c r="E46" s="137"/>
      <c r="F46" s="137"/>
    </row>
    <row r="47" spans="1:6" ht="15.75" customHeight="1">
      <c r="A47" s="146"/>
      <c r="B47" s="149"/>
      <c r="C47" s="148" t="s">
        <v>274</v>
      </c>
      <c r="D47" s="153"/>
      <c r="E47" s="137"/>
      <c r="F47" s="137"/>
    </row>
    <row r="48" spans="1:6" ht="15.75" customHeight="1">
      <c r="A48" s="146"/>
      <c r="B48" s="149"/>
      <c r="C48" s="148" t="s">
        <v>275</v>
      </c>
      <c r="D48" s="153"/>
      <c r="E48" s="137"/>
      <c r="F48" s="137"/>
    </row>
    <row r="49" spans="1:6" ht="15.75" customHeight="1">
      <c r="A49" s="146" t="s">
        <v>3</v>
      </c>
      <c r="B49" s="146"/>
      <c r="C49" s="146"/>
      <c r="D49" s="147">
        <f>D50+D58</f>
        <v>0</v>
      </c>
      <c r="E49" s="137"/>
      <c r="F49" s="137"/>
    </row>
    <row r="50" spans="1:6" ht="15.75" customHeight="1">
      <c r="A50" s="146"/>
      <c r="B50" s="149" t="s">
        <v>276</v>
      </c>
      <c r="C50" s="149"/>
      <c r="D50" s="150">
        <f>SUM(D51:D57)</f>
        <v>0</v>
      </c>
      <c r="E50" s="137"/>
      <c r="F50" s="137"/>
    </row>
    <row r="51" spans="1:6" ht="15.75" customHeight="1">
      <c r="A51" s="146"/>
      <c r="B51" s="149"/>
      <c r="C51" s="148" t="s">
        <v>277</v>
      </c>
      <c r="D51" s="153"/>
      <c r="E51" s="137"/>
      <c r="F51" s="137"/>
    </row>
    <row r="52" spans="1:6" ht="15.75" customHeight="1">
      <c r="A52" s="146"/>
      <c r="B52" s="149"/>
      <c r="C52" s="148" t="s">
        <v>278</v>
      </c>
      <c r="D52" s="153"/>
      <c r="E52" s="137"/>
      <c r="F52" s="137"/>
    </row>
    <row r="53" spans="1:6" ht="15.75" customHeight="1">
      <c r="A53" s="146"/>
      <c r="B53" s="149"/>
      <c r="C53" s="148" t="s">
        <v>279</v>
      </c>
      <c r="D53" s="153"/>
      <c r="E53" s="137"/>
      <c r="F53" s="137"/>
    </row>
    <row r="54" spans="1:6" ht="15.75" customHeight="1">
      <c r="A54" s="146"/>
      <c r="B54" s="149"/>
      <c r="C54" s="148" t="s">
        <v>280</v>
      </c>
      <c r="D54" s="153"/>
      <c r="E54" s="137"/>
      <c r="F54" s="137"/>
    </row>
    <row r="55" spans="1:6" ht="15.75" customHeight="1">
      <c r="A55" s="146"/>
      <c r="B55" s="149"/>
      <c r="C55" s="148" t="s">
        <v>281</v>
      </c>
      <c r="D55" s="153"/>
      <c r="E55" s="137"/>
      <c r="F55" s="137"/>
    </row>
    <row r="56" spans="1:6" ht="15.75" customHeight="1">
      <c r="A56" s="146"/>
      <c r="B56" s="149"/>
      <c r="C56" s="148" t="s">
        <v>282</v>
      </c>
      <c r="D56" s="153"/>
      <c r="E56" s="137"/>
      <c r="F56" s="137"/>
    </row>
    <row r="57" spans="1:6" ht="15.75" customHeight="1">
      <c r="A57" s="146"/>
      <c r="B57" s="149"/>
      <c r="C57" s="148" t="s">
        <v>283</v>
      </c>
      <c r="D57" s="153"/>
      <c r="E57" s="137"/>
      <c r="F57" s="137"/>
    </row>
    <row r="58" spans="1:6" ht="15.75" customHeight="1">
      <c r="A58" s="146"/>
      <c r="B58" s="149" t="s">
        <v>284</v>
      </c>
      <c r="C58" s="149"/>
      <c r="D58" s="150">
        <f>SUM(D59:D63)</f>
        <v>0</v>
      </c>
      <c r="E58" s="137"/>
      <c r="F58" s="137"/>
    </row>
    <row r="59" spans="1:6" ht="15.75" customHeight="1">
      <c r="A59" s="146"/>
      <c r="B59" s="149"/>
      <c r="C59" s="148" t="s">
        <v>285</v>
      </c>
      <c r="D59" s="153"/>
      <c r="E59" s="137"/>
      <c r="F59" s="137"/>
    </row>
    <row r="60" spans="1:6" ht="15.75" customHeight="1">
      <c r="A60" s="146"/>
      <c r="B60" s="149"/>
      <c r="C60" s="148" t="s">
        <v>286</v>
      </c>
      <c r="D60" s="153"/>
      <c r="E60" s="137"/>
      <c r="F60" s="137"/>
    </row>
    <row r="61" spans="1:6" ht="15.75" customHeight="1">
      <c r="A61" s="146"/>
      <c r="B61" s="149"/>
      <c r="C61" s="148" t="s">
        <v>287</v>
      </c>
      <c r="D61" s="153"/>
      <c r="E61" s="137"/>
      <c r="F61" s="137"/>
    </row>
    <row r="62" spans="1:6" ht="15.75" customHeight="1">
      <c r="A62" s="146"/>
      <c r="B62" s="149"/>
      <c r="C62" s="148" t="s">
        <v>288</v>
      </c>
      <c r="D62" s="153"/>
      <c r="E62" s="137"/>
      <c r="F62" s="137"/>
    </row>
    <row r="63" spans="1:6" ht="15.75" customHeight="1">
      <c r="A63" s="146"/>
      <c r="B63" s="149"/>
      <c r="C63" s="148" t="s">
        <v>289</v>
      </c>
      <c r="D63" s="153"/>
      <c r="E63" s="137"/>
      <c r="F63" s="137"/>
    </row>
    <row r="64" spans="1:6" ht="15.75" customHeight="1">
      <c r="A64" s="146" t="s">
        <v>4</v>
      </c>
      <c r="B64" s="146"/>
      <c r="C64" s="146"/>
      <c r="D64" s="147">
        <f>D65+D70+D78</f>
        <v>0</v>
      </c>
      <c r="E64" s="137"/>
      <c r="F64" s="137"/>
    </row>
    <row r="65" spans="1:6" ht="15.75" customHeight="1">
      <c r="A65" s="146"/>
      <c r="B65" s="149" t="s">
        <v>290</v>
      </c>
      <c r="C65" s="149"/>
      <c r="D65" s="150">
        <f>SUM(D66:D69)</f>
        <v>0</v>
      </c>
      <c r="E65" s="137"/>
      <c r="F65" s="137"/>
    </row>
    <row r="66" spans="1:6" ht="15.75" customHeight="1">
      <c r="A66" s="146"/>
      <c r="B66" s="149"/>
      <c r="C66" s="148" t="s">
        <v>291</v>
      </c>
      <c r="D66" s="153"/>
      <c r="E66" s="137"/>
      <c r="F66" s="137"/>
    </row>
    <row r="67" spans="1:6" ht="15.75" customHeight="1">
      <c r="A67" s="146"/>
      <c r="B67" s="149"/>
      <c r="C67" s="148" t="s">
        <v>292</v>
      </c>
      <c r="D67" s="153"/>
      <c r="E67" s="137"/>
      <c r="F67" s="137"/>
    </row>
    <row r="68" spans="1:6" ht="15.75" customHeight="1">
      <c r="A68" s="146"/>
      <c r="B68" s="149"/>
      <c r="C68" s="148" t="s">
        <v>293</v>
      </c>
      <c r="D68" s="153"/>
      <c r="E68" s="137"/>
      <c r="F68" s="137"/>
    </row>
    <row r="69" spans="1:6" ht="15.75" customHeight="1">
      <c r="A69" s="146"/>
      <c r="B69" s="149"/>
      <c r="C69" s="148" t="s">
        <v>294</v>
      </c>
      <c r="D69" s="153"/>
      <c r="E69" s="137"/>
      <c r="F69" s="137"/>
    </row>
    <row r="70" spans="1:6" ht="15.75" customHeight="1">
      <c r="A70" s="146"/>
      <c r="B70" s="149" t="s">
        <v>295</v>
      </c>
      <c r="C70" s="149"/>
      <c r="D70" s="150">
        <f>SUM(D71:D77)</f>
        <v>0</v>
      </c>
      <c r="E70" s="137"/>
      <c r="F70" s="137"/>
    </row>
    <row r="71" spans="1:6" ht="15.75" customHeight="1">
      <c r="A71" s="146"/>
      <c r="B71" s="149"/>
      <c r="C71" s="148" t="s">
        <v>296</v>
      </c>
      <c r="D71" s="153"/>
      <c r="E71" s="137"/>
      <c r="F71" s="137"/>
    </row>
    <row r="72" spans="1:6" ht="15.75" customHeight="1">
      <c r="A72" s="146"/>
      <c r="B72" s="149"/>
      <c r="C72" s="148" t="s">
        <v>297</v>
      </c>
      <c r="D72" s="153"/>
      <c r="E72" s="137"/>
      <c r="F72" s="137"/>
    </row>
    <row r="73" spans="1:6" ht="15.75" customHeight="1">
      <c r="A73" s="146"/>
      <c r="B73" s="149"/>
      <c r="C73" s="148" t="s">
        <v>298</v>
      </c>
      <c r="D73" s="153"/>
      <c r="E73" s="137"/>
      <c r="F73" s="137"/>
    </row>
    <row r="74" spans="1:6" ht="15.75" customHeight="1">
      <c r="A74" s="146"/>
      <c r="B74" s="149"/>
      <c r="C74" s="148" t="s">
        <v>299</v>
      </c>
      <c r="D74" s="153"/>
      <c r="E74" s="137"/>
      <c r="F74" s="137"/>
    </row>
    <row r="75" spans="1:6" ht="15.75" customHeight="1">
      <c r="A75" s="146"/>
      <c r="B75" s="149"/>
      <c r="C75" s="148" t="s">
        <v>300</v>
      </c>
      <c r="D75" s="153"/>
      <c r="E75" s="137"/>
      <c r="F75" s="137"/>
    </row>
    <row r="76" spans="1:6" ht="15.75" customHeight="1">
      <c r="A76" s="146"/>
      <c r="B76" s="149"/>
      <c r="C76" s="148" t="s">
        <v>301</v>
      </c>
      <c r="D76" s="153"/>
      <c r="E76" s="137"/>
      <c r="F76" s="137"/>
    </row>
    <row r="77" spans="1:6" ht="15.75" customHeight="1">
      <c r="A77" s="146"/>
      <c r="B77" s="149"/>
      <c r="C77" s="148" t="s">
        <v>302</v>
      </c>
      <c r="D77" s="153"/>
      <c r="E77" s="137"/>
      <c r="F77" s="137"/>
    </row>
    <row r="78" spans="1:6" ht="15.75" customHeight="1">
      <c r="A78" s="146"/>
      <c r="B78" s="149" t="s">
        <v>303</v>
      </c>
      <c r="C78" s="149"/>
      <c r="D78" s="150">
        <f>SUM(D79:D83)</f>
        <v>0</v>
      </c>
      <c r="E78" s="137"/>
      <c r="F78" s="137"/>
    </row>
    <row r="79" spans="1:6" ht="15.75" customHeight="1">
      <c r="A79" s="146"/>
      <c r="B79" s="149"/>
      <c r="C79" s="148" t="s">
        <v>304</v>
      </c>
      <c r="D79" s="153"/>
      <c r="E79" s="137"/>
      <c r="F79" s="137"/>
    </row>
    <row r="80" spans="1:6" ht="15.75" customHeight="1">
      <c r="A80" s="146"/>
      <c r="B80" s="149"/>
      <c r="C80" s="148" t="s">
        <v>305</v>
      </c>
      <c r="D80" s="153"/>
      <c r="E80" s="137"/>
      <c r="F80" s="137"/>
    </row>
    <row r="81" spans="1:6" ht="15.75" customHeight="1">
      <c r="A81" s="146"/>
      <c r="B81" s="149"/>
      <c r="C81" s="148" t="s">
        <v>306</v>
      </c>
      <c r="D81" s="153"/>
      <c r="E81" s="137"/>
      <c r="F81" s="137"/>
    </row>
    <row r="82" spans="1:6" ht="15.75" customHeight="1">
      <c r="A82" s="146"/>
      <c r="B82" s="149"/>
      <c r="C82" s="148" t="s">
        <v>307</v>
      </c>
      <c r="D82" s="153"/>
      <c r="E82" s="137"/>
      <c r="F82" s="137"/>
    </row>
    <row r="83" spans="1:6" ht="15.75" customHeight="1">
      <c r="A83" s="146"/>
      <c r="B83" s="149"/>
      <c r="C83" s="148" t="s">
        <v>308</v>
      </c>
      <c r="D83" s="153"/>
      <c r="E83" s="137"/>
      <c r="F83" s="137"/>
    </row>
    <row r="84" spans="1:6" ht="15.75" customHeight="1">
      <c r="A84" s="146" t="s">
        <v>5</v>
      </c>
      <c r="B84" s="146"/>
      <c r="C84" s="146"/>
      <c r="D84" s="147">
        <f>SUM(D85:D87)</f>
        <v>0</v>
      </c>
      <c r="E84" s="137"/>
      <c r="F84" s="137"/>
    </row>
    <row r="85" spans="1:6" ht="15.75" customHeight="1">
      <c r="A85" s="146"/>
      <c r="B85" s="148" t="s">
        <v>309</v>
      </c>
      <c r="C85" s="148"/>
      <c r="D85" s="153"/>
      <c r="E85" s="137"/>
      <c r="F85" s="137"/>
    </row>
    <row r="86" spans="1:6" ht="15.75" customHeight="1">
      <c r="A86" s="146"/>
      <c r="B86" s="148" t="s">
        <v>310</v>
      </c>
      <c r="C86" s="148"/>
      <c r="D86" s="153"/>
      <c r="E86" s="137"/>
      <c r="F86" s="137"/>
    </row>
    <row r="87" spans="1:6" ht="15.75" customHeight="1">
      <c r="A87" s="146"/>
      <c r="B87" s="148" t="s">
        <v>311</v>
      </c>
      <c r="C87" s="148"/>
      <c r="D87" s="153"/>
      <c r="E87" s="137"/>
      <c r="F87" s="137"/>
    </row>
    <row r="88" spans="1:6" ht="15.75" customHeight="1">
      <c r="A88" s="146" t="s">
        <v>6</v>
      </c>
      <c r="B88" s="146"/>
      <c r="C88" s="146"/>
      <c r="D88" s="147">
        <f>D89+D97</f>
        <v>0</v>
      </c>
      <c r="E88" s="137"/>
      <c r="F88" s="137"/>
    </row>
    <row r="89" spans="1:6" ht="15.75" customHeight="1">
      <c r="A89" s="146"/>
      <c r="B89" s="149" t="s">
        <v>284</v>
      </c>
      <c r="C89" s="149"/>
      <c r="D89" s="150">
        <f>SUM(D90:D96)</f>
        <v>0</v>
      </c>
      <c r="E89" s="137"/>
      <c r="F89" s="137"/>
    </row>
    <row r="90" spans="1:6" ht="15.75" customHeight="1">
      <c r="A90" s="146"/>
      <c r="B90" s="149"/>
      <c r="C90" s="148" t="s">
        <v>312</v>
      </c>
      <c r="D90" s="153"/>
      <c r="E90" s="137"/>
      <c r="F90" s="137"/>
    </row>
    <row r="91" spans="1:6" ht="15.75" customHeight="1">
      <c r="A91" s="146"/>
      <c r="B91" s="149"/>
      <c r="C91" s="148" t="s">
        <v>313</v>
      </c>
      <c r="D91" s="153"/>
      <c r="E91" s="137"/>
      <c r="F91" s="137"/>
    </row>
    <row r="92" spans="1:6" ht="15.75" customHeight="1">
      <c r="A92" s="146"/>
      <c r="B92" s="149"/>
      <c r="C92" s="148" t="s">
        <v>314</v>
      </c>
      <c r="D92" s="153"/>
      <c r="E92" s="137"/>
      <c r="F92" s="137"/>
    </row>
    <row r="93" spans="1:6" ht="15.75" customHeight="1">
      <c r="A93" s="146"/>
      <c r="B93" s="149"/>
      <c r="C93" s="148" t="s">
        <v>315</v>
      </c>
      <c r="D93" s="153"/>
      <c r="E93" s="137"/>
      <c r="F93" s="137"/>
    </row>
    <row r="94" spans="1:6" ht="15.75" customHeight="1">
      <c r="A94" s="146"/>
      <c r="B94" s="149"/>
      <c r="C94" s="148" t="s">
        <v>316</v>
      </c>
      <c r="D94" s="153"/>
      <c r="E94" s="137"/>
      <c r="F94" s="137"/>
    </row>
    <row r="95" spans="1:6" ht="15.75" customHeight="1">
      <c r="A95" s="146"/>
      <c r="B95" s="149"/>
      <c r="C95" s="148" t="s">
        <v>317</v>
      </c>
      <c r="D95" s="153"/>
      <c r="E95" s="137"/>
      <c r="F95" s="137"/>
    </row>
    <row r="96" spans="1:6" ht="15.75" customHeight="1">
      <c r="A96" s="146"/>
      <c r="B96" s="149"/>
      <c r="C96" s="148" t="s">
        <v>318</v>
      </c>
      <c r="D96" s="153"/>
      <c r="E96" s="137"/>
      <c r="F96" s="137"/>
    </row>
    <row r="97" spans="1:6" ht="15.75" customHeight="1">
      <c r="A97" s="146"/>
      <c r="B97" s="149" t="s">
        <v>319</v>
      </c>
      <c r="C97" s="149"/>
      <c r="D97" s="150">
        <f>SUM(D98:D100)</f>
        <v>0</v>
      </c>
      <c r="E97" s="137"/>
      <c r="F97" s="137"/>
    </row>
    <row r="98" spans="1:6" ht="15.75" customHeight="1">
      <c r="A98" s="146"/>
      <c r="B98" s="149"/>
      <c r="C98" s="148" t="s">
        <v>320</v>
      </c>
      <c r="D98" s="153"/>
      <c r="E98" s="137"/>
      <c r="F98" s="137"/>
    </row>
    <row r="99" spans="1:6" ht="15.75" customHeight="1">
      <c r="A99" s="146"/>
      <c r="B99" s="149"/>
      <c r="C99" s="148" t="s">
        <v>321</v>
      </c>
      <c r="D99" s="153"/>
      <c r="E99" s="137"/>
      <c r="F99" s="137"/>
    </row>
    <row r="100" spans="1:6" ht="15.75" customHeight="1">
      <c r="A100" s="146"/>
      <c r="B100" s="149"/>
      <c r="C100" s="148" t="s">
        <v>322</v>
      </c>
      <c r="D100" s="153"/>
      <c r="E100" s="137"/>
      <c r="F100" s="137"/>
    </row>
    <row r="101" spans="1:6" ht="15.75" customHeight="1">
      <c r="A101" s="146" t="s">
        <v>7</v>
      </c>
      <c r="B101" s="146"/>
      <c r="C101" s="146"/>
      <c r="D101" s="147">
        <f>SUM(D102:D103)</f>
        <v>0</v>
      </c>
      <c r="E101" s="137"/>
      <c r="F101" s="137"/>
    </row>
    <row r="102" spans="1:6" ht="15.75" customHeight="1">
      <c r="A102" s="146"/>
      <c r="B102" s="148" t="s">
        <v>323</v>
      </c>
      <c r="C102" s="148"/>
      <c r="D102" s="153"/>
      <c r="E102" s="137"/>
      <c r="F102" s="137"/>
    </row>
    <row r="103" spans="1:6" ht="15.75" customHeight="1">
      <c r="A103" s="146"/>
      <c r="B103" s="148" t="s">
        <v>324</v>
      </c>
      <c r="C103" s="148"/>
      <c r="D103" s="153"/>
      <c r="E103" s="137"/>
      <c r="F103" s="137"/>
    </row>
    <row r="104" spans="1:6" ht="15.75" customHeight="1">
      <c r="A104" s="146" t="s">
        <v>325</v>
      </c>
      <c r="B104" s="146"/>
      <c r="C104" s="146"/>
      <c r="D104" s="147">
        <f>SUM(D105:D107)</f>
        <v>0</v>
      </c>
      <c r="E104" s="137"/>
      <c r="F104" s="137"/>
    </row>
    <row r="105" spans="1:6" ht="15.75" customHeight="1">
      <c r="A105" s="146"/>
      <c r="B105" s="148" t="s">
        <v>326</v>
      </c>
      <c r="C105" s="148"/>
      <c r="D105" s="153"/>
      <c r="E105" s="137"/>
      <c r="F105" s="137"/>
    </row>
    <row r="106" spans="1:6" ht="15.75" customHeight="1">
      <c r="A106" s="146"/>
      <c r="B106" s="148" t="s">
        <v>327</v>
      </c>
      <c r="C106" s="148"/>
      <c r="D106" s="153"/>
      <c r="E106" s="137"/>
      <c r="F106" s="137"/>
    </row>
    <row r="107" spans="1:6" ht="15.75" customHeight="1">
      <c r="A107" s="146"/>
      <c r="B107" s="148" t="s">
        <v>328</v>
      </c>
      <c r="C107" s="148"/>
      <c r="D107" s="153"/>
      <c r="E107" s="137"/>
      <c r="F107" s="137"/>
    </row>
    <row r="108" spans="1:6" ht="15.75" customHeight="1">
      <c r="A108" s="146" t="s">
        <v>8</v>
      </c>
      <c r="B108" s="146"/>
      <c r="C108" s="146"/>
      <c r="D108" s="147">
        <f>D109+D120</f>
        <v>0</v>
      </c>
      <c r="E108" s="137"/>
      <c r="F108" s="137"/>
    </row>
    <row r="109" spans="1:6" ht="15.75" customHeight="1">
      <c r="A109" s="146"/>
      <c r="B109" s="149" t="s">
        <v>329</v>
      </c>
      <c r="C109" s="149"/>
      <c r="D109" s="150">
        <f>SUM(D110:D119)</f>
        <v>0</v>
      </c>
      <c r="E109" s="137"/>
      <c r="F109" s="137"/>
    </row>
    <row r="110" spans="1:6" ht="15.75" customHeight="1">
      <c r="A110" s="146"/>
      <c r="B110" s="149"/>
      <c r="C110" s="148" t="s">
        <v>330</v>
      </c>
      <c r="D110" s="153"/>
      <c r="E110" s="137"/>
      <c r="F110" s="137"/>
    </row>
    <row r="111" spans="1:6" ht="15.75" customHeight="1">
      <c r="A111" s="146"/>
      <c r="B111" s="149"/>
      <c r="C111" s="148" t="s">
        <v>331</v>
      </c>
      <c r="D111" s="153"/>
      <c r="E111" s="137"/>
      <c r="F111" s="137"/>
    </row>
    <row r="112" spans="1:6" ht="15.75" customHeight="1">
      <c r="A112" s="146"/>
      <c r="B112" s="149"/>
      <c r="C112" s="148" t="s">
        <v>332</v>
      </c>
      <c r="D112" s="153"/>
      <c r="E112" s="137"/>
      <c r="F112" s="137"/>
    </row>
    <row r="113" spans="1:6" ht="15.75" customHeight="1">
      <c r="A113" s="146"/>
      <c r="B113" s="149"/>
      <c r="C113" s="148" t="s">
        <v>333</v>
      </c>
      <c r="D113" s="153"/>
      <c r="E113" s="137"/>
      <c r="F113" s="137"/>
    </row>
    <row r="114" spans="1:6" ht="15.75" customHeight="1">
      <c r="A114" s="146"/>
      <c r="B114" s="149"/>
      <c r="C114" s="148" t="s">
        <v>334</v>
      </c>
      <c r="D114" s="153"/>
      <c r="E114" s="137"/>
      <c r="F114" s="137"/>
    </row>
    <row r="115" spans="1:6" ht="15.75" customHeight="1">
      <c r="A115" s="146"/>
      <c r="B115" s="149"/>
      <c r="C115" s="148" t="s">
        <v>335</v>
      </c>
      <c r="D115" s="153"/>
      <c r="E115" s="137"/>
      <c r="F115" s="137"/>
    </row>
    <row r="116" spans="1:6" ht="15.75" customHeight="1">
      <c r="A116" s="146"/>
      <c r="B116" s="149"/>
      <c r="C116" s="148" t="s">
        <v>336</v>
      </c>
      <c r="D116" s="153"/>
      <c r="E116" s="137"/>
      <c r="F116" s="137"/>
    </row>
    <row r="117" spans="1:6" ht="15.75" customHeight="1">
      <c r="A117" s="146"/>
      <c r="B117" s="149"/>
      <c r="C117" s="148" t="s">
        <v>337</v>
      </c>
      <c r="D117" s="153"/>
      <c r="E117" s="137"/>
      <c r="F117" s="137"/>
    </row>
    <row r="118" spans="1:6" ht="15.75" customHeight="1">
      <c r="A118" s="146"/>
      <c r="B118" s="149"/>
      <c r="C118" s="148" t="s">
        <v>338</v>
      </c>
      <c r="D118" s="153"/>
      <c r="E118" s="137"/>
      <c r="F118" s="137"/>
    </row>
    <row r="119" spans="1:6" ht="15.75" customHeight="1">
      <c r="A119" s="146"/>
      <c r="B119" s="149"/>
      <c r="C119" s="148" t="s">
        <v>318</v>
      </c>
      <c r="D119" s="153"/>
      <c r="E119" s="137"/>
      <c r="F119" s="137"/>
    </row>
    <row r="120" spans="1:6" ht="15.75" customHeight="1">
      <c r="A120" s="146"/>
      <c r="B120" s="149" t="s">
        <v>339</v>
      </c>
      <c r="C120" s="149"/>
      <c r="D120" s="150">
        <f>SUM(D121:D126)</f>
        <v>0</v>
      </c>
      <c r="E120" s="137"/>
      <c r="F120" s="137"/>
    </row>
    <row r="121" spans="1:6" ht="15.75" customHeight="1">
      <c r="A121" s="146"/>
      <c r="B121" s="149"/>
      <c r="C121" s="148" t="s">
        <v>340</v>
      </c>
      <c r="D121" s="153"/>
      <c r="E121" s="137"/>
      <c r="F121" s="137"/>
    </row>
    <row r="122" spans="1:6" ht="15.75" customHeight="1">
      <c r="A122" s="146"/>
      <c r="B122" s="149"/>
      <c r="C122" s="148" t="s">
        <v>341</v>
      </c>
      <c r="D122" s="153"/>
      <c r="E122" s="137"/>
      <c r="F122" s="137"/>
    </row>
    <row r="123" spans="1:6" ht="15.75" customHeight="1">
      <c r="A123" s="146"/>
      <c r="B123" s="149"/>
      <c r="C123" s="148" t="s">
        <v>342</v>
      </c>
      <c r="D123" s="153"/>
      <c r="E123" s="137"/>
      <c r="F123" s="137"/>
    </row>
    <row r="124" spans="1:6" ht="15.75" customHeight="1">
      <c r="A124" s="146"/>
      <c r="B124" s="149"/>
      <c r="C124" s="148" t="s">
        <v>343</v>
      </c>
      <c r="D124" s="153"/>
      <c r="E124" s="137"/>
      <c r="F124" s="137"/>
    </row>
    <row r="125" spans="1:6" ht="15.75" customHeight="1">
      <c r="A125" s="146"/>
      <c r="B125" s="149"/>
      <c r="C125" s="148" t="s">
        <v>344</v>
      </c>
      <c r="D125" s="153"/>
      <c r="E125" s="137"/>
      <c r="F125" s="137"/>
    </row>
    <row r="126" spans="1:6" ht="15.75" customHeight="1">
      <c r="A126" s="146"/>
      <c r="B126" s="149"/>
      <c r="C126" s="148" t="s">
        <v>345</v>
      </c>
      <c r="D126" s="153"/>
      <c r="E126" s="137"/>
      <c r="F126" s="137"/>
    </row>
    <row r="127" spans="1:6" ht="15.75" customHeight="1">
      <c r="A127" s="146" t="s">
        <v>346</v>
      </c>
      <c r="B127" s="146"/>
      <c r="C127" s="146"/>
      <c r="D127" s="147">
        <f>SUM(D128:D129)</f>
        <v>0</v>
      </c>
      <c r="E127" s="137"/>
      <c r="F127" s="137"/>
    </row>
    <row r="128" spans="1:6" ht="15.75" customHeight="1">
      <c r="A128" s="146"/>
      <c r="B128" s="148" t="s">
        <v>347</v>
      </c>
      <c r="C128" s="148"/>
      <c r="D128" s="153"/>
      <c r="E128" s="137"/>
      <c r="F128" s="137"/>
    </row>
    <row r="129" spans="1:6" ht="15.75" customHeight="1">
      <c r="A129" s="146"/>
      <c r="B129" s="148" t="s">
        <v>348</v>
      </c>
      <c r="C129" s="148"/>
      <c r="D129" s="153"/>
      <c r="E129" s="137"/>
      <c r="F129" s="137"/>
    </row>
    <row r="130" spans="1:6" ht="15.75" customHeight="1">
      <c r="A130" s="146" t="s">
        <v>9</v>
      </c>
      <c r="B130" s="146"/>
      <c r="C130" s="146"/>
      <c r="D130" s="147">
        <f>D131+D137</f>
        <v>0</v>
      </c>
      <c r="E130" s="137"/>
      <c r="F130" s="137"/>
    </row>
    <row r="131" spans="1:6" ht="15.75" customHeight="1">
      <c r="A131" s="146"/>
      <c r="B131" s="149" t="s">
        <v>349</v>
      </c>
      <c r="C131" s="149"/>
      <c r="D131" s="150">
        <f>SUM(D132:D136)</f>
        <v>0</v>
      </c>
      <c r="E131" s="137"/>
      <c r="F131" s="137"/>
    </row>
    <row r="132" spans="1:6" ht="15.75" customHeight="1">
      <c r="A132" s="146"/>
      <c r="B132" s="149"/>
      <c r="C132" s="148" t="s">
        <v>350</v>
      </c>
      <c r="D132" s="153"/>
      <c r="E132" s="137"/>
      <c r="F132" s="137"/>
    </row>
    <row r="133" spans="1:6" ht="15.75" customHeight="1">
      <c r="A133" s="146"/>
      <c r="B133" s="149"/>
      <c r="C133" s="148" t="s">
        <v>334</v>
      </c>
      <c r="D133" s="153"/>
      <c r="E133" s="137"/>
      <c r="F133" s="137"/>
    </row>
    <row r="134" spans="1:6" ht="15.75" customHeight="1">
      <c r="A134" s="146"/>
      <c r="B134" s="149"/>
      <c r="C134" s="148" t="s">
        <v>351</v>
      </c>
      <c r="D134" s="153"/>
      <c r="E134" s="137"/>
      <c r="F134" s="137"/>
    </row>
    <row r="135" spans="1:6" ht="15.75" customHeight="1">
      <c r="A135" s="146"/>
      <c r="B135" s="149"/>
      <c r="C135" s="148" t="s">
        <v>352</v>
      </c>
      <c r="D135" s="153"/>
      <c r="E135" s="137"/>
      <c r="F135" s="137"/>
    </row>
    <row r="136" spans="1:6" ht="15.75" customHeight="1">
      <c r="A136" s="146"/>
      <c r="B136" s="149"/>
      <c r="C136" s="148" t="s">
        <v>353</v>
      </c>
      <c r="D136" s="153"/>
      <c r="E136" s="137"/>
      <c r="F136" s="137"/>
    </row>
    <row r="137" spans="1:6" ht="15.75" customHeight="1">
      <c r="A137" s="146"/>
      <c r="B137" s="149" t="s">
        <v>354</v>
      </c>
      <c r="C137" s="149"/>
      <c r="D137" s="150">
        <f>SUM(D138:D143)</f>
        <v>0</v>
      </c>
      <c r="E137" s="137"/>
      <c r="F137" s="137"/>
    </row>
    <row r="138" spans="1:6" ht="15.75" customHeight="1">
      <c r="A138" s="146"/>
      <c r="B138" s="149"/>
      <c r="C138" s="148" t="s">
        <v>350</v>
      </c>
      <c r="D138" s="153"/>
      <c r="E138" s="137"/>
      <c r="F138" s="137"/>
    </row>
    <row r="139" spans="1:6" ht="15.75" customHeight="1">
      <c r="A139" s="146"/>
      <c r="B139" s="149"/>
      <c r="C139" s="148" t="s">
        <v>334</v>
      </c>
      <c r="D139" s="153"/>
      <c r="E139" s="137"/>
      <c r="F139" s="137"/>
    </row>
    <row r="140" spans="1:6" ht="15.75" customHeight="1">
      <c r="A140" s="146"/>
      <c r="B140" s="149"/>
      <c r="C140" s="148" t="s">
        <v>351</v>
      </c>
      <c r="D140" s="153"/>
      <c r="E140" s="137"/>
      <c r="F140" s="137"/>
    </row>
    <row r="141" spans="1:6" ht="15.75" customHeight="1">
      <c r="A141" s="146"/>
      <c r="B141" s="149"/>
      <c r="C141" s="148" t="s">
        <v>352</v>
      </c>
      <c r="D141" s="153"/>
      <c r="E141" s="137"/>
      <c r="F141" s="137"/>
    </row>
    <row r="142" spans="1:6" ht="15.75" customHeight="1">
      <c r="A142" s="146"/>
      <c r="B142" s="149"/>
      <c r="C142" s="148" t="s">
        <v>353</v>
      </c>
      <c r="D142" s="153"/>
      <c r="E142" s="137"/>
      <c r="F142" s="137"/>
    </row>
    <row r="143" spans="1:6" ht="15.75" customHeight="1">
      <c r="A143" s="146"/>
      <c r="B143" s="149"/>
      <c r="C143" s="148" t="s">
        <v>355</v>
      </c>
      <c r="D143" s="153"/>
      <c r="E143" s="137"/>
      <c r="F143" s="137"/>
    </row>
    <row r="144" spans="1:6" ht="15.75" customHeight="1">
      <c r="A144" s="146" t="s">
        <v>356</v>
      </c>
      <c r="B144" s="146"/>
      <c r="C144" s="146"/>
      <c r="D144" s="147">
        <f>D145+D149+D154</f>
        <v>0</v>
      </c>
      <c r="E144" s="137"/>
      <c r="F144" s="137"/>
    </row>
    <row r="145" spans="1:6" ht="15.75" customHeight="1">
      <c r="A145" s="146"/>
      <c r="B145" s="149" t="s">
        <v>357</v>
      </c>
      <c r="C145" s="149"/>
      <c r="D145" s="150">
        <f>SUM(D146:D148)</f>
        <v>0</v>
      </c>
      <c r="E145" s="137"/>
      <c r="F145" s="137"/>
    </row>
    <row r="146" spans="1:6" ht="15.75" customHeight="1">
      <c r="A146" s="146"/>
      <c r="B146" s="149"/>
      <c r="C146" s="148" t="s">
        <v>358</v>
      </c>
      <c r="D146" s="153"/>
      <c r="E146" s="137"/>
      <c r="F146" s="137"/>
    </row>
    <row r="147" spans="1:6" ht="15.75" customHeight="1">
      <c r="A147" s="146"/>
      <c r="B147" s="149"/>
      <c r="C147" s="148" t="s">
        <v>359</v>
      </c>
      <c r="D147" s="153"/>
      <c r="E147" s="137"/>
      <c r="F147" s="137"/>
    </row>
    <row r="148" spans="1:6" ht="15.75" customHeight="1">
      <c r="A148" s="146"/>
      <c r="B148" s="149"/>
      <c r="C148" s="148" t="s">
        <v>360</v>
      </c>
      <c r="D148" s="153"/>
      <c r="E148" s="137"/>
      <c r="F148" s="137"/>
    </row>
    <row r="149" spans="1:6" ht="15.75" customHeight="1">
      <c r="A149" s="146"/>
      <c r="B149" s="149" t="s">
        <v>361</v>
      </c>
      <c r="C149" s="149"/>
      <c r="D149" s="150">
        <f>SUM(D150:D153)</f>
        <v>0</v>
      </c>
      <c r="E149" s="137"/>
      <c r="F149" s="137"/>
    </row>
    <row r="150" spans="1:6" ht="15.75" customHeight="1">
      <c r="A150" s="146"/>
      <c r="B150" s="148"/>
      <c r="C150" s="148" t="s">
        <v>362</v>
      </c>
      <c r="D150" s="153"/>
      <c r="E150" s="137"/>
      <c r="F150" s="137"/>
    </row>
    <row r="151" spans="1:6" ht="15.75" customHeight="1">
      <c r="A151" s="146"/>
      <c r="B151" s="148"/>
      <c r="C151" s="148" t="s">
        <v>334</v>
      </c>
      <c r="D151" s="153"/>
      <c r="E151" s="137"/>
      <c r="F151" s="137"/>
    </row>
    <row r="152" spans="1:6" ht="15.75" customHeight="1">
      <c r="A152" s="146"/>
      <c r="B152" s="148"/>
      <c r="C152" s="148" t="s">
        <v>363</v>
      </c>
      <c r="D152" s="153"/>
      <c r="E152" s="137"/>
      <c r="F152" s="137"/>
    </row>
    <row r="153" spans="1:6" ht="15.75" customHeight="1">
      <c r="A153" s="146"/>
      <c r="B153" s="148"/>
      <c r="C153" s="148" t="s">
        <v>364</v>
      </c>
      <c r="D153" s="153"/>
      <c r="E153" s="137"/>
      <c r="F153" s="137"/>
    </row>
    <row r="154" spans="1:6" ht="15.75" customHeight="1">
      <c r="A154" s="146"/>
      <c r="B154" s="149" t="s">
        <v>365</v>
      </c>
      <c r="C154" s="149"/>
      <c r="D154" s="150">
        <f>SUM(D155:D159)</f>
        <v>0</v>
      </c>
      <c r="E154" s="137"/>
      <c r="F154" s="137"/>
    </row>
    <row r="155" spans="1:6" ht="15.75" customHeight="1">
      <c r="A155" s="146"/>
      <c r="B155" s="148"/>
      <c r="C155" s="148" t="s">
        <v>362</v>
      </c>
      <c r="D155" s="153"/>
      <c r="E155" s="137"/>
      <c r="F155" s="137"/>
    </row>
    <row r="156" spans="1:6" ht="15.75" customHeight="1">
      <c r="A156" s="146"/>
      <c r="B156" s="148"/>
      <c r="C156" s="148" t="s">
        <v>334</v>
      </c>
      <c r="D156" s="153"/>
      <c r="E156" s="137"/>
      <c r="F156" s="137"/>
    </row>
    <row r="157" spans="1:6" ht="15.75" customHeight="1">
      <c r="A157" s="146"/>
      <c r="B157" s="148"/>
      <c r="C157" s="148" t="s">
        <v>366</v>
      </c>
      <c r="D157" s="153"/>
      <c r="E157" s="137"/>
      <c r="F157" s="137"/>
    </row>
    <row r="158" spans="1:6" ht="15.75" customHeight="1">
      <c r="A158" s="146"/>
      <c r="B158" s="148"/>
      <c r="C158" s="148" t="s">
        <v>364</v>
      </c>
      <c r="D158" s="153"/>
      <c r="E158" s="137"/>
      <c r="F158" s="137"/>
    </row>
    <row r="159" spans="1:6" ht="15.75" customHeight="1">
      <c r="A159" s="146"/>
      <c r="B159" s="148"/>
      <c r="C159" s="148" t="s">
        <v>367</v>
      </c>
      <c r="D159" s="153"/>
      <c r="E159" s="137"/>
      <c r="F159" s="137"/>
    </row>
    <row r="160" spans="1:6" ht="15.75" customHeight="1">
      <c r="A160" s="146" t="s">
        <v>10</v>
      </c>
      <c r="B160" s="146"/>
      <c r="C160" s="146"/>
      <c r="D160" s="147">
        <f>D161+D168</f>
        <v>0</v>
      </c>
      <c r="E160" s="137"/>
      <c r="F160" s="137"/>
    </row>
    <row r="161" spans="1:6" ht="15.75" customHeight="1">
      <c r="A161" s="146"/>
      <c r="B161" s="149" t="s">
        <v>368</v>
      </c>
      <c r="C161" s="149"/>
      <c r="D161" s="150">
        <f>SUM(D162:D167)</f>
        <v>0</v>
      </c>
      <c r="E161" s="137"/>
      <c r="F161" s="137"/>
    </row>
    <row r="162" spans="1:6" ht="15.75" customHeight="1">
      <c r="A162" s="146"/>
      <c r="B162" s="149"/>
      <c r="C162" s="148" t="s">
        <v>369</v>
      </c>
      <c r="D162" s="153"/>
      <c r="E162" s="137"/>
      <c r="F162" s="137"/>
    </row>
    <row r="163" spans="1:6" ht="15.75" customHeight="1">
      <c r="A163" s="146"/>
      <c r="B163" s="149"/>
      <c r="C163" s="148" t="s">
        <v>370</v>
      </c>
      <c r="D163" s="153"/>
      <c r="E163" s="137"/>
      <c r="F163" s="137"/>
    </row>
    <row r="164" spans="1:6" ht="15.75" customHeight="1">
      <c r="A164" s="146"/>
      <c r="B164" s="149"/>
      <c r="C164" s="148" t="s">
        <v>371</v>
      </c>
      <c r="D164" s="153"/>
      <c r="E164" s="137"/>
      <c r="F164" s="137"/>
    </row>
    <row r="165" spans="1:6" ht="15.75" customHeight="1">
      <c r="A165" s="146"/>
      <c r="B165" s="149"/>
      <c r="C165" s="148" t="s">
        <v>372</v>
      </c>
      <c r="D165" s="153"/>
      <c r="E165" s="137"/>
      <c r="F165" s="137"/>
    </row>
    <row r="166" spans="1:6" ht="15.75" customHeight="1">
      <c r="A166" s="146"/>
      <c r="B166" s="149"/>
      <c r="C166" s="148" t="s">
        <v>373</v>
      </c>
      <c r="D166" s="153"/>
      <c r="E166" s="137"/>
      <c r="F166" s="137"/>
    </row>
    <row r="167" spans="1:6" ht="15.75" customHeight="1">
      <c r="A167" s="146"/>
      <c r="B167" s="149"/>
      <c r="C167" s="148" t="s">
        <v>374</v>
      </c>
      <c r="D167" s="153"/>
      <c r="E167" s="137"/>
      <c r="F167" s="137"/>
    </row>
    <row r="168" spans="1:6" ht="15.75" customHeight="1">
      <c r="A168" s="146"/>
      <c r="B168" s="149" t="s">
        <v>375</v>
      </c>
      <c r="C168" s="149"/>
      <c r="D168" s="150">
        <f>SUM(D169:D172)</f>
        <v>0</v>
      </c>
      <c r="E168" s="137"/>
      <c r="F168" s="137"/>
    </row>
    <row r="169" spans="1:6" ht="15.75" customHeight="1">
      <c r="A169" s="146"/>
      <c r="B169" s="149"/>
      <c r="C169" s="148" t="s">
        <v>376</v>
      </c>
      <c r="D169" s="153"/>
      <c r="E169" s="137"/>
      <c r="F169" s="137"/>
    </row>
    <row r="170" spans="1:6" ht="15.75" customHeight="1">
      <c r="A170" s="146"/>
      <c r="B170" s="149"/>
      <c r="C170" s="148" t="s">
        <v>377</v>
      </c>
      <c r="D170" s="153"/>
      <c r="E170" s="137"/>
      <c r="F170" s="137"/>
    </row>
    <row r="171" spans="1:6" ht="15.75" customHeight="1">
      <c r="A171" s="146"/>
      <c r="B171" s="149"/>
      <c r="C171" s="148" t="s">
        <v>378</v>
      </c>
      <c r="D171" s="153"/>
      <c r="E171" s="137"/>
      <c r="F171" s="137"/>
    </row>
    <row r="172" spans="1:6" ht="15.75" customHeight="1">
      <c r="A172" s="146"/>
      <c r="B172" s="149"/>
      <c r="C172" s="148" t="s">
        <v>379</v>
      </c>
      <c r="D172" s="153"/>
      <c r="E172" s="137"/>
      <c r="F172" s="137"/>
    </row>
    <row r="173" spans="1:6" ht="15.75" customHeight="1">
      <c r="A173" s="146" t="s">
        <v>15</v>
      </c>
      <c r="B173" s="146"/>
      <c r="C173" s="146"/>
      <c r="D173" s="147">
        <f>SUM(D174:D177)</f>
        <v>0</v>
      </c>
      <c r="E173" s="137"/>
      <c r="F173" s="137"/>
    </row>
    <row r="174" spans="1:6" ht="15.75" customHeight="1">
      <c r="A174" s="146"/>
      <c r="B174" s="148" t="s">
        <v>380</v>
      </c>
      <c r="C174" s="148"/>
      <c r="D174" s="153"/>
      <c r="E174" s="137"/>
      <c r="F174" s="137"/>
    </row>
    <row r="175" spans="1:6" ht="15.75" customHeight="1">
      <c r="A175" s="146"/>
      <c r="B175" s="148" t="s">
        <v>381</v>
      </c>
      <c r="C175" s="148"/>
      <c r="D175" s="153"/>
      <c r="E175" s="137"/>
      <c r="F175" s="137"/>
    </row>
    <row r="176" spans="1:6" ht="15.75" customHeight="1">
      <c r="A176" s="146"/>
      <c r="B176" s="148" t="s">
        <v>382</v>
      </c>
      <c r="C176" s="148"/>
      <c r="D176" s="153"/>
      <c r="E176" s="137"/>
      <c r="F176" s="137"/>
    </row>
    <row r="177" spans="1:6" ht="15.75" customHeight="1">
      <c r="A177" s="146"/>
      <c r="B177" s="148" t="s">
        <v>383</v>
      </c>
      <c r="C177" s="148"/>
      <c r="D177" s="153"/>
      <c r="E177" s="137"/>
      <c r="F177" s="137"/>
    </row>
    <row r="178" spans="1:6" ht="15.75" customHeight="1">
      <c r="A178" s="146" t="s">
        <v>14</v>
      </c>
      <c r="B178" s="146"/>
      <c r="C178" s="146"/>
      <c r="D178" s="147">
        <f>D179+D188</f>
        <v>0</v>
      </c>
      <c r="E178" s="137"/>
      <c r="F178" s="137"/>
    </row>
    <row r="179" spans="1:6" ht="15.75" customHeight="1">
      <c r="A179" s="146"/>
      <c r="B179" s="149" t="s">
        <v>384</v>
      </c>
      <c r="C179" s="149"/>
      <c r="D179" s="150">
        <f>SUM(D180:D187)</f>
        <v>0</v>
      </c>
      <c r="E179" s="137"/>
      <c r="F179" s="137"/>
    </row>
    <row r="180" spans="1:6" ht="15.75" customHeight="1">
      <c r="A180" s="146"/>
      <c r="B180" s="149"/>
      <c r="C180" s="148" t="s">
        <v>385</v>
      </c>
      <c r="D180" s="153"/>
      <c r="E180" s="137"/>
      <c r="F180" s="137"/>
    </row>
    <row r="181" spans="1:6" ht="15.75" customHeight="1">
      <c r="A181" s="146"/>
      <c r="B181" s="149"/>
      <c r="C181" s="148" t="s">
        <v>386</v>
      </c>
      <c r="D181" s="153"/>
      <c r="E181" s="137"/>
      <c r="F181" s="137"/>
    </row>
    <row r="182" spans="1:6" ht="15.75" customHeight="1">
      <c r="A182" s="146"/>
      <c r="B182" s="149"/>
      <c r="C182" s="148" t="s">
        <v>387</v>
      </c>
      <c r="D182" s="153"/>
      <c r="E182" s="137"/>
      <c r="F182" s="137"/>
    </row>
    <row r="183" spans="1:6" ht="15.75" customHeight="1">
      <c r="A183" s="146"/>
      <c r="B183" s="149"/>
      <c r="C183" s="148" t="s">
        <v>388</v>
      </c>
      <c r="D183" s="153"/>
      <c r="E183" s="137"/>
      <c r="F183" s="137"/>
    </row>
    <row r="184" spans="1:6" ht="15.75" customHeight="1">
      <c r="A184" s="146"/>
      <c r="B184" s="149"/>
      <c r="C184" s="148" t="s">
        <v>389</v>
      </c>
      <c r="D184" s="153"/>
      <c r="E184" s="137"/>
      <c r="F184" s="137"/>
    </row>
    <row r="185" spans="1:6" ht="15.75" customHeight="1">
      <c r="A185" s="146"/>
      <c r="B185" s="149"/>
      <c r="C185" s="148" t="s">
        <v>410</v>
      </c>
      <c r="D185" s="153"/>
      <c r="E185" s="137"/>
      <c r="F185" s="137"/>
    </row>
    <row r="186" spans="1:6" ht="15.75" customHeight="1">
      <c r="A186" s="146"/>
      <c r="B186" s="149"/>
      <c r="C186" s="148" t="s">
        <v>411</v>
      </c>
      <c r="D186" s="153"/>
      <c r="E186" s="137"/>
      <c r="F186" s="137"/>
    </row>
    <row r="187" spans="1:6" ht="15.75" customHeight="1">
      <c r="A187" s="146"/>
      <c r="B187" s="149"/>
      <c r="C187" s="148" t="s">
        <v>390</v>
      </c>
      <c r="D187" s="153"/>
      <c r="E187" s="137"/>
      <c r="F187" s="137"/>
    </row>
    <row r="188" spans="1:6" ht="15.75" customHeight="1">
      <c r="A188" s="146"/>
      <c r="B188" s="149" t="s">
        <v>391</v>
      </c>
      <c r="C188" s="149"/>
      <c r="D188" s="150">
        <f>SUM(D189:D191)</f>
        <v>0</v>
      </c>
      <c r="E188" s="137"/>
      <c r="F188" s="137"/>
    </row>
    <row r="189" spans="1:6" ht="15.75" customHeight="1">
      <c r="A189" s="146"/>
      <c r="B189" s="149"/>
      <c r="C189" s="148" t="s">
        <v>392</v>
      </c>
      <c r="D189" s="153"/>
      <c r="E189" s="137"/>
      <c r="F189" s="137"/>
    </row>
    <row r="190" spans="1:6" ht="15.75" customHeight="1">
      <c r="A190" s="146"/>
      <c r="B190" s="149"/>
      <c r="C190" s="148" t="s">
        <v>393</v>
      </c>
      <c r="D190" s="153"/>
      <c r="E190" s="137"/>
      <c r="F190" s="137"/>
    </row>
    <row r="191" spans="1:6" ht="15.75" customHeight="1">
      <c r="A191" s="146"/>
      <c r="B191" s="149"/>
      <c r="C191" s="148" t="s">
        <v>394</v>
      </c>
      <c r="D191" s="153"/>
      <c r="E191" s="137"/>
      <c r="F191" s="137"/>
    </row>
    <row r="192" spans="1:6" ht="15.75" customHeight="1">
      <c r="A192" s="146" t="s">
        <v>395</v>
      </c>
      <c r="B192" s="146"/>
      <c r="C192" s="146"/>
      <c r="D192" s="147">
        <f>SUM(D193:D196)</f>
        <v>0</v>
      </c>
      <c r="E192" s="137"/>
      <c r="F192" s="137"/>
    </row>
    <row r="193" spans="1:4" ht="15.75" customHeight="1">
      <c r="A193" s="146"/>
      <c r="B193" s="148" t="s">
        <v>396</v>
      </c>
      <c r="C193" s="148"/>
      <c r="D193" s="153"/>
    </row>
    <row r="194" spans="1:4" ht="15.75" customHeight="1">
      <c r="A194" s="146"/>
      <c r="B194" s="148" t="s">
        <v>397</v>
      </c>
      <c r="C194" s="148"/>
      <c r="D194" s="153"/>
    </row>
    <row r="195" spans="1:4" ht="15.75" customHeight="1">
      <c r="A195" s="146"/>
      <c r="B195" s="148" t="s">
        <v>398</v>
      </c>
      <c r="C195" s="148"/>
      <c r="D195" s="153"/>
    </row>
    <row r="196" spans="1:4" ht="15.75" customHeight="1">
      <c r="A196" s="146"/>
      <c r="B196" s="148" t="s">
        <v>399</v>
      </c>
      <c r="C196" s="148"/>
      <c r="D196" s="153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 tint="-0.499984740745262"/>
    <outlinePr summaryBelow="0" summaryRight="0"/>
  </sheetPr>
  <dimension ref="B1:Q196"/>
  <sheetViews>
    <sheetView showGridLines="0" showZeros="0" zoomScale="104" zoomScaleNormal="104" workbookViewId="0">
      <pane ySplit="6" topLeftCell="A10" activePane="bottomLeft" state="frozen"/>
      <selection activeCell="J8" sqref="J8:J9"/>
      <selection pane="bottomLeft" activeCell="J8" sqref="J8:J9"/>
    </sheetView>
  </sheetViews>
  <sheetFormatPr defaultColWidth="12.7109375" defaultRowHeight="12.75"/>
  <cols>
    <col min="1" max="1" width="1.140625" style="23" customWidth="1"/>
    <col min="2" max="2" width="7" style="21" customWidth="1"/>
    <col min="3" max="3" width="22.28515625" style="21" customWidth="1"/>
    <col min="4" max="15" width="12.7109375" style="52"/>
    <col min="16" max="17" width="13.7109375" style="276" bestFit="1" customWidth="1"/>
    <col min="18" max="16384" width="12.7109375" style="23"/>
  </cols>
  <sheetData>
    <row r="1" spans="2:17" ht="5.25" customHeight="1" thickBot="1">
      <c r="B1" s="23"/>
      <c r="C1" s="2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2:17" s="27" customFormat="1" ht="15" customHeight="1">
      <c r="B2" s="1484" t="s">
        <v>95</v>
      </c>
      <c r="C2" s="1485"/>
      <c r="D2" s="1485"/>
      <c r="E2" s="1485"/>
      <c r="F2" s="1485"/>
      <c r="G2" s="1485"/>
      <c r="H2" s="1485"/>
      <c r="I2" s="1485"/>
      <c r="J2" s="1485"/>
      <c r="K2" s="1485"/>
      <c r="L2" s="1485"/>
      <c r="M2" s="1485"/>
      <c r="N2" s="1485"/>
      <c r="O2" s="1486"/>
      <c r="P2" s="277"/>
      <c r="Q2" s="277"/>
    </row>
    <row r="3" spans="2:17" s="27" customFormat="1" ht="15" customHeight="1">
      <c r="B3" s="1487" t="s">
        <v>96</v>
      </c>
      <c r="C3" s="1488"/>
      <c r="D3" s="1489" t="str">
        <f>'1.PM'!C3</f>
        <v>Levetiracetam Tablets</v>
      </c>
      <c r="E3" s="1489"/>
      <c r="F3" s="1489"/>
      <c r="G3" s="1489"/>
      <c r="H3" s="1489"/>
      <c r="I3" s="1489"/>
      <c r="J3" s="1489"/>
      <c r="K3" s="1489"/>
      <c r="L3" s="1489"/>
      <c r="M3" s="1489"/>
      <c r="N3" s="1489"/>
      <c r="O3" s="1490"/>
      <c r="P3" s="277"/>
      <c r="Q3" s="277"/>
    </row>
    <row r="4" spans="2:17" s="19" customFormat="1" ht="15" customHeight="1">
      <c r="B4" s="1487" t="s">
        <v>924</v>
      </c>
      <c r="C4" s="1488"/>
      <c r="D4" s="223" t="str">
        <f>IF(ISBLANK('1.PM'!C$4),"",'1.PM'!C$4 &amp;" " &amp; '1.PM'!$O$4)</f>
        <v>250 mg</v>
      </c>
      <c r="E4" s="223" t="str">
        <f>IF(ISBLANK('1.PM'!D$4),"",'1.PM'!D$4 &amp;" " &amp; '1.PM'!$O$4)</f>
        <v>500 mg</v>
      </c>
      <c r="F4" s="223" t="str">
        <f>IF(ISBLANK('1.PM'!E$4),"",'1.PM'!E$4 &amp;" " &amp; '1.PM'!$O$4)</f>
        <v>750 mg</v>
      </c>
      <c r="G4" s="223" t="str">
        <f>IF(ISBLANK('1.PM'!F$4),"",'1.PM'!F$4 &amp;" " &amp; '1.PM'!$O$4)</f>
        <v>1000 mg</v>
      </c>
      <c r="H4" s="223" t="str">
        <f>IF(ISBLANK('1.PM'!G$4),"",'1.PM'!G$4 &amp;" " &amp; '1.PM'!$O$4)</f>
        <v/>
      </c>
      <c r="I4" s="223" t="str">
        <f>IF(ISBLANK('1.PM'!H$4),"",'1.PM'!H$4 &amp;" " &amp; '1.PM'!$O$4)</f>
        <v/>
      </c>
      <c r="J4" s="223" t="str">
        <f>IF(ISBLANK('1.PM'!I$4),"",'1.PM'!I$4 &amp;" " &amp; '1.PM'!$O$4)</f>
        <v/>
      </c>
      <c r="K4" s="223" t="str">
        <f>IF(ISBLANK('1.PM'!J$4),"",'1.PM'!J$4 &amp;" " &amp; '1.PM'!$O$4)</f>
        <v/>
      </c>
      <c r="L4" s="223" t="str">
        <f>IF(ISBLANK('1.PM'!K$4),"",'1.PM'!K$4 &amp;" " &amp; '1.PM'!$O$4)</f>
        <v/>
      </c>
      <c r="M4" s="223" t="str">
        <f>IF(ISBLANK('1.PM'!L$4),"",'1.PM'!L$4 &amp;" " &amp; '1.PM'!$O$4)</f>
        <v/>
      </c>
      <c r="N4" s="223" t="str">
        <f>IF(ISBLANK('1.PM'!M$4),"",'1.PM'!M$4 &amp;" " &amp; '1.PM'!$O$4)</f>
        <v/>
      </c>
      <c r="O4" s="224" t="str">
        <f>IF(ISBLANK('1.PM'!N$4),"",'1.PM'!N$4 &amp;" " &amp; '1.PM'!$O$4)</f>
        <v/>
      </c>
      <c r="P4" s="185"/>
      <c r="Q4" s="185"/>
    </row>
    <row r="5" spans="2:17" s="19" customFormat="1" ht="15" customHeight="1" thickBot="1">
      <c r="B5" s="225" t="s">
        <v>402</v>
      </c>
      <c r="C5" s="226"/>
      <c r="D5" s="227" t="str">
        <f>IF(ISBLANK('1.PM'!C$6),"",'1.PM'!C$6)</f>
        <v/>
      </c>
      <c r="E5" s="227" t="str">
        <f>IF(ISBLANK('1.PM'!D$6),"",'1.PM'!D$6)</f>
        <v/>
      </c>
      <c r="F5" s="227" t="str">
        <f>IF(ISBLANK('1.PM'!E$6),"",'1.PM'!E$6)</f>
        <v/>
      </c>
      <c r="G5" s="227" t="str">
        <f>IF(ISBLANK('1.PM'!F$6),"",'1.PM'!F$6)</f>
        <v/>
      </c>
      <c r="H5" s="227" t="str">
        <f>IF(ISBLANK('1.PM'!G$6),"",'1.PM'!G$6)</f>
        <v/>
      </c>
      <c r="I5" s="227" t="str">
        <f>IF(ISBLANK('1.PM'!H$6),"",'1.PM'!H$6)</f>
        <v/>
      </c>
      <c r="J5" s="227" t="str">
        <f>IF(ISBLANK('1.PM'!I$6),"",'1.PM'!I$6)</f>
        <v/>
      </c>
      <c r="K5" s="227" t="str">
        <f>IF(ISBLANK('1.PM'!J$6),"",'1.PM'!J$6)</f>
        <v/>
      </c>
      <c r="L5" s="227" t="str">
        <f>IF(ISBLANK('1.PM'!K$6),"",'1.PM'!K$6)</f>
        <v/>
      </c>
      <c r="M5" s="227" t="str">
        <f>IF(ISBLANK('1.PM'!L$6),"",'1.PM'!L$6)</f>
        <v/>
      </c>
      <c r="N5" s="227" t="str">
        <f>IF(ISBLANK('1.PM'!M$6),"",'1.PM'!M$6)</f>
        <v/>
      </c>
      <c r="O5" s="228" t="str">
        <f>IF(ISBLANK('1.PM'!N$6),"",'1.PM'!N$6)</f>
        <v/>
      </c>
      <c r="P5" s="185"/>
      <c r="Q5" s="185"/>
    </row>
    <row r="6" spans="2:17" s="25" customFormat="1" ht="7.5" customHeight="1">
      <c r="B6" s="24"/>
      <c r="C6" s="24"/>
      <c r="D6" s="38"/>
      <c r="E6" s="39"/>
      <c r="F6" s="39"/>
      <c r="G6" s="40"/>
      <c r="H6" s="41"/>
      <c r="I6" s="41"/>
      <c r="J6" s="42"/>
      <c r="K6" s="39"/>
      <c r="L6" s="39"/>
      <c r="M6" s="43"/>
      <c r="N6" s="43"/>
      <c r="O6" s="43"/>
      <c r="P6" s="278"/>
      <c r="Q6" s="278"/>
    </row>
    <row r="7" spans="2:17" s="25" customFormat="1" ht="7.5" customHeight="1">
      <c r="B7" s="24"/>
      <c r="C7" s="24"/>
      <c r="D7" s="38"/>
      <c r="E7" s="39"/>
      <c r="F7" s="39"/>
      <c r="G7" s="40"/>
      <c r="H7" s="41"/>
      <c r="I7" s="41"/>
      <c r="J7" s="42"/>
      <c r="K7" s="39"/>
      <c r="L7" s="39"/>
      <c r="M7" s="43"/>
      <c r="N7" s="43"/>
      <c r="O7" s="43"/>
      <c r="P7" s="278"/>
      <c r="Q7" s="278"/>
    </row>
    <row r="8" spans="2:17" s="25" customFormat="1" ht="15" customHeight="1">
      <c r="B8" s="24"/>
      <c r="C8" s="528" t="s">
        <v>896</v>
      </c>
      <c r="D8" s="528">
        <f>'1.PM'!C22*10%</f>
        <v>0</v>
      </c>
      <c r="E8" s="528">
        <f>'1.PM'!D22*10%</f>
        <v>0</v>
      </c>
      <c r="F8" s="13">
        <f>'1.PM'!E25*10</f>
        <v>0</v>
      </c>
      <c r="G8" s="13">
        <f>'1.PM'!F25*10</f>
        <v>0</v>
      </c>
      <c r="H8" s="13">
        <f>'1.PM'!G25*10</f>
        <v>0</v>
      </c>
      <c r="I8" s="13">
        <f>'1.PM'!H25*10</f>
        <v>0</v>
      </c>
      <c r="J8" s="13">
        <f>'1.PM'!I25*10</f>
        <v>0</v>
      </c>
      <c r="K8" s="13">
        <f>'1.PM'!J25*10</f>
        <v>0</v>
      </c>
      <c r="L8" s="13">
        <f>'1.PM'!K25*10</f>
        <v>0</v>
      </c>
      <c r="M8" s="13">
        <f>'1.PM'!L25*10</f>
        <v>0</v>
      </c>
      <c r="N8" s="13">
        <f>'1.PM'!M25*10</f>
        <v>0</v>
      </c>
      <c r="O8" s="13">
        <f>'1.PM'!N25*10</f>
        <v>0</v>
      </c>
      <c r="P8" s="278"/>
      <c r="Q8" s="276"/>
    </row>
    <row r="9" spans="2:17" s="25" customFormat="1" ht="15" customHeight="1">
      <c r="B9" s="24"/>
      <c r="C9" s="528" t="s">
        <v>897</v>
      </c>
      <c r="D9" s="529">
        <f>D8*$O$56</f>
        <v>0</v>
      </c>
      <c r="E9" s="529">
        <f t="shared" ref="E9:O9" si="0">E8*$O$56</f>
        <v>0</v>
      </c>
      <c r="F9" s="229">
        <f t="shared" si="0"/>
        <v>0</v>
      </c>
      <c r="G9" s="229">
        <f t="shared" si="0"/>
        <v>0</v>
      </c>
      <c r="H9" s="229">
        <f t="shared" si="0"/>
        <v>0</v>
      </c>
      <c r="I9" s="229">
        <f t="shared" si="0"/>
        <v>0</v>
      </c>
      <c r="J9" s="229">
        <f t="shared" si="0"/>
        <v>0</v>
      </c>
      <c r="K9" s="229">
        <f t="shared" si="0"/>
        <v>0</v>
      </c>
      <c r="L9" s="229">
        <f t="shared" si="0"/>
        <v>0</v>
      </c>
      <c r="M9" s="229">
        <f t="shared" si="0"/>
        <v>0</v>
      </c>
      <c r="N9" s="229">
        <f t="shared" si="0"/>
        <v>0</v>
      </c>
      <c r="O9" s="229">
        <f t="shared" si="0"/>
        <v>0</v>
      </c>
      <c r="P9" s="278"/>
      <c r="Q9" s="276"/>
    </row>
    <row r="10" spans="2:17" s="25" customFormat="1" ht="15" customHeight="1">
      <c r="B10" s="24"/>
      <c r="C10" s="528" t="s">
        <v>893</v>
      </c>
      <c r="D10" s="528">
        <f>'2.1.FDGL-US'!D7</f>
        <v>44.604799179999993</v>
      </c>
      <c r="E10" s="528">
        <f>'2.1.FDGL-US'!E7</f>
        <v>39.311609249999997</v>
      </c>
      <c r="F10" s="274">
        <f>'2.1.FDGL-US'!F7</f>
        <v>42.878814460000008</v>
      </c>
      <c r="G10" s="274">
        <f>'2.1.FDGL-US'!G7</f>
        <v>68.065730559999992</v>
      </c>
      <c r="H10" s="274">
        <f>'2.1.FDGL-US'!H7</f>
        <v>0</v>
      </c>
      <c r="I10" s="274">
        <f>'2.1.FDGL-US'!I7</f>
        <v>0</v>
      </c>
      <c r="J10" s="274">
        <f>'2.1.FDGL-US'!J7</f>
        <v>0</v>
      </c>
      <c r="K10" s="274">
        <f>'2.1.FDGL-US'!K7</f>
        <v>0</v>
      </c>
      <c r="L10" s="274">
        <f>'2.1.FDGL-US'!L7</f>
        <v>0</v>
      </c>
      <c r="M10" s="274">
        <f>'2.1.FDGL-US'!M7</f>
        <v>0</v>
      </c>
      <c r="N10" s="274">
        <f>'2.1.FDGL-US'!N7</f>
        <v>0</v>
      </c>
      <c r="O10" s="274">
        <f>'2.1.FDGL-US'!O7</f>
        <v>0</v>
      </c>
      <c r="P10" s="278"/>
      <c r="Q10" s="276"/>
    </row>
    <row r="11" spans="2:17" s="25" customFormat="1" ht="7.5" customHeight="1">
      <c r="B11" s="24"/>
      <c r="C11" s="24"/>
      <c r="D11" s="38"/>
      <c r="E11" s="39"/>
      <c r="F11" s="39"/>
      <c r="G11" s="40"/>
      <c r="H11" s="41"/>
      <c r="I11" s="41"/>
      <c r="J11" s="42"/>
      <c r="K11" s="39"/>
      <c r="L11" s="39"/>
      <c r="M11" s="43"/>
      <c r="N11" s="43"/>
      <c r="O11" s="43"/>
      <c r="P11" s="278"/>
      <c r="Q11" s="276"/>
    </row>
    <row r="12" spans="2:17" ht="14.25">
      <c r="B12" s="23"/>
      <c r="C12" s="23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78"/>
    </row>
    <row r="13" spans="2:17" ht="14.25">
      <c r="B13" s="23"/>
      <c r="C13" s="23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278"/>
    </row>
    <row r="14" spans="2:17" ht="14.25">
      <c r="B14" s="23"/>
      <c r="C14" s="23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78"/>
    </row>
    <row r="15" spans="2:17" ht="14.25">
      <c r="B15" s="23"/>
      <c r="C15" s="23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78"/>
    </row>
    <row r="16" spans="2:17" ht="14.25">
      <c r="B16" s="23"/>
      <c r="C16" s="23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278"/>
    </row>
    <row r="17" spans="2:16" ht="14.25">
      <c r="B17" s="23"/>
      <c r="C17" s="23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278"/>
    </row>
    <row r="18" spans="2:16" ht="14.25">
      <c r="B18" s="23"/>
      <c r="C18" s="23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78"/>
    </row>
    <row r="19" spans="2:16" ht="14.25">
      <c r="B19" s="23"/>
      <c r="C19" s="23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278"/>
    </row>
    <row r="20" spans="2:16" ht="14.25">
      <c r="B20" s="23"/>
      <c r="C20" s="23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278"/>
    </row>
    <row r="21" spans="2:16" ht="14.25">
      <c r="B21" s="23"/>
      <c r="C21" s="23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78"/>
    </row>
    <row r="22" spans="2:16">
      <c r="B22" s="23"/>
      <c r="C22" s="23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2:16">
      <c r="B23" s="23"/>
      <c r="C23" s="23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2:16">
      <c r="B24" s="23"/>
      <c r="C24" s="23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2:16">
      <c r="B25" s="23"/>
      <c r="C25" s="23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2:16">
      <c r="B26" s="23"/>
      <c r="C26" s="23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2:16">
      <c r="B27" s="23"/>
      <c r="C27" s="23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2:16">
      <c r="B28" s="23"/>
      <c r="C28" s="23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2:16">
      <c r="B29" s="23"/>
      <c r="C29" s="23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</row>
    <row r="30" spans="2:16">
      <c r="B30" s="23"/>
      <c r="C30" s="23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</row>
    <row r="31" spans="2:16">
      <c r="B31" s="127"/>
      <c r="C31" s="127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</row>
    <row r="32" spans="2:16">
      <c r="B32" s="23"/>
      <c r="C32" s="23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</row>
    <row r="33" spans="2:15">
      <c r="B33" s="23"/>
      <c r="C33" s="23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</row>
    <row r="34" spans="2:15">
      <c r="B34" s="23"/>
      <c r="C34" s="23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</row>
    <row r="35" spans="2:15">
      <c r="B35" s="23"/>
      <c r="C35" s="23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</row>
    <row r="36" spans="2:15">
      <c r="B36" s="23"/>
      <c r="C36" s="23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</row>
    <row r="37" spans="2:15">
      <c r="B37" s="23"/>
      <c r="C37" s="23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8" spans="2:15">
      <c r="B38" s="23"/>
      <c r="C38" s="23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</row>
    <row r="39" spans="2:15">
      <c r="B39" s="23"/>
      <c r="C39" s="23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</row>
    <row r="40" spans="2:15">
      <c r="B40" s="23"/>
      <c r="C40" s="23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</row>
    <row r="41" spans="2:15">
      <c r="B41" s="23"/>
      <c r="C41" s="23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2:15">
      <c r="B42" s="23"/>
      <c r="C42" s="23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2:15">
      <c r="B43" s="23"/>
      <c r="C43" s="23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2:15">
      <c r="B44" s="23"/>
      <c r="C44" s="23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2:15">
      <c r="B45" s="23"/>
      <c r="C45" s="23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2:15">
      <c r="B46" s="23"/>
      <c r="C46" s="23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2:15">
      <c r="B47" s="23"/>
      <c r="C47" s="23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2:15">
      <c r="B48" s="23"/>
      <c r="C48" s="23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2:17">
      <c r="B49" s="23"/>
      <c r="C49" s="23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2:17">
      <c r="B50" s="23"/>
      <c r="C50" s="23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2:17">
      <c r="B51" s="23"/>
      <c r="C51" s="23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2:17">
      <c r="B52" s="23"/>
      <c r="C52" s="23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2:17">
      <c r="B53" s="23"/>
      <c r="C53" s="23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  <row r="54" spans="2:17">
      <c r="B54" s="23"/>
      <c r="C54" s="23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</row>
    <row r="55" spans="2:17">
      <c r="B55" s="23"/>
      <c r="C55" s="23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</row>
    <row r="56" spans="2:17" s="25" customFormat="1" ht="15" hidden="1" customHeight="1" thickTop="1" thickBot="1">
      <c r="B56" s="24"/>
      <c r="C56" s="24"/>
      <c r="D56" s="38"/>
      <c r="E56" s="39"/>
      <c r="F56" s="39"/>
      <c r="G56" s="40"/>
      <c r="H56" s="41"/>
      <c r="I56" s="41"/>
      <c r="J56" s="42"/>
      <c r="K56" s="39"/>
      <c r="L56" s="39"/>
      <c r="M56" s="43"/>
      <c r="N56" s="275" t="s">
        <v>898</v>
      </c>
      <c r="O56" s="280">
        <v>67</v>
      </c>
      <c r="P56" s="278"/>
      <c r="Q56" s="278"/>
    </row>
    <row r="57" spans="2:17" s="25" customFormat="1" ht="7.5" customHeight="1" thickBot="1">
      <c r="B57" s="24"/>
      <c r="C57" s="24"/>
      <c r="D57" s="38"/>
      <c r="E57" s="39"/>
      <c r="F57" s="39"/>
      <c r="G57" s="40"/>
      <c r="H57" s="41"/>
      <c r="I57" s="41"/>
      <c r="J57" s="42"/>
      <c r="K57" s="39"/>
      <c r="L57" s="39"/>
      <c r="M57" s="43"/>
      <c r="N57" s="43"/>
      <c r="O57" s="43"/>
      <c r="P57" s="278"/>
      <c r="Q57" s="278"/>
    </row>
    <row r="58" spans="2:17" ht="15">
      <c r="B58" s="1491" t="s">
        <v>892</v>
      </c>
      <c r="C58" s="1492"/>
      <c r="D58" s="1492"/>
      <c r="E58" s="1492"/>
      <c r="F58" s="1492"/>
      <c r="G58" s="1492"/>
      <c r="H58" s="1492"/>
      <c r="I58" s="1492"/>
      <c r="J58" s="1492"/>
      <c r="K58" s="1492"/>
      <c r="L58" s="1492"/>
      <c r="M58" s="1492"/>
      <c r="N58" s="1492"/>
      <c r="O58" s="1493"/>
      <c r="P58" s="279">
        <f>SUM(D9:O9)</f>
        <v>0</v>
      </c>
      <c r="Q58" s="278">
        <f>P58-P59</f>
        <v>-194.86095344999998</v>
      </c>
    </row>
    <row r="59" spans="2:17" ht="15" customHeight="1">
      <c r="B59" s="1478">
        <f>P58</f>
        <v>0</v>
      </c>
      <c r="C59" s="1479"/>
      <c r="D59" s="1479"/>
      <c r="E59" s="1479"/>
      <c r="F59" s="1479"/>
      <c r="G59" s="1479"/>
      <c r="H59" s="1479"/>
      <c r="I59" s="1479"/>
      <c r="J59" s="1479"/>
      <c r="K59" s="1479"/>
      <c r="L59" s="1479"/>
      <c r="M59" s="1479"/>
      <c r="N59" s="1479"/>
      <c r="O59" s="1480"/>
      <c r="P59" s="278">
        <f>SUM(D10:O10)</f>
        <v>194.86095344999998</v>
      </c>
      <c r="Q59" s="278"/>
    </row>
    <row r="60" spans="2:17" ht="12.75" customHeight="1">
      <c r="B60" s="1478"/>
      <c r="C60" s="1479"/>
      <c r="D60" s="1479"/>
      <c r="E60" s="1479"/>
      <c r="F60" s="1479"/>
      <c r="G60" s="1479"/>
      <c r="H60" s="1479"/>
      <c r="I60" s="1479"/>
      <c r="J60" s="1479"/>
      <c r="K60" s="1479"/>
      <c r="L60" s="1479"/>
      <c r="M60" s="1479"/>
      <c r="N60" s="1479"/>
      <c r="O60" s="1480"/>
    </row>
    <row r="61" spans="2:17" ht="12.75" customHeight="1">
      <c r="B61" s="1478"/>
      <c r="C61" s="1479"/>
      <c r="D61" s="1479"/>
      <c r="E61" s="1479"/>
      <c r="F61" s="1479"/>
      <c r="G61" s="1479"/>
      <c r="H61" s="1479"/>
      <c r="I61" s="1479"/>
      <c r="J61" s="1479"/>
      <c r="K61" s="1479"/>
      <c r="L61" s="1479"/>
      <c r="M61" s="1479"/>
      <c r="N61" s="1479"/>
      <c r="O61" s="1480"/>
    </row>
    <row r="62" spans="2:17" ht="12.75" customHeight="1">
      <c r="B62" s="1478"/>
      <c r="C62" s="1479"/>
      <c r="D62" s="1479"/>
      <c r="E62" s="1479"/>
      <c r="F62" s="1479"/>
      <c r="G62" s="1479"/>
      <c r="H62" s="1479"/>
      <c r="I62" s="1479"/>
      <c r="J62" s="1479"/>
      <c r="K62" s="1479"/>
      <c r="L62" s="1479"/>
      <c r="M62" s="1479"/>
      <c r="N62" s="1479"/>
      <c r="O62" s="1480"/>
    </row>
    <row r="63" spans="2:17" ht="12.75" customHeight="1">
      <c r="B63" s="1478"/>
      <c r="C63" s="1479"/>
      <c r="D63" s="1479"/>
      <c r="E63" s="1479"/>
      <c r="F63" s="1479"/>
      <c r="G63" s="1479"/>
      <c r="H63" s="1479"/>
      <c r="I63" s="1479"/>
      <c r="J63" s="1479"/>
      <c r="K63" s="1479"/>
      <c r="L63" s="1479"/>
      <c r="M63" s="1479"/>
      <c r="N63" s="1479"/>
      <c r="O63" s="1480"/>
    </row>
    <row r="64" spans="2:17" ht="12.75" customHeight="1">
      <c r="B64" s="1478"/>
      <c r="C64" s="1479"/>
      <c r="D64" s="1479"/>
      <c r="E64" s="1479"/>
      <c r="F64" s="1479"/>
      <c r="G64" s="1479"/>
      <c r="H64" s="1479"/>
      <c r="I64" s="1479"/>
      <c r="J64" s="1479"/>
      <c r="K64" s="1479"/>
      <c r="L64" s="1479"/>
      <c r="M64" s="1479"/>
      <c r="N64" s="1479"/>
      <c r="O64" s="1480"/>
    </row>
    <row r="65" spans="2:17" ht="12.75" customHeight="1">
      <c r="B65" s="1481">
        <f>P59</f>
        <v>194.86095344999998</v>
      </c>
      <c r="C65" s="1482"/>
      <c r="D65" s="1482"/>
      <c r="E65" s="1482"/>
      <c r="F65" s="1482"/>
      <c r="G65" s="1482"/>
      <c r="H65" s="1482"/>
      <c r="I65" s="1482"/>
      <c r="J65" s="1482"/>
      <c r="K65" s="1482"/>
      <c r="L65" s="1482"/>
      <c r="M65" s="1482"/>
      <c r="N65" s="1482"/>
      <c r="O65" s="1483"/>
    </row>
    <row r="66" spans="2:17" ht="12.75" customHeight="1">
      <c r="B66" s="1481"/>
      <c r="C66" s="1482"/>
      <c r="D66" s="1482"/>
      <c r="E66" s="1482"/>
      <c r="F66" s="1482"/>
      <c r="G66" s="1482"/>
      <c r="H66" s="1482"/>
      <c r="I66" s="1482"/>
      <c r="J66" s="1482"/>
      <c r="K66" s="1482"/>
      <c r="L66" s="1482"/>
      <c r="M66" s="1482"/>
      <c r="N66" s="1482"/>
      <c r="O66" s="1483"/>
    </row>
    <row r="67" spans="2:17" ht="12.75" customHeight="1">
      <c r="B67" s="1481"/>
      <c r="C67" s="1482"/>
      <c r="D67" s="1482"/>
      <c r="E67" s="1482"/>
      <c r="F67" s="1482"/>
      <c r="G67" s="1482"/>
      <c r="H67" s="1482"/>
      <c r="I67" s="1482"/>
      <c r="J67" s="1482"/>
      <c r="K67" s="1482"/>
      <c r="L67" s="1482"/>
      <c r="M67" s="1482"/>
      <c r="N67" s="1482"/>
      <c r="O67" s="1483"/>
    </row>
    <row r="68" spans="2:17" ht="12.75" customHeight="1">
      <c r="B68" s="1481"/>
      <c r="C68" s="1482"/>
      <c r="D68" s="1482"/>
      <c r="E68" s="1482"/>
      <c r="F68" s="1482"/>
      <c r="G68" s="1482"/>
      <c r="H68" s="1482"/>
      <c r="I68" s="1482"/>
      <c r="J68" s="1482"/>
      <c r="K68" s="1482"/>
      <c r="L68" s="1482"/>
      <c r="M68" s="1482"/>
      <c r="N68" s="1482"/>
      <c r="O68" s="1483"/>
    </row>
    <row r="69" spans="2:17" ht="12.75" customHeight="1">
      <c r="B69" s="263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5"/>
    </row>
    <row r="70" spans="2:17" ht="12.75" customHeight="1">
      <c r="B70" s="263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5"/>
    </row>
    <row r="71" spans="2:17" ht="12.75" customHeight="1">
      <c r="B71" s="263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5"/>
    </row>
    <row r="72" spans="2:17" ht="12.75" customHeight="1">
      <c r="B72" s="263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5"/>
    </row>
    <row r="73" spans="2:17" ht="13.5" customHeight="1" thickBot="1">
      <c r="B73" s="266"/>
      <c r="C73" s="267"/>
      <c r="D73" s="267"/>
      <c r="E73" s="267"/>
      <c r="F73" s="267"/>
      <c r="G73" s="267"/>
      <c r="H73" s="267"/>
      <c r="I73" s="267"/>
      <c r="J73" s="267"/>
      <c r="K73" s="267"/>
      <c r="L73" s="267"/>
      <c r="M73" s="267"/>
      <c r="N73" s="267"/>
      <c r="O73" s="268"/>
    </row>
    <row r="74" spans="2:17" ht="15.75" thickBot="1">
      <c r="B74" s="28"/>
      <c r="C74" s="24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</row>
    <row r="75" spans="2:17" ht="15">
      <c r="B75" s="1491" t="s">
        <v>844</v>
      </c>
      <c r="C75" s="1492"/>
      <c r="D75" s="1492"/>
      <c r="E75" s="1492"/>
      <c r="F75" s="1492"/>
      <c r="G75" s="1492"/>
      <c r="H75" s="1492"/>
      <c r="I75" s="1492"/>
      <c r="J75" s="1492"/>
      <c r="K75" s="1492"/>
      <c r="L75" s="1492"/>
      <c r="M75" s="1492"/>
      <c r="N75" s="1492"/>
      <c r="O75" s="1493"/>
      <c r="P75" s="278">
        <f>SUM(D72:O72)</f>
        <v>0</v>
      </c>
      <c r="Q75" s="278">
        <f>P75-P76</f>
        <v>0</v>
      </c>
    </row>
    <row r="76" spans="2:17" ht="15" customHeight="1">
      <c r="B76" s="1510"/>
      <c r="C76" s="1511"/>
      <c r="D76" s="1511"/>
      <c r="E76" s="1511"/>
      <c r="F76" s="1511"/>
      <c r="G76" s="1511"/>
      <c r="H76" s="1511"/>
      <c r="I76" s="1511"/>
      <c r="J76" s="1511"/>
      <c r="K76" s="1511"/>
      <c r="L76" s="1511"/>
      <c r="M76" s="1511"/>
      <c r="N76" s="1511"/>
      <c r="O76" s="1512"/>
      <c r="P76" s="278">
        <f>SUM(D73:O73)</f>
        <v>0</v>
      </c>
      <c r="Q76" s="278"/>
    </row>
    <row r="77" spans="2:17" ht="12.75" customHeight="1">
      <c r="B77" s="1510"/>
      <c r="C77" s="1511"/>
      <c r="D77" s="1511"/>
      <c r="E77" s="1511"/>
      <c r="F77" s="1511"/>
      <c r="G77" s="1511"/>
      <c r="H77" s="1511"/>
      <c r="I77" s="1511"/>
      <c r="J77" s="1511"/>
      <c r="K77" s="1511"/>
      <c r="L77" s="1511"/>
      <c r="M77" s="1511"/>
      <c r="N77" s="1511"/>
      <c r="O77" s="1512"/>
    </row>
    <row r="78" spans="2:17" ht="12.75" customHeight="1">
      <c r="B78" s="1510"/>
      <c r="C78" s="1511"/>
      <c r="D78" s="1511"/>
      <c r="E78" s="1511"/>
      <c r="F78" s="1511"/>
      <c r="G78" s="1511"/>
      <c r="H78" s="1511"/>
      <c r="I78" s="1511"/>
      <c r="J78" s="1511"/>
      <c r="K78" s="1511"/>
      <c r="L78" s="1511"/>
      <c r="M78" s="1511"/>
      <c r="N78" s="1511"/>
      <c r="O78" s="1512"/>
    </row>
    <row r="79" spans="2:17" ht="12.75" customHeight="1">
      <c r="B79" s="1510"/>
      <c r="C79" s="1511"/>
      <c r="D79" s="1511"/>
      <c r="E79" s="1511"/>
      <c r="F79" s="1511"/>
      <c r="G79" s="1511"/>
      <c r="H79" s="1511"/>
      <c r="I79" s="1511"/>
      <c r="J79" s="1511"/>
      <c r="K79" s="1511"/>
      <c r="L79" s="1511"/>
      <c r="M79" s="1511"/>
      <c r="N79" s="1511"/>
      <c r="O79" s="1512"/>
    </row>
    <row r="80" spans="2:17" ht="12.75" customHeight="1">
      <c r="B80" s="1510"/>
      <c r="C80" s="1511"/>
      <c r="D80" s="1511"/>
      <c r="E80" s="1511"/>
      <c r="F80" s="1511"/>
      <c r="G80" s="1511"/>
      <c r="H80" s="1511"/>
      <c r="I80" s="1511"/>
      <c r="J80" s="1511"/>
      <c r="K80" s="1511"/>
      <c r="L80" s="1511"/>
      <c r="M80" s="1511"/>
      <c r="N80" s="1511"/>
      <c r="O80" s="1512"/>
    </row>
    <row r="81" spans="2:15" ht="12.75" customHeight="1">
      <c r="B81" s="1510"/>
      <c r="C81" s="1511"/>
      <c r="D81" s="1511"/>
      <c r="E81" s="1511"/>
      <c r="F81" s="1511"/>
      <c r="G81" s="1511"/>
      <c r="H81" s="1511"/>
      <c r="I81" s="1511"/>
      <c r="J81" s="1511"/>
      <c r="K81" s="1511"/>
      <c r="L81" s="1511"/>
      <c r="M81" s="1511"/>
      <c r="N81" s="1511"/>
      <c r="O81" s="1512"/>
    </row>
    <row r="82" spans="2:15" ht="12.75" customHeight="1">
      <c r="B82" s="1510"/>
      <c r="C82" s="1511"/>
      <c r="D82" s="1511"/>
      <c r="E82" s="1511"/>
      <c r="F82" s="1511"/>
      <c r="G82" s="1511"/>
      <c r="H82" s="1511"/>
      <c r="I82" s="1511"/>
      <c r="J82" s="1511"/>
      <c r="K82" s="1511"/>
      <c r="L82" s="1511"/>
      <c r="M82" s="1511"/>
      <c r="N82" s="1511"/>
      <c r="O82" s="1512"/>
    </row>
    <row r="83" spans="2:15" ht="12.75" customHeight="1">
      <c r="B83" s="1510"/>
      <c r="C83" s="1511"/>
      <c r="D83" s="1511"/>
      <c r="E83" s="1511"/>
      <c r="F83" s="1511"/>
      <c r="G83" s="1511"/>
      <c r="H83" s="1511"/>
      <c r="I83" s="1511"/>
      <c r="J83" s="1511"/>
      <c r="K83" s="1511"/>
      <c r="L83" s="1511"/>
      <c r="M83" s="1511"/>
      <c r="N83" s="1511"/>
      <c r="O83" s="1512"/>
    </row>
    <row r="84" spans="2:15" ht="12.75" customHeight="1">
      <c r="B84" s="1510"/>
      <c r="C84" s="1511"/>
      <c r="D84" s="1511"/>
      <c r="E84" s="1511"/>
      <c r="F84" s="1511"/>
      <c r="G84" s="1511"/>
      <c r="H84" s="1511"/>
      <c r="I84" s="1511"/>
      <c r="J84" s="1511"/>
      <c r="K84" s="1511"/>
      <c r="L84" s="1511"/>
      <c r="M84" s="1511"/>
      <c r="N84" s="1511"/>
      <c r="O84" s="1512"/>
    </row>
    <row r="85" spans="2:15" ht="12.75" customHeight="1">
      <c r="B85" s="1510"/>
      <c r="C85" s="1511"/>
      <c r="D85" s="1511"/>
      <c r="E85" s="1511"/>
      <c r="F85" s="1511"/>
      <c r="G85" s="1511"/>
      <c r="H85" s="1511"/>
      <c r="I85" s="1511"/>
      <c r="J85" s="1511"/>
      <c r="K85" s="1511"/>
      <c r="L85" s="1511"/>
      <c r="M85" s="1511"/>
      <c r="N85" s="1511"/>
      <c r="O85" s="1512"/>
    </row>
    <row r="86" spans="2:15" ht="12.75" customHeight="1">
      <c r="B86" s="1510"/>
      <c r="C86" s="1511"/>
      <c r="D86" s="1511"/>
      <c r="E86" s="1511"/>
      <c r="F86" s="1511"/>
      <c r="G86" s="1511"/>
      <c r="H86" s="1511"/>
      <c r="I86" s="1511"/>
      <c r="J86" s="1511"/>
      <c r="K86" s="1511"/>
      <c r="L86" s="1511"/>
      <c r="M86" s="1511"/>
      <c r="N86" s="1511"/>
      <c r="O86" s="1512"/>
    </row>
    <row r="87" spans="2:15" ht="12.75" customHeight="1">
      <c r="B87" s="1510"/>
      <c r="C87" s="1511"/>
      <c r="D87" s="1511"/>
      <c r="E87" s="1511"/>
      <c r="F87" s="1511"/>
      <c r="G87" s="1511"/>
      <c r="H87" s="1511"/>
      <c r="I87" s="1511"/>
      <c r="J87" s="1511"/>
      <c r="K87" s="1511"/>
      <c r="L87" s="1511"/>
      <c r="M87" s="1511"/>
      <c r="N87" s="1511"/>
      <c r="O87" s="1512"/>
    </row>
    <row r="88" spans="2:15" ht="12.75" customHeight="1">
      <c r="B88" s="1510"/>
      <c r="C88" s="1511"/>
      <c r="D88" s="1511"/>
      <c r="E88" s="1511"/>
      <c r="F88" s="1511"/>
      <c r="G88" s="1511"/>
      <c r="H88" s="1511"/>
      <c r="I88" s="1511"/>
      <c r="J88" s="1511"/>
      <c r="K88" s="1511"/>
      <c r="L88" s="1511"/>
      <c r="M88" s="1511"/>
      <c r="N88" s="1511"/>
      <c r="O88" s="1512"/>
    </row>
    <row r="89" spans="2:15" ht="12.75" customHeight="1">
      <c r="B89" s="1510"/>
      <c r="C89" s="1511"/>
      <c r="D89" s="1511"/>
      <c r="E89" s="1511"/>
      <c r="F89" s="1511"/>
      <c r="G89" s="1511"/>
      <c r="H89" s="1511"/>
      <c r="I89" s="1511"/>
      <c r="J89" s="1511"/>
      <c r="K89" s="1511"/>
      <c r="L89" s="1511"/>
      <c r="M89" s="1511"/>
      <c r="N89" s="1511"/>
      <c r="O89" s="1512"/>
    </row>
    <row r="90" spans="2:15" ht="13.5" customHeight="1" thickBot="1">
      <c r="B90" s="1513"/>
      <c r="C90" s="1514"/>
      <c r="D90" s="1514"/>
      <c r="E90" s="1514"/>
      <c r="F90" s="1514"/>
      <c r="G90" s="1514"/>
      <c r="H90" s="1514"/>
      <c r="I90" s="1514"/>
      <c r="J90" s="1514"/>
      <c r="K90" s="1514"/>
      <c r="L90" s="1514"/>
      <c r="M90" s="1514"/>
      <c r="N90" s="1514"/>
      <c r="O90" s="1515"/>
    </row>
    <row r="91" spans="2:15" ht="15.75" thickBot="1">
      <c r="B91" s="28"/>
      <c r="C91" s="24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</row>
    <row r="92" spans="2:15" ht="15" hidden="1">
      <c r="B92" s="24"/>
      <c r="C92" t="s">
        <v>982</v>
      </c>
      <c r="D92" s="259">
        <f>'1.PM'!C27</f>
        <v>0</v>
      </c>
      <c r="E92" s="259">
        <f>'1.PM'!D27</f>
        <v>0</v>
      </c>
      <c r="F92" s="259">
        <f>'1.PM'!E27</f>
        <v>0</v>
      </c>
      <c r="G92" s="259">
        <f>'1.PM'!F27</f>
        <v>0</v>
      </c>
      <c r="H92" s="259">
        <f>'1.PM'!G27</f>
        <v>0</v>
      </c>
      <c r="I92" s="259">
        <f>'1.PM'!H27</f>
        <v>0</v>
      </c>
      <c r="J92" s="259">
        <f>'1.PM'!I27</f>
        <v>0</v>
      </c>
      <c r="K92" s="259">
        <f>'1.PM'!J27</f>
        <v>0</v>
      </c>
      <c r="L92" s="259">
        <f>'1.PM'!K27</f>
        <v>0</v>
      </c>
      <c r="M92" s="259">
        <f>'1.PM'!L27</f>
        <v>0</v>
      </c>
      <c r="N92" s="259">
        <f>'1.PM'!M27</f>
        <v>0</v>
      </c>
      <c r="O92" s="259">
        <f>'1.PM'!N27</f>
        <v>0</v>
      </c>
    </row>
    <row r="93" spans="2:15" ht="15" hidden="1">
      <c r="B93" s="24"/>
      <c r="C93" s="255" t="s">
        <v>881</v>
      </c>
      <c r="D93" s="260" t="e">
        <f>('2.1.FDGL-US'!#REF!)-(15%*('2.1.FDGL-US'!#REF!))</f>
        <v>#REF!</v>
      </c>
      <c r="E93" s="259"/>
      <c r="F93" s="259"/>
      <c r="G93" s="259"/>
      <c r="H93" s="259"/>
      <c r="I93" s="259"/>
      <c r="J93" s="259"/>
      <c r="K93" s="259"/>
      <c r="L93" s="259"/>
      <c r="M93" s="259"/>
      <c r="N93" s="259"/>
      <c r="O93" s="259"/>
    </row>
    <row r="94" spans="2:15" ht="15" hidden="1">
      <c r="B94" s="24"/>
      <c r="C94" s="256" t="s">
        <v>882</v>
      </c>
      <c r="D94" s="261">
        <f>('2.1.FDGL-US'!O36)-(15%*('2.1.FDGL-US'!O36))</f>
        <v>0</v>
      </c>
      <c r="E94" s="259"/>
      <c r="F94" s="259"/>
      <c r="G94" s="259"/>
      <c r="H94" s="259"/>
      <c r="I94" s="259"/>
      <c r="J94" s="259"/>
      <c r="K94" s="259"/>
      <c r="L94" s="259"/>
      <c r="M94" s="259"/>
      <c r="N94" s="259"/>
      <c r="O94" s="259"/>
    </row>
    <row r="95" spans="2:15" ht="15" hidden="1">
      <c r="B95" s="24"/>
      <c r="C95" s="257" t="s">
        <v>883</v>
      </c>
      <c r="D95" s="262">
        <f>'1.PM'!C18</f>
        <v>250</v>
      </c>
      <c r="E95" s="262">
        <f>'1.PM'!D18</f>
        <v>500</v>
      </c>
      <c r="F95" s="262">
        <f>'1.PM'!E18</f>
        <v>750</v>
      </c>
      <c r="G95" s="262">
        <f>'1.PM'!F18</f>
        <v>1000</v>
      </c>
      <c r="H95" s="262">
        <f>'1.PM'!G18</f>
        <v>0</v>
      </c>
      <c r="I95" s="262">
        <f>'1.PM'!H18</f>
        <v>0</v>
      </c>
      <c r="J95" s="262">
        <f>'1.PM'!I18</f>
        <v>0</v>
      </c>
      <c r="K95" s="262">
        <f>'1.PM'!J18</f>
        <v>0</v>
      </c>
      <c r="L95" s="262">
        <f>'1.PM'!K18</f>
        <v>0</v>
      </c>
      <c r="M95" s="262">
        <f>'1.PM'!L18</f>
        <v>0</v>
      </c>
      <c r="N95" s="262">
        <f>'1.PM'!M18</f>
        <v>0</v>
      </c>
      <c r="O95" s="262">
        <f>'1.PM'!N18</f>
        <v>0</v>
      </c>
    </row>
    <row r="96" spans="2:15" ht="15" hidden="1">
      <c r="B96" s="24"/>
      <c r="C96" s="257" t="s">
        <v>884</v>
      </c>
      <c r="D96" s="259">
        <f>'1.PM'!C19</f>
        <v>0</v>
      </c>
      <c r="E96" s="259">
        <f>'1.PM'!D19</f>
        <v>0</v>
      </c>
      <c r="F96" s="259">
        <f>'1.PM'!E19</f>
        <v>0</v>
      </c>
      <c r="G96" s="259">
        <f>'1.PM'!F19</f>
        <v>0</v>
      </c>
      <c r="H96" s="259">
        <f>'1.PM'!G19</f>
        <v>0</v>
      </c>
      <c r="I96" s="259">
        <f>'1.PM'!H19</f>
        <v>0</v>
      </c>
      <c r="J96" s="259">
        <f>'1.PM'!I19</f>
        <v>0</v>
      </c>
      <c r="K96" s="259">
        <f>'1.PM'!J19</f>
        <v>0</v>
      </c>
      <c r="L96" s="259">
        <f>'1.PM'!K19</f>
        <v>0</v>
      </c>
      <c r="M96" s="259">
        <f>'1.PM'!L19</f>
        <v>0</v>
      </c>
      <c r="N96" s="259">
        <f>'1.PM'!M19</f>
        <v>0</v>
      </c>
      <c r="O96" s="259">
        <f>'1.PM'!N19</f>
        <v>0</v>
      </c>
    </row>
    <row r="97" spans="2:17" ht="15" hidden="1">
      <c r="B97" s="24"/>
      <c r="C97" s="257" t="s">
        <v>885</v>
      </c>
      <c r="D97" s="259">
        <f>(D95*D92)/1000000</f>
        <v>0</v>
      </c>
      <c r="E97" s="259">
        <f t="shared" ref="E97:O97" si="1">(E95*E92)/1000000</f>
        <v>0</v>
      </c>
      <c r="F97" s="259">
        <f t="shared" si="1"/>
        <v>0</v>
      </c>
      <c r="G97" s="259">
        <f t="shared" si="1"/>
        <v>0</v>
      </c>
      <c r="H97" s="259">
        <f t="shared" si="1"/>
        <v>0</v>
      </c>
      <c r="I97" s="259">
        <f t="shared" si="1"/>
        <v>0</v>
      </c>
      <c r="J97" s="259">
        <f t="shared" si="1"/>
        <v>0</v>
      </c>
      <c r="K97" s="259">
        <f t="shared" si="1"/>
        <v>0</v>
      </c>
      <c r="L97" s="259">
        <f t="shared" si="1"/>
        <v>0</v>
      </c>
      <c r="M97" s="259">
        <f t="shared" si="1"/>
        <v>0</v>
      </c>
      <c r="N97" s="259">
        <f t="shared" si="1"/>
        <v>0</v>
      </c>
      <c r="O97" s="259">
        <f t="shared" si="1"/>
        <v>0</v>
      </c>
    </row>
    <row r="98" spans="2:17" ht="15" hidden="1">
      <c r="B98" s="24"/>
      <c r="C98" s="257" t="s">
        <v>886</v>
      </c>
      <c r="D98" s="259">
        <f>(D96*D92)/1000000</f>
        <v>0</v>
      </c>
      <c r="E98" s="259">
        <f t="shared" ref="E98:O98" si="2">(E96*E92)/1000000</f>
        <v>0</v>
      </c>
      <c r="F98" s="259">
        <f t="shared" si="2"/>
        <v>0</v>
      </c>
      <c r="G98" s="259">
        <f t="shared" si="2"/>
        <v>0</v>
      </c>
      <c r="H98" s="259">
        <f t="shared" si="2"/>
        <v>0</v>
      </c>
      <c r="I98" s="259">
        <f t="shared" si="2"/>
        <v>0</v>
      </c>
      <c r="J98" s="259">
        <f t="shared" si="2"/>
        <v>0</v>
      </c>
      <c r="K98" s="259">
        <f t="shared" si="2"/>
        <v>0</v>
      </c>
      <c r="L98" s="259">
        <f t="shared" si="2"/>
        <v>0</v>
      </c>
      <c r="M98" s="259">
        <f t="shared" si="2"/>
        <v>0</v>
      </c>
      <c r="N98" s="259">
        <f t="shared" si="2"/>
        <v>0</v>
      </c>
      <c r="O98" s="259">
        <f t="shared" si="2"/>
        <v>0</v>
      </c>
    </row>
    <row r="99" spans="2:17" ht="15" hidden="1">
      <c r="B99" s="24"/>
      <c r="C99" s="257" t="s">
        <v>887</v>
      </c>
      <c r="D99" s="258" t="e">
        <f t="shared" ref="D99:O99" si="3">(D97*$D$93)+(D98*$D$94)</f>
        <v>#REF!</v>
      </c>
      <c r="E99" s="258" t="e">
        <f t="shared" si="3"/>
        <v>#REF!</v>
      </c>
      <c r="F99" s="258" t="e">
        <f t="shared" si="3"/>
        <v>#REF!</v>
      </c>
      <c r="G99" s="258" t="e">
        <f t="shared" si="3"/>
        <v>#REF!</v>
      </c>
      <c r="H99" s="258" t="e">
        <f t="shared" si="3"/>
        <v>#REF!</v>
      </c>
      <c r="I99" s="258" t="e">
        <f t="shared" si="3"/>
        <v>#REF!</v>
      </c>
      <c r="J99" s="258" t="e">
        <f t="shared" si="3"/>
        <v>#REF!</v>
      </c>
      <c r="K99" s="258" t="e">
        <f t="shared" si="3"/>
        <v>#REF!</v>
      </c>
      <c r="L99" s="258" t="e">
        <f t="shared" si="3"/>
        <v>#REF!</v>
      </c>
      <c r="M99" s="258" t="e">
        <f t="shared" si="3"/>
        <v>#REF!</v>
      </c>
      <c r="N99" s="258" t="e">
        <f t="shared" si="3"/>
        <v>#REF!</v>
      </c>
      <c r="O99" s="258" t="e">
        <f t="shared" si="3"/>
        <v>#REF!</v>
      </c>
    </row>
    <row r="100" spans="2:17" ht="15" hidden="1">
      <c r="B100" s="24"/>
      <c r="C100" s="257"/>
      <c r="D100" s="229" t="e">
        <f>D99/100000</f>
        <v>#REF!</v>
      </c>
      <c r="E100" s="229" t="e">
        <f t="shared" ref="E100:O100" si="4">E99/100000</f>
        <v>#REF!</v>
      </c>
      <c r="F100" s="229" t="e">
        <f t="shared" si="4"/>
        <v>#REF!</v>
      </c>
      <c r="G100" s="229" t="e">
        <f t="shared" si="4"/>
        <v>#REF!</v>
      </c>
      <c r="H100" s="229" t="e">
        <f t="shared" si="4"/>
        <v>#REF!</v>
      </c>
      <c r="I100" s="229" t="e">
        <f t="shared" si="4"/>
        <v>#REF!</v>
      </c>
      <c r="J100" s="229" t="e">
        <f t="shared" si="4"/>
        <v>#REF!</v>
      </c>
      <c r="K100" s="229" t="e">
        <f t="shared" si="4"/>
        <v>#REF!</v>
      </c>
      <c r="L100" s="229" t="e">
        <f t="shared" si="4"/>
        <v>#REF!</v>
      </c>
      <c r="M100" s="229" t="e">
        <f t="shared" si="4"/>
        <v>#REF!</v>
      </c>
      <c r="N100" s="229" t="e">
        <f t="shared" si="4"/>
        <v>#REF!</v>
      </c>
      <c r="O100" s="229" t="e">
        <f t="shared" si="4"/>
        <v>#REF!</v>
      </c>
    </row>
    <row r="101" spans="2:17" ht="15" hidden="1">
      <c r="B101" s="24"/>
      <c r="C101" s="257" t="s">
        <v>888</v>
      </c>
      <c r="D101" s="259" t="e">
        <f>D99*0.3</f>
        <v>#REF!</v>
      </c>
      <c r="E101" s="259" t="e">
        <f t="shared" ref="E101:O101" si="5">E99*0.3</f>
        <v>#REF!</v>
      </c>
      <c r="F101" s="259" t="e">
        <f t="shared" si="5"/>
        <v>#REF!</v>
      </c>
      <c r="G101" s="259" t="e">
        <f t="shared" si="5"/>
        <v>#REF!</v>
      </c>
      <c r="H101" s="259" t="e">
        <f t="shared" si="5"/>
        <v>#REF!</v>
      </c>
      <c r="I101" s="259" t="e">
        <f t="shared" si="5"/>
        <v>#REF!</v>
      </c>
      <c r="J101" s="259" t="e">
        <f t="shared" si="5"/>
        <v>#REF!</v>
      </c>
      <c r="K101" s="259" t="e">
        <f t="shared" si="5"/>
        <v>#REF!</v>
      </c>
      <c r="L101" s="259" t="e">
        <f t="shared" si="5"/>
        <v>#REF!</v>
      </c>
      <c r="M101" s="259" t="e">
        <f t="shared" si="5"/>
        <v>#REF!</v>
      </c>
      <c r="N101" s="259" t="e">
        <f t="shared" si="5"/>
        <v>#REF!</v>
      </c>
      <c r="O101" s="259" t="e">
        <f t="shared" si="5"/>
        <v>#REF!</v>
      </c>
    </row>
    <row r="102" spans="2:17" ht="15" hidden="1">
      <c r="B102" s="24"/>
      <c r="C102" s="257" t="s">
        <v>889</v>
      </c>
      <c r="D102" s="259">
        <f>IF('1.PM'!$L$16="EP04-EOU(H)",168000,675000)*D103</f>
        <v>0</v>
      </c>
      <c r="E102" s="259">
        <f>IF('1.PM'!$L$16="EP04-EOU(H)",168000,675000)*E103</f>
        <v>0</v>
      </c>
      <c r="F102" s="259">
        <f>IF('1.PM'!$L$16="EP04-EOU(H)",168000,675000)*F103</f>
        <v>0</v>
      </c>
      <c r="G102" s="259">
        <f>IF('1.PM'!$L$16="EP04-EOU(H)",168000,675000)*G103</f>
        <v>0</v>
      </c>
      <c r="H102" s="259">
        <f>IF('1.PM'!$L$16="EP04-EOU(H)",168000,675000)*H103</f>
        <v>0</v>
      </c>
      <c r="I102" s="259">
        <f>IF('1.PM'!$L$16="EP04-EOU(H)",168000,675000)*I103</f>
        <v>0</v>
      </c>
      <c r="J102" s="259">
        <f>IF('1.PM'!$L$16="EP04-EOU(H)",168000,675000)*J103</f>
        <v>0</v>
      </c>
      <c r="K102" s="259">
        <f>IF('1.PM'!$L$16="EP04-EOU(H)",168000,675000)*K103</f>
        <v>0</v>
      </c>
      <c r="L102" s="259">
        <f>IF('1.PM'!$L$16="EP04-EOU(H)",168000,675000)*L103</f>
        <v>0</v>
      </c>
      <c r="M102" s="259">
        <f>IF('1.PM'!$L$16="EP04-EOU(H)",168000,675000)*M103</f>
        <v>0</v>
      </c>
      <c r="N102" s="259">
        <f>IF('1.PM'!$L$16="EP04-EOU(H)",168000,675000)*N103</f>
        <v>0</v>
      </c>
      <c r="O102" s="259">
        <f>IF('1.PM'!$L$16="EP04-EOU(H)",168000,675000)*O103</f>
        <v>0</v>
      </c>
    </row>
    <row r="103" spans="2:17" ht="15" hidden="1">
      <c r="B103" s="24"/>
      <c r="C103" s="257" t="s">
        <v>890</v>
      </c>
      <c r="D103" s="259">
        <f t="shared" ref="D103:O103" si="6">D92/350000</f>
        <v>0</v>
      </c>
      <c r="E103" s="259">
        <f t="shared" si="6"/>
        <v>0</v>
      </c>
      <c r="F103" s="259">
        <f t="shared" si="6"/>
        <v>0</v>
      </c>
      <c r="G103" s="259">
        <f t="shared" si="6"/>
        <v>0</v>
      </c>
      <c r="H103" s="259">
        <f t="shared" si="6"/>
        <v>0</v>
      </c>
      <c r="I103" s="259">
        <f t="shared" si="6"/>
        <v>0</v>
      </c>
      <c r="J103" s="259">
        <f t="shared" si="6"/>
        <v>0</v>
      </c>
      <c r="K103" s="259">
        <f t="shared" si="6"/>
        <v>0</v>
      </c>
      <c r="L103" s="259">
        <f t="shared" si="6"/>
        <v>0</v>
      </c>
      <c r="M103" s="259">
        <f t="shared" si="6"/>
        <v>0</v>
      </c>
      <c r="N103" s="259">
        <f t="shared" si="6"/>
        <v>0</v>
      </c>
      <c r="O103" s="259">
        <f t="shared" si="6"/>
        <v>0</v>
      </c>
    </row>
    <row r="104" spans="2:17" ht="15" hidden="1">
      <c r="B104" s="24"/>
      <c r="C104" s="257" t="s">
        <v>891</v>
      </c>
      <c r="D104" s="259">
        <f>D103*4</f>
        <v>0</v>
      </c>
      <c r="E104" s="259">
        <f t="shared" ref="E104:O104" si="7">E103*4</f>
        <v>0</v>
      </c>
      <c r="F104" s="259">
        <f t="shared" si="7"/>
        <v>0</v>
      </c>
      <c r="G104" s="259">
        <f t="shared" si="7"/>
        <v>0</v>
      </c>
      <c r="H104" s="259">
        <f t="shared" si="7"/>
        <v>0</v>
      </c>
      <c r="I104" s="259">
        <f t="shared" si="7"/>
        <v>0</v>
      </c>
      <c r="J104" s="259">
        <f t="shared" si="7"/>
        <v>0</v>
      </c>
      <c r="K104" s="259">
        <f t="shared" si="7"/>
        <v>0</v>
      </c>
      <c r="L104" s="259">
        <f t="shared" si="7"/>
        <v>0</v>
      </c>
      <c r="M104" s="259">
        <f t="shared" si="7"/>
        <v>0</v>
      </c>
      <c r="N104" s="259">
        <f t="shared" si="7"/>
        <v>0</v>
      </c>
      <c r="O104" s="259">
        <f t="shared" si="7"/>
        <v>0</v>
      </c>
    </row>
    <row r="105" spans="2:17" ht="15" hidden="1">
      <c r="B105" s="24"/>
      <c r="C105" s="257" t="s">
        <v>894</v>
      </c>
      <c r="D105" s="259">
        <f>D104*'2.1.FDGL-US'!$O$358</f>
        <v>0</v>
      </c>
      <c r="E105" s="259">
        <f>E104*'2.1.FDGL-US'!$O$358</f>
        <v>0</v>
      </c>
      <c r="F105" s="259">
        <f>F104*'2.1.FDGL-US'!$O$358</f>
        <v>0</v>
      </c>
      <c r="G105" s="259">
        <f>G104*'2.1.FDGL-US'!$O$358</f>
        <v>0</v>
      </c>
      <c r="H105" s="259">
        <f>H104*'2.1.FDGL-US'!$O$358</f>
        <v>0</v>
      </c>
      <c r="I105" s="259">
        <f>I104*'2.1.FDGL-US'!$O$358</f>
        <v>0</v>
      </c>
      <c r="J105" s="259">
        <f>J104*'2.1.FDGL-US'!$O$358</f>
        <v>0</v>
      </c>
      <c r="K105" s="259">
        <f>K104*'2.1.FDGL-US'!$O$358</f>
        <v>0</v>
      </c>
      <c r="L105" s="259">
        <f>L104*'2.1.FDGL-US'!$O$358</f>
        <v>0</v>
      </c>
      <c r="M105" s="259">
        <f>M104*'2.1.FDGL-US'!$O$358</f>
        <v>0</v>
      </c>
      <c r="N105" s="259">
        <f>N104*'2.1.FDGL-US'!$O$358</f>
        <v>0</v>
      </c>
      <c r="O105" s="259">
        <f>O104*'2.1.FDGL-US'!$O$358</f>
        <v>0</v>
      </c>
    </row>
    <row r="106" spans="2:17" ht="15" hidden="1">
      <c r="B106" s="24"/>
      <c r="C106" s="257" t="s">
        <v>895</v>
      </c>
      <c r="D106" s="258" t="e">
        <f>D105+D102+D101+D99</f>
        <v>#REF!</v>
      </c>
      <c r="E106" s="258" t="e">
        <f t="shared" ref="E106:O106" si="8">E105+E102+E101+E99</f>
        <v>#REF!</v>
      </c>
      <c r="F106" s="258" t="e">
        <f t="shared" si="8"/>
        <v>#REF!</v>
      </c>
      <c r="G106" s="258" t="e">
        <f t="shared" si="8"/>
        <v>#REF!</v>
      </c>
      <c r="H106" s="258" t="e">
        <f t="shared" si="8"/>
        <v>#REF!</v>
      </c>
      <c r="I106" s="258" t="e">
        <f t="shared" si="8"/>
        <v>#REF!</v>
      </c>
      <c r="J106" s="258" t="e">
        <f t="shared" si="8"/>
        <v>#REF!</v>
      </c>
      <c r="K106" s="258" t="e">
        <f t="shared" si="8"/>
        <v>#REF!</v>
      </c>
      <c r="L106" s="258" t="e">
        <f t="shared" si="8"/>
        <v>#REF!</v>
      </c>
      <c r="M106" s="258" t="e">
        <f t="shared" si="8"/>
        <v>#REF!</v>
      </c>
      <c r="N106" s="258" t="e">
        <f t="shared" si="8"/>
        <v>#REF!</v>
      </c>
      <c r="O106" s="258" t="e">
        <f t="shared" si="8"/>
        <v>#REF!</v>
      </c>
    </row>
    <row r="107" spans="2:17" ht="15" hidden="1">
      <c r="B107" s="24"/>
      <c r="C107" s="257"/>
      <c r="D107" s="229" t="e">
        <f>D106/100000</f>
        <v>#REF!</v>
      </c>
      <c r="E107" s="229" t="e">
        <f t="shared" ref="E107:O107" si="9">E106/100000</f>
        <v>#REF!</v>
      </c>
      <c r="F107" s="229" t="e">
        <f t="shared" si="9"/>
        <v>#REF!</v>
      </c>
      <c r="G107" s="229" t="e">
        <f t="shared" si="9"/>
        <v>#REF!</v>
      </c>
      <c r="H107" s="229" t="e">
        <f t="shared" si="9"/>
        <v>#REF!</v>
      </c>
      <c r="I107" s="229" t="e">
        <f t="shared" si="9"/>
        <v>#REF!</v>
      </c>
      <c r="J107" s="229" t="e">
        <f t="shared" si="9"/>
        <v>#REF!</v>
      </c>
      <c r="K107" s="229" t="e">
        <f t="shared" si="9"/>
        <v>#REF!</v>
      </c>
      <c r="L107" s="229" t="e">
        <f t="shared" si="9"/>
        <v>#REF!</v>
      </c>
      <c r="M107" s="229" t="e">
        <f t="shared" si="9"/>
        <v>#REF!</v>
      </c>
      <c r="N107" s="229" t="e">
        <f t="shared" si="9"/>
        <v>#REF!</v>
      </c>
      <c r="O107" s="229" t="e">
        <f t="shared" si="9"/>
        <v>#REF!</v>
      </c>
    </row>
    <row r="108" spans="2:17" ht="15.75" hidden="1" thickBot="1">
      <c r="B108" s="24"/>
      <c r="C108" s="24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</row>
    <row r="109" spans="2:17" ht="15">
      <c r="B109" s="1491" t="s">
        <v>880</v>
      </c>
      <c r="C109" s="1492"/>
      <c r="D109" s="1492"/>
      <c r="E109" s="1492"/>
      <c r="F109" s="1492"/>
      <c r="G109" s="1492"/>
      <c r="H109" s="1492"/>
      <c r="I109" s="1492"/>
      <c r="J109" s="1492"/>
      <c r="K109" s="1492"/>
      <c r="L109" s="1492"/>
      <c r="M109" s="1492"/>
      <c r="N109" s="1492"/>
      <c r="O109" s="1493"/>
      <c r="P109" s="278">
        <f>SUM(D89:O89)</f>
        <v>0</v>
      </c>
      <c r="Q109" s="278">
        <f>P109-P110</f>
        <v>0</v>
      </c>
    </row>
    <row r="110" spans="2:17" ht="15" customHeight="1">
      <c r="B110" s="1510"/>
      <c r="C110" s="1511"/>
      <c r="D110" s="1511"/>
      <c r="E110" s="1511"/>
      <c r="F110" s="1511"/>
      <c r="G110" s="1511"/>
      <c r="H110" s="1511"/>
      <c r="I110" s="1511"/>
      <c r="J110" s="1511"/>
      <c r="K110" s="1511"/>
      <c r="L110" s="1511"/>
      <c r="M110" s="1511"/>
      <c r="N110" s="1511"/>
      <c r="O110" s="1512"/>
      <c r="P110" s="278">
        <f>SUM(D90:O90)</f>
        <v>0</v>
      </c>
      <c r="Q110" s="278"/>
    </row>
    <row r="111" spans="2:17" ht="12.75" customHeight="1">
      <c r="B111" s="1510"/>
      <c r="C111" s="1511"/>
      <c r="D111" s="1511"/>
      <c r="E111" s="1511"/>
      <c r="F111" s="1511"/>
      <c r="G111" s="1511"/>
      <c r="H111" s="1511"/>
      <c r="I111" s="1511"/>
      <c r="J111" s="1511"/>
      <c r="K111" s="1511"/>
      <c r="L111" s="1511"/>
      <c r="M111" s="1511"/>
      <c r="N111" s="1511"/>
      <c r="O111" s="1512"/>
    </row>
    <row r="112" spans="2:17" ht="12.75" customHeight="1">
      <c r="B112" s="1510"/>
      <c r="C112" s="1511"/>
      <c r="D112" s="1511"/>
      <c r="E112" s="1511"/>
      <c r="F112" s="1511"/>
      <c r="G112" s="1511"/>
      <c r="H112" s="1511"/>
      <c r="I112" s="1511"/>
      <c r="J112" s="1511"/>
      <c r="K112" s="1511"/>
      <c r="L112" s="1511"/>
      <c r="M112" s="1511"/>
      <c r="N112" s="1511"/>
      <c r="O112" s="1512"/>
    </row>
    <row r="113" spans="2:15" ht="12.75" customHeight="1">
      <c r="B113" s="1510"/>
      <c r="C113" s="1511"/>
      <c r="D113" s="1511"/>
      <c r="E113" s="1511"/>
      <c r="F113" s="1511"/>
      <c r="G113" s="1511"/>
      <c r="H113" s="1511"/>
      <c r="I113" s="1511"/>
      <c r="J113" s="1511"/>
      <c r="K113" s="1511"/>
      <c r="L113" s="1511"/>
      <c r="M113" s="1511"/>
      <c r="N113" s="1511"/>
      <c r="O113" s="1512"/>
    </row>
    <row r="114" spans="2:15" ht="12.75" customHeight="1">
      <c r="B114" s="1510"/>
      <c r="C114" s="1511"/>
      <c r="D114" s="1511"/>
      <c r="E114" s="1511"/>
      <c r="F114" s="1511"/>
      <c r="G114" s="1511"/>
      <c r="H114" s="1511"/>
      <c r="I114" s="1511"/>
      <c r="J114" s="1511"/>
      <c r="K114" s="1511"/>
      <c r="L114" s="1511"/>
      <c r="M114" s="1511"/>
      <c r="N114" s="1511"/>
      <c r="O114" s="1512"/>
    </row>
    <row r="115" spans="2:15" ht="12.75" customHeight="1">
      <c r="B115" s="1510"/>
      <c r="C115" s="1511"/>
      <c r="D115" s="1511"/>
      <c r="E115" s="1511"/>
      <c r="F115" s="1511"/>
      <c r="G115" s="1511"/>
      <c r="H115" s="1511"/>
      <c r="I115" s="1511"/>
      <c r="J115" s="1511"/>
      <c r="K115" s="1511"/>
      <c r="L115" s="1511"/>
      <c r="M115" s="1511"/>
      <c r="N115" s="1511"/>
      <c r="O115" s="1512"/>
    </row>
    <row r="116" spans="2:15" ht="12.75" customHeight="1">
      <c r="B116" s="1510"/>
      <c r="C116" s="1511"/>
      <c r="D116" s="1511"/>
      <c r="E116" s="1511"/>
      <c r="F116" s="1511"/>
      <c r="G116" s="1511"/>
      <c r="H116" s="1511"/>
      <c r="I116" s="1511"/>
      <c r="J116" s="1511"/>
      <c r="K116" s="1511"/>
      <c r="L116" s="1511"/>
      <c r="M116" s="1511"/>
      <c r="N116" s="1511"/>
      <c r="O116" s="1512"/>
    </row>
    <row r="117" spans="2:15" ht="12.75" customHeight="1">
      <c r="B117" s="1510"/>
      <c r="C117" s="1511"/>
      <c r="D117" s="1511"/>
      <c r="E117" s="1511"/>
      <c r="F117" s="1511"/>
      <c r="G117" s="1511"/>
      <c r="H117" s="1511"/>
      <c r="I117" s="1511"/>
      <c r="J117" s="1511"/>
      <c r="K117" s="1511"/>
      <c r="L117" s="1511"/>
      <c r="M117" s="1511"/>
      <c r="N117" s="1511"/>
      <c r="O117" s="1512"/>
    </row>
    <row r="118" spans="2:15" ht="12.75" customHeight="1">
      <c r="B118" s="1510"/>
      <c r="C118" s="1511"/>
      <c r="D118" s="1511"/>
      <c r="E118" s="1511"/>
      <c r="F118" s="1511"/>
      <c r="G118" s="1511"/>
      <c r="H118" s="1511"/>
      <c r="I118" s="1511"/>
      <c r="J118" s="1511"/>
      <c r="K118" s="1511"/>
      <c r="L118" s="1511"/>
      <c r="M118" s="1511"/>
      <c r="N118" s="1511"/>
      <c r="O118" s="1512"/>
    </row>
    <row r="119" spans="2:15" ht="12.75" customHeight="1">
      <c r="B119" s="1510"/>
      <c r="C119" s="1511"/>
      <c r="D119" s="1511"/>
      <c r="E119" s="1511"/>
      <c r="F119" s="1511"/>
      <c r="G119" s="1511"/>
      <c r="H119" s="1511"/>
      <c r="I119" s="1511"/>
      <c r="J119" s="1511"/>
      <c r="K119" s="1511"/>
      <c r="L119" s="1511"/>
      <c r="M119" s="1511"/>
      <c r="N119" s="1511"/>
      <c r="O119" s="1512"/>
    </row>
    <row r="120" spans="2:15" ht="12.75" customHeight="1">
      <c r="B120" s="1510"/>
      <c r="C120" s="1511"/>
      <c r="D120" s="1511"/>
      <c r="E120" s="1511"/>
      <c r="F120" s="1511"/>
      <c r="G120" s="1511"/>
      <c r="H120" s="1511"/>
      <c r="I120" s="1511"/>
      <c r="J120" s="1511"/>
      <c r="K120" s="1511"/>
      <c r="L120" s="1511"/>
      <c r="M120" s="1511"/>
      <c r="N120" s="1511"/>
      <c r="O120" s="1512"/>
    </row>
    <row r="121" spans="2:15" ht="12.75" customHeight="1">
      <c r="B121" s="1510"/>
      <c r="C121" s="1511"/>
      <c r="D121" s="1511"/>
      <c r="E121" s="1511"/>
      <c r="F121" s="1511"/>
      <c r="G121" s="1511"/>
      <c r="H121" s="1511"/>
      <c r="I121" s="1511"/>
      <c r="J121" s="1511"/>
      <c r="K121" s="1511"/>
      <c r="L121" s="1511"/>
      <c r="M121" s="1511"/>
      <c r="N121" s="1511"/>
      <c r="O121" s="1512"/>
    </row>
    <row r="122" spans="2:15" ht="12.75" customHeight="1">
      <c r="B122" s="1510"/>
      <c r="C122" s="1511"/>
      <c r="D122" s="1511"/>
      <c r="E122" s="1511"/>
      <c r="F122" s="1511"/>
      <c r="G122" s="1511"/>
      <c r="H122" s="1511"/>
      <c r="I122" s="1511"/>
      <c r="J122" s="1511"/>
      <c r="K122" s="1511"/>
      <c r="L122" s="1511"/>
      <c r="M122" s="1511"/>
      <c r="N122" s="1511"/>
      <c r="O122" s="1512"/>
    </row>
    <row r="123" spans="2:15" ht="12.75" customHeight="1">
      <c r="B123" s="1510"/>
      <c r="C123" s="1511"/>
      <c r="D123" s="1511"/>
      <c r="E123" s="1511"/>
      <c r="F123" s="1511"/>
      <c r="G123" s="1511"/>
      <c r="H123" s="1511"/>
      <c r="I123" s="1511"/>
      <c r="J123" s="1511"/>
      <c r="K123" s="1511"/>
      <c r="L123" s="1511"/>
      <c r="M123" s="1511"/>
      <c r="N123" s="1511"/>
      <c r="O123" s="1512"/>
    </row>
    <row r="124" spans="2:15" ht="13.5" customHeight="1" thickBot="1">
      <c r="B124" s="1513"/>
      <c r="C124" s="1514"/>
      <c r="D124" s="1514"/>
      <c r="E124" s="1514"/>
      <c r="F124" s="1514"/>
      <c r="G124" s="1514"/>
      <c r="H124" s="1514"/>
      <c r="I124" s="1514"/>
      <c r="J124" s="1514"/>
      <c r="K124" s="1514"/>
      <c r="L124" s="1514"/>
      <c r="M124" s="1514"/>
      <c r="N124" s="1514"/>
      <c r="O124" s="1515"/>
    </row>
    <row r="125" spans="2:15" ht="15.75" thickBot="1">
      <c r="B125" s="28"/>
      <c r="C125" s="24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</row>
    <row r="126" spans="2:15" ht="15">
      <c r="B126" s="1491" t="s">
        <v>841</v>
      </c>
      <c r="C126" s="1492"/>
      <c r="D126" s="1492"/>
      <c r="E126" s="1492"/>
      <c r="F126" s="1492"/>
      <c r="G126" s="1492"/>
      <c r="H126" s="1492"/>
      <c r="I126" s="1492"/>
      <c r="J126" s="1492"/>
      <c r="K126" s="1492"/>
      <c r="L126" s="1492"/>
      <c r="M126" s="1492"/>
      <c r="N126" s="1492"/>
      <c r="O126" s="1493"/>
    </row>
    <row r="127" spans="2:15" ht="15" customHeight="1">
      <c r="B127" s="1504">
        <f>('2.1.FDGL-US'!P34+'2.1.FDGL-US'!P45)/100000</f>
        <v>41.4</v>
      </c>
      <c r="C127" s="1505"/>
      <c r="D127" s="1505"/>
      <c r="E127" s="1505"/>
      <c r="F127" s="1505"/>
      <c r="G127" s="1505"/>
      <c r="H127" s="1505"/>
      <c r="I127" s="1505"/>
      <c r="J127" s="1505"/>
      <c r="K127" s="1505"/>
      <c r="L127" s="1505"/>
      <c r="M127" s="1505"/>
      <c r="N127" s="1505"/>
      <c r="O127" s="1506"/>
    </row>
    <row r="128" spans="2:15" ht="12.75" customHeight="1">
      <c r="B128" s="1504"/>
      <c r="C128" s="1505"/>
      <c r="D128" s="1505"/>
      <c r="E128" s="1505"/>
      <c r="F128" s="1505"/>
      <c r="G128" s="1505"/>
      <c r="H128" s="1505"/>
      <c r="I128" s="1505"/>
      <c r="J128" s="1505"/>
      <c r="K128" s="1505"/>
      <c r="L128" s="1505"/>
      <c r="M128" s="1505"/>
      <c r="N128" s="1505"/>
      <c r="O128" s="1506"/>
    </row>
    <row r="129" spans="2:15" ht="12.75" customHeight="1">
      <c r="B129" s="1504"/>
      <c r="C129" s="1505"/>
      <c r="D129" s="1505"/>
      <c r="E129" s="1505"/>
      <c r="F129" s="1505"/>
      <c r="G129" s="1505"/>
      <c r="H129" s="1505"/>
      <c r="I129" s="1505"/>
      <c r="J129" s="1505"/>
      <c r="K129" s="1505"/>
      <c r="L129" s="1505"/>
      <c r="M129" s="1505"/>
      <c r="N129" s="1505"/>
      <c r="O129" s="1506"/>
    </row>
    <row r="130" spans="2:15" ht="12.75" customHeight="1">
      <c r="B130" s="1504"/>
      <c r="C130" s="1505"/>
      <c r="D130" s="1505"/>
      <c r="E130" s="1505"/>
      <c r="F130" s="1505"/>
      <c r="G130" s="1505"/>
      <c r="H130" s="1505"/>
      <c r="I130" s="1505"/>
      <c r="J130" s="1505"/>
      <c r="K130" s="1505"/>
      <c r="L130" s="1505"/>
      <c r="M130" s="1505"/>
      <c r="N130" s="1505"/>
      <c r="O130" s="1506"/>
    </row>
    <row r="131" spans="2:15" ht="12.75" customHeight="1">
      <c r="B131" s="1504"/>
      <c r="C131" s="1505"/>
      <c r="D131" s="1505"/>
      <c r="E131" s="1505"/>
      <c r="F131" s="1505"/>
      <c r="G131" s="1505"/>
      <c r="H131" s="1505"/>
      <c r="I131" s="1505"/>
      <c r="J131" s="1505"/>
      <c r="K131" s="1505"/>
      <c r="L131" s="1505"/>
      <c r="M131" s="1505"/>
      <c r="N131" s="1505"/>
      <c r="O131" s="1506"/>
    </row>
    <row r="132" spans="2:15" ht="12.75" customHeight="1">
      <c r="B132" s="1504"/>
      <c r="C132" s="1505"/>
      <c r="D132" s="1505"/>
      <c r="E132" s="1505"/>
      <c r="F132" s="1505"/>
      <c r="G132" s="1505"/>
      <c r="H132" s="1505"/>
      <c r="I132" s="1505"/>
      <c r="J132" s="1505"/>
      <c r="K132" s="1505"/>
      <c r="L132" s="1505"/>
      <c r="M132" s="1505"/>
      <c r="N132" s="1505"/>
      <c r="O132" s="1506"/>
    </row>
    <row r="133" spans="2:15" ht="12.75" customHeight="1">
      <c r="B133" s="1504"/>
      <c r="C133" s="1505"/>
      <c r="D133" s="1505"/>
      <c r="E133" s="1505"/>
      <c r="F133" s="1505"/>
      <c r="G133" s="1505"/>
      <c r="H133" s="1505"/>
      <c r="I133" s="1505"/>
      <c r="J133" s="1505"/>
      <c r="K133" s="1505"/>
      <c r="L133" s="1505"/>
      <c r="M133" s="1505"/>
      <c r="N133" s="1505"/>
      <c r="O133" s="1506"/>
    </row>
    <row r="134" spans="2:15" ht="12.75" customHeight="1">
      <c r="B134" s="1504"/>
      <c r="C134" s="1505"/>
      <c r="D134" s="1505"/>
      <c r="E134" s="1505"/>
      <c r="F134" s="1505"/>
      <c r="G134" s="1505"/>
      <c r="H134" s="1505"/>
      <c r="I134" s="1505"/>
      <c r="J134" s="1505"/>
      <c r="K134" s="1505"/>
      <c r="L134" s="1505"/>
      <c r="M134" s="1505"/>
      <c r="N134" s="1505"/>
      <c r="O134" s="1506"/>
    </row>
    <row r="135" spans="2:15" ht="12.75" customHeight="1">
      <c r="B135" s="1504"/>
      <c r="C135" s="1505"/>
      <c r="D135" s="1505"/>
      <c r="E135" s="1505"/>
      <c r="F135" s="1505"/>
      <c r="G135" s="1505"/>
      <c r="H135" s="1505"/>
      <c r="I135" s="1505"/>
      <c r="J135" s="1505"/>
      <c r="K135" s="1505"/>
      <c r="L135" s="1505"/>
      <c r="M135" s="1505"/>
      <c r="N135" s="1505"/>
      <c r="O135" s="1506"/>
    </row>
    <row r="136" spans="2:15" ht="12.75" customHeight="1">
      <c r="B136" s="1504"/>
      <c r="C136" s="1505"/>
      <c r="D136" s="1505"/>
      <c r="E136" s="1505"/>
      <c r="F136" s="1505"/>
      <c r="G136" s="1505"/>
      <c r="H136" s="1505"/>
      <c r="I136" s="1505"/>
      <c r="J136" s="1505"/>
      <c r="K136" s="1505"/>
      <c r="L136" s="1505"/>
      <c r="M136" s="1505"/>
      <c r="N136" s="1505"/>
      <c r="O136" s="1506"/>
    </row>
    <row r="137" spans="2:15" ht="12.75" customHeight="1">
      <c r="B137" s="1504"/>
      <c r="C137" s="1505"/>
      <c r="D137" s="1505"/>
      <c r="E137" s="1505"/>
      <c r="F137" s="1505"/>
      <c r="G137" s="1505"/>
      <c r="H137" s="1505"/>
      <c r="I137" s="1505"/>
      <c r="J137" s="1505"/>
      <c r="K137" s="1505"/>
      <c r="L137" s="1505"/>
      <c r="M137" s="1505"/>
      <c r="N137" s="1505"/>
      <c r="O137" s="1506"/>
    </row>
    <row r="138" spans="2:15" ht="12.75" customHeight="1">
      <c r="B138" s="1504"/>
      <c r="C138" s="1505"/>
      <c r="D138" s="1505"/>
      <c r="E138" s="1505"/>
      <c r="F138" s="1505"/>
      <c r="G138" s="1505"/>
      <c r="H138" s="1505"/>
      <c r="I138" s="1505"/>
      <c r="J138" s="1505"/>
      <c r="K138" s="1505"/>
      <c r="L138" s="1505"/>
      <c r="M138" s="1505"/>
      <c r="N138" s="1505"/>
      <c r="O138" s="1506"/>
    </row>
    <row r="139" spans="2:15" ht="12.75" customHeight="1">
      <c r="B139" s="1504"/>
      <c r="C139" s="1505"/>
      <c r="D139" s="1505"/>
      <c r="E139" s="1505"/>
      <c r="F139" s="1505"/>
      <c r="G139" s="1505"/>
      <c r="H139" s="1505"/>
      <c r="I139" s="1505"/>
      <c r="J139" s="1505"/>
      <c r="K139" s="1505"/>
      <c r="L139" s="1505"/>
      <c r="M139" s="1505"/>
      <c r="N139" s="1505"/>
      <c r="O139" s="1506"/>
    </row>
    <row r="140" spans="2:15" ht="12.75" customHeight="1">
      <c r="B140" s="1504"/>
      <c r="C140" s="1505"/>
      <c r="D140" s="1505"/>
      <c r="E140" s="1505"/>
      <c r="F140" s="1505"/>
      <c r="G140" s="1505"/>
      <c r="H140" s="1505"/>
      <c r="I140" s="1505"/>
      <c r="J140" s="1505"/>
      <c r="K140" s="1505"/>
      <c r="L140" s="1505"/>
      <c r="M140" s="1505"/>
      <c r="N140" s="1505"/>
      <c r="O140" s="1506"/>
    </row>
    <row r="141" spans="2:15" ht="13.5" customHeight="1" thickBot="1">
      <c r="B141" s="1507"/>
      <c r="C141" s="1508"/>
      <c r="D141" s="1508"/>
      <c r="E141" s="1508"/>
      <c r="F141" s="1508"/>
      <c r="G141" s="1508"/>
      <c r="H141" s="1508"/>
      <c r="I141" s="1508"/>
      <c r="J141" s="1508"/>
      <c r="K141" s="1508"/>
      <c r="L141" s="1508"/>
      <c r="M141" s="1508"/>
      <c r="N141" s="1508"/>
      <c r="O141" s="1509"/>
    </row>
    <row r="142" spans="2:15" ht="15.75" thickBot="1">
      <c r="B142" s="28"/>
      <c r="C142" s="24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</row>
    <row r="143" spans="2:15" hidden="1">
      <c r="B143" s="1516" t="s">
        <v>879</v>
      </c>
      <c r="C143" s="13" t="s">
        <v>154</v>
      </c>
      <c r="D143" s="229">
        <f>'2.1.FDGL-US'!D127+'2.1.FDGL-US'!D135+'2.1.FDGL-US'!D188</f>
        <v>4782.165</v>
      </c>
      <c r="E143" s="229">
        <f>'2.1.FDGL-US'!E127+'2.1.FDGL-US'!E135+'2.1.FDGL-US'!E188</f>
        <v>7356.1875</v>
      </c>
      <c r="F143" s="229">
        <f>'2.1.FDGL-US'!F127+'2.1.FDGL-US'!F135+'2.1.FDGL-US'!F188</f>
        <v>9934.505000000001</v>
      </c>
      <c r="G143" s="229">
        <f>'2.1.FDGL-US'!G127+'2.1.FDGL-US'!G135+'2.1.FDGL-US'!G188</f>
        <v>12509.68</v>
      </c>
      <c r="H143" s="229">
        <f>'2.1.FDGL-US'!H127+'2.1.FDGL-US'!H135+'2.1.FDGL-US'!H188</f>
        <v>0</v>
      </c>
      <c r="I143" s="229">
        <f>'2.1.FDGL-US'!I127+'2.1.FDGL-US'!I135+'2.1.FDGL-US'!I188</f>
        <v>0</v>
      </c>
      <c r="J143" s="229">
        <f>'2.1.FDGL-US'!J127+'2.1.FDGL-US'!J135+'2.1.FDGL-US'!J188</f>
        <v>0</v>
      </c>
      <c r="K143" s="229">
        <f>'2.1.FDGL-US'!K127+'2.1.FDGL-US'!K135+'2.1.FDGL-US'!K188</f>
        <v>0</v>
      </c>
      <c r="L143" s="229">
        <f>'2.1.FDGL-US'!L127+'2.1.FDGL-US'!L135+'2.1.FDGL-US'!L188</f>
        <v>0</v>
      </c>
      <c r="M143" s="229">
        <f>'2.1.FDGL-US'!M127+'2.1.FDGL-US'!M135+'2.1.FDGL-US'!M188</f>
        <v>0</v>
      </c>
      <c r="N143" s="229">
        <f>'2.1.FDGL-US'!N127+'2.1.FDGL-US'!N135+'2.1.FDGL-US'!N188</f>
        <v>0</v>
      </c>
      <c r="O143" s="229">
        <f>'2.1.FDGL-US'!O127+'2.1.FDGL-US'!O135+'2.1.FDGL-US'!O188</f>
        <v>0</v>
      </c>
    </row>
    <row r="144" spans="2:15" ht="15" hidden="1" customHeight="1">
      <c r="B144" s="1516"/>
      <c r="C144" t="s">
        <v>414</v>
      </c>
      <c r="D144" s="229">
        <f>'2.1.FDGL-US'!D128+'2.1.FDGL-US'!D136+'2.1.FDGL-US'!D189</f>
        <v>8829.33</v>
      </c>
      <c r="E144" s="229">
        <f>'2.1.FDGL-US'!E128+'2.1.FDGL-US'!E136+'2.1.FDGL-US'!E189</f>
        <v>13977.375</v>
      </c>
      <c r="F144" s="229">
        <f>'2.1.FDGL-US'!F128+'2.1.FDGL-US'!F136+'2.1.FDGL-US'!F189</f>
        <v>19134.010000000002</v>
      </c>
      <c r="G144" s="229">
        <f>'2.1.FDGL-US'!G128+'2.1.FDGL-US'!G136+'2.1.FDGL-US'!G189</f>
        <v>24284.36</v>
      </c>
      <c r="H144" s="229">
        <f>'2.1.FDGL-US'!H128+'2.1.FDGL-US'!H136+'2.1.FDGL-US'!H189</f>
        <v>0</v>
      </c>
      <c r="I144" s="229">
        <f>'2.1.FDGL-US'!I128+'2.1.FDGL-US'!I136+'2.1.FDGL-US'!I189</f>
        <v>0</v>
      </c>
      <c r="J144" s="229">
        <f>'2.1.FDGL-US'!J128+'2.1.FDGL-US'!J136+'2.1.FDGL-US'!J189</f>
        <v>0</v>
      </c>
      <c r="K144" s="229">
        <f>'2.1.FDGL-US'!K128+'2.1.FDGL-US'!K136+'2.1.FDGL-US'!K189</f>
        <v>0</v>
      </c>
      <c r="L144" s="229">
        <f>'2.1.FDGL-US'!L128+'2.1.FDGL-US'!L136+'2.1.FDGL-US'!L189</f>
        <v>0</v>
      </c>
      <c r="M144" s="229">
        <f>'2.1.FDGL-US'!M128+'2.1.FDGL-US'!M136+'2.1.FDGL-US'!M189</f>
        <v>0</v>
      </c>
      <c r="N144" s="229">
        <f>'2.1.FDGL-US'!N128+'2.1.FDGL-US'!N136+'2.1.FDGL-US'!N189</f>
        <v>0</v>
      </c>
      <c r="O144" s="229">
        <f>'2.1.FDGL-US'!O128+'2.1.FDGL-US'!O136+'2.1.FDGL-US'!O189</f>
        <v>0</v>
      </c>
    </row>
    <row r="145" spans="2:15" ht="15" hidden="1" customHeight="1">
      <c r="B145" s="1516"/>
      <c r="C145" t="s">
        <v>219</v>
      </c>
      <c r="D145" s="229">
        <f>'2.1.FDGL-US'!D129+'2.1.FDGL-US'!D137+'2.1.FDGL-US'!D190</f>
        <v>126228.423</v>
      </c>
      <c r="E145" s="229">
        <f>'2.1.FDGL-US'!E129+'2.1.FDGL-US'!E137+'2.1.FDGL-US'!E190</f>
        <v>142187.36249999999</v>
      </c>
      <c r="F145" s="229">
        <f>'2.1.FDGL-US'!F129+'2.1.FDGL-US'!F137+'2.1.FDGL-US'!F190</f>
        <v>158172.93099999998</v>
      </c>
      <c r="G145" s="229">
        <f>'2.1.FDGL-US'!G129+'2.1.FDGL-US'!G137+'2.1.FDGL-US'!G190</f>
        <v>174139.016</v>
      </c>
      <c r="H145" s="229">
        <f>'2.1.FDGL-US'!H129+'2.1.FDGL-US'!H137+'2.1.FDGL-US'!H190</f>
        <v>0</v>
      </c>
      <c r="I145" s="229">
        <f>'2.1.FDGL-US'!I129+'2.1.FDGL-US'!I137+'2.1.FDGL-US'!I190</f>
        <v>0</v>
      </c>
      <c r="J145" s="229">
        <f>'2.1.FDGL-US'!J129+'2.1.FDGL-US'!J137+'2.1.FDGL-US'!J190</f>
        <v>0</v>
      </c>
      <c r="K145" s="229">
        <f>'2.1.FDGL-US'!K129+'2.1.FDGL-US'!K137+'2.1.FDGL-US'!K190</f>
        <v>0</v>
      </c>
      <c r="L145" s="229">
        <f>'2.1.FDGL-US'!L129+'2.1.FDGL-US'!L137+'2.1.FDGL-US'!L190</f>
        <v>0</v>
      </c>
      <c r="M145" s="229">
        <f>'2.1.FDGL-US'!M129+'2.1.FDGL-US'!M137+'2.1.FDGL-US'!M190</f>
        <v>0</v>
      </c>
      <c r="N145" s="229">
        <f>'2.1.FDGL-US'!N129+'2.1.FDGL-US'!N137+'2.1.FDGL-US'!N190</f>
        <v>0</v>
      </c>
      <c r="O145" s="229">
        <f>'2.1.FDGL-US'!O129+'2.1.FDGL-US'!O137+'2.1.FDGL-US'!O190</f>
        <v>0</v>
      </c>
    </row>
    <row r="146" spans="2:15" ht="15.75" hidden="1" thickBot="1">
      <c r="B146" s="24"/>
      <c r="C146" s="24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</row>
    <row r="147" spans="2:15" ht="15">
      <c r="B147" s="1500" t="s">
        <v>878</v>
      </c>
      <c r="C147" s="1501"/>
      <c r="D147" s="1501"/>
      <c r="E147" s="1501"/>
      <c r="F147" s="1501"/>
      <c r="G147" s="1501"/>
      <c r="H147" s="1501"/>
      <c r="I147" s="1501"/>
      <c r="J147" s="1501"/>
      <c r="K147" s="1501"/>
      <c r="L147" s="1501"/>
      <c r="M147" s="1501"/>
      <c r="N147" s="1501"/>
      <c r="O147" s="1503"/>
    </row>
    <row r="148" spans="2:15" ht="15" customHeight="1">
      <c r="B148" s="1504">
        <f>('2.1.FDGL-US'!P130)/100000</f>
        <v>2.3701534500000001</v>
      </c>
      <c r="C148" s="1505"/>
      <c r="D148" s="1505"/>
      <c r="E148" s="1505"/>
      <c r="F148" s="1505"/>
      <c r="G148" s="1505"/>
      <c r="H148" s="1505"/>
      <c r="I148" s="1505"/>
      <c r="J148" s="1505"/>
      <c r="K148" s="1505"/>
      <c r="L148" s="1505"/>
      <c r="M148" s="1505"/>
      <c r="N148" s="1505"/>
      <c r="O148" s="1506"/>
    </row>
    <row r="149" spans="2:15" ht="12.75" customHeight="1">
      <c r="B149" s="1504"/>
      <c r="C149" s="1505"/>
      <c r="D149" s="1505"/>
      <c r="E149" s="1505"/>
      <c r="F149" s="1505"/>
      <c r="G149" s="1505"/>
      <c r="H149" s="1505"/>
      <c r="I149" s="1505"/>
      <c r="J149" s="1505"/>
      <c r="K149" s="1505"/>
      <c r="L149" s="1505"/>
      <c r="M149" s="1505"/>
      <c r="N149" s="1505"/>
      <c r="O149" s="1506"/>
    </row>
    <row r="150" spans="2:15" ht="12.75" customHeight="1">
      <c r="B150" s="1504"/>
      <c r="C150" s="1505"/>
      <c r="D150" s="1505"/>
      <c r="E150" s="1505"/>
      <c r="F150" s="1505"/>
      <c r="G150" s="1505"/>
      <c r="H150" s="1505"/>
      <c r="I150" s="1505"/>
      <c r="J150" s="1505"/>
      <c r="K150" s="1505"/>
      <c r="L150" s="1505"/>
      <c r="M150" s="1505"/>
      <c r="N150" s="1505"/>
      <c r="O150" s="1506"/>
    </row>
    <row r="151" spans="2:15" ht="12.75" customHeight="1">
      <c r="B151" s="1504"/>
      <c r="C151" s="1505"/>
      <c r="D151" s="1505"/>
      <c r="E151" s="1505"/>
      <c r="F151" s="1505"/>
      <c r="G151" s="1505"/>
      <c r="H151" s="1505"/>
      <c r="I151" s="1505"/>
      <c r="J151" s="1505"/>
      <c r="K151" s="1505"/>
      <c r="L151" s="1505"/>
      <c r="M151" s="1505"/>
      <c r="N151" s="1505"/>
      <c r="O151" s="1506"/>
    </row>
    <row r="152" spans="2:15" ht="12.75" customHeight="1">
      <c r="B152" s="1504"/>
      <c r="C152" s="1505"/>
      <c r="D152" s="1505"/>
      <c r="E152" s="1505"/>
      <c r="F152" s="1505"/>
      <c r="G152" s="1505"/>
      <c r="H152" s="1505"/>
      <c r="I152" s="1505"/>
      <c r="J152" s="1505"/>
      <c r="K152" s="1505"/>
      <c r="L152" s="1505"/>
      <c r="M152" s="1505"/>
      <c r="N152" s="1505"/>
      <c r="O152" s="1506"/>
    </row>
    <row r="153" spans="2:15" ht="12.75" customHeight="1">
      <c r="B153" s="1504"/>
      <c r="C153" s="1505"/>
      <c r="D153" s="1505"/>
      <c r="E153" s="1505"/>
      <c r="F153" s="1505"/>
      <c r="G153" s="1505"/>
      <c r="H153" s="1505"/>
      <c r="I153" s="1505"/>
      <c r="J153" s="1505"/>
      <c r="K153" s="1505"/>
      <c r="L153" s="1505"/>
      <c r="M153" s="1505"/>
      <c r="N153" s="1505"/>
      <c r="O153" s="1506"/>
    </row>
    <row r="154" spans="2:15" ht="12.75" customHeight="1">
      <c r="B154" s="1504"/>
      <c r="C154" s="1505"/>
      <c r="D154" s="1505"/>
      <c r="E154" s="1505"/>
      <c r="F154" s="1505"/>
      <c r="G154" s="1505"/>
      <c r="H154" s="1505"/>
      <c r="I154" s="1505"/>
      <c r="J154" s="1505"/>
      <c r="K154" s="1505"/>
      <c r="L154" s="1505"/>
      <c r="M154" s="1505"/>
      <c r="N154" s="1505"/>
      <c r="O154" s="1506"/>
    </row>
    <row r="155" spans="2:15" ht="12.75" customHeight="1">
      <c r="B155" s="1504"/>
      <c r="C155" s="1505"/>
      <c r="D155" s="1505"/>
      <c r="E155" s="1505"/>
      <c r="F155" s="1505"/>
      <c r="G155" s="1505"/>
      <c r="H155" s="1505"/>
      <c r="I155" s="1505"/>
      <c r="J155" s="1505"/>
      <c r="K155" s="1505"/>
      <c r="L155" s="1505"/>
      <c r="M155" s="1505"/>
      <c r="N155" s="1505"/>
      <c r="O155" s="1506"/>
    </row>
    <row r="156" spans="2:15" ht="12.75" customHeight="1">
      <c r="B156" s="1504"/>
      <c r="C156" s="1505"/>
      <c r="D156" s="1505"/>
      <c r="E156" s="1505"/>
      <c r="F156" s="1505"/>
      <c r="G156" s="1505"/>
      <c r="H156" s="1505"/>
      <c r="I156" s="1505"/>
      <c r="J156" s="1505"/>
      <c r="K156" s="1505"/>
      <c r="L156" s="1505"/>
      <c r="M156" s="1505"/>
      <c r="N156" s="1505"/>
      <c r="O156" s="1506"/>
    </row>
    <row r="157" spans="2:15" ht="12.75" customHeight="1">
      <c r="B157" s="1504"/>
      <c r="C157" s="1505"/>
      <c r="D157" s="1505"/>
      <c r="E157" s="1505"/>
      <c r="F157" s="1505"/>
      <c r="G157" s="1505"/>
      <c r="H157" s="1505"/>
      <c r="I157" s="1505"/>
      <c r="J157" s="1505"/>
      <c r="K157" s="1505"/>
      <c r="L157" s="1505"/>
      <c r="M157" s="1505"/>
      <c r="N157" s="1505"/>
      <c r="O157" s="1506"/>
    </row>
    <row r="158" spans="2:15" ht="12.75" customHeight="1">
      <c r="B158" s="1504"/>
      <c r="C158" s="1505"/>
      <c r="D158" s="1505"/>
      <c r="E158" s="1505"/>
      <c r="F158" s="1505"/>
      <c r="G158" s="1505"/>
      <c r="H158" s="1505"/>
      <c r="I158" s="1505"/>
      <c r="J158" s="1505"/>
      <c r="K158" s="1505"/>
      <c r="L158" s="1505"/>
      <c r="M158" s="1505"/>
      <c r="N158" s="1505"/>
      <c r="O158" s="1506"/>
    </row>
    <row r="159" spans="2:15" ht="12.75" customHeight="1">
      <c r="B159" s="1504"/>
      <c r="C159" s="1505"/>
      <c r="D159" s="1505"/>
      <c r="E159" s="1505"/>
      <c r="F159" s="1505"/>
      <c r="G159" s="1505"/>
      <c r="H159" s="1505"/>
      <c r="I159" s="1505"/>
      <c r="J159" s="1505"/>
      <c r="K159" s="1505"/>
      <c r="L159" s="1505"/>
      <c r="M159" s="1505"/>
      <c r="N159" s="1505"/>
      <c r="O159" s="1506"/>
    </row>
    <row r="160" spans="2:15" ht="12.75" customHeight="1">
      <c r="B160" s="1504"/>
      <c r="C160" s="1505"/>
      <c r="D160" s="1505"/>
      <c r="E160" s="1505"/>
      <c r="F160" s="1505"/>
      <c r="G160" s="1505"/>
      <c r="H160" s="1505"/>
      <c r="I160" s="1505"/>
      <c r="J160" s="1505"/>
      <c r="K160" s="1505"/>
      <c r="L160" s="1505"/>
      <c r="M160" s="1505"/>
      <c r="N160" s="1505"/>
      <c r="O160" s="1506"/>
    </row>
    <row r="161" spans="2:15" ht="12.75" customHeight="1">
      <c r="B161" s="1504"/>
      <c r="C161" s="1505"/>
      <c r="D161" s="1505"/>
      <c r="E161" s="1505"/>
      <c r="F161" s="1505"/>
      <c r="G161" s="1505"/>
      <c r="H161" s="1505"/>
      <c r="I161" s="1505"/>
      <c r="J161" s="1505"/>
      <c r="K161" s="1505"/>
      <c r="L161" s="1505"/>
      <c r="M161" s="1505"/>
      <c r="N161" s="1505"/>
      <c r="O161" s="1506"/>
    </row>
    <row r="162" spans="2:15" ht="13.5" customHeight="1" thickBot="1">
      <c r="B162" s="1507"/>
      <c r="C162" s="1508"/>
      <c r="D162" s="1508"/>
      <c r="E162" s="1508"/>
      <c r="F162" s="1508"/>
      <c r="G162" s="1508"/>
      <c r="H162" s="1508"/>
      <c r="I162" s="1508"/>
      <c r="J162" s="1508"/>
      <c r="K162" s="1508"/>
      <c r="L162" s="1508"/>
      <c r="M162" s="1508"/>
      <c r="N162" s="1508"/>
      <c r="O162" s="1509"/>
    </row>
    <row r="163" spans="2:15" ht="15.75" thickBot="1">
      <c r="B163" s="28"/>
      <c r="C163" s="24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</row>
    <row r="164" spans="2:15" ht="15">
      <c r="B164" s="1500" t="s">
        <v>220</v>
      </c>
      <c r="C164" s="1501"/>
      <c r="D164" s="1501"/>
      <c r="E164" s="1501"/>
      <c r="F164" s="1501"/>
      <c r="G164" s="1501"/>
      <c r="H164" s="1501"/>
      <c r="I164" s="1501"/>
      <c r="J164" s="1501"/>
      <c r="K164" s="1501"/>
      <c r="L164" s="1501"/>
      <c r="M164" s="1501"/>
      <c r="N164" s="1501"/>
      <c r="O164" s="1502"/>
    </row>
    <row r="165" spans="2:15" ht="15" customHeight="1">
      <c r="B165" s="1494"/>
      <c r="C165" s="1495"/>
      <c r="D165" s="1495"/>
      <c r="E165" s="1495"/>
      <c r="F165" s="1495"/>
      <c r="G165" s="1495"/>
      <c r="H165" s="1495"/>
      <c r="I165" s="1495"/>
      <c r="J165" s="1495"/>
      <c r="K165" s="1495"/>
      <c r="L165" s="1495"/>
      <c r="M165" s="1495"/>
      <c r="N165" s="1495"/>
      <c r="O165" s="1496"/>
    </row>
    <row r="166" spans="2:15" ht="12.75" customHeight="1">
      <c r="B166" s="1494"/>
      <c r="C166" s="1495"/>
      <c r="D166" s="1495"/>
      <c r="E166" s="1495"/>
      <c r="F166" s="1495"/>
      <c r="G166" s="1495"/>
      <c r="H166" s="1495"/>
      <c r="I166" s="1495"/>
      <c r="J166" s="1495"/>
      <c r="K166" s="1495"/>
      <c r="L166" s="1495"/>
      <c r="M166" s="1495"/>
      <c r="N166" s="1495"/>
      <c r="O166" s="1496"/>
    </row>
    <row r="167" spans="2:15" ht="12.75" customHeight="1">
      <c r="B167" s="1494"/>
      <c r="C167" s="1495"/>
      <c r="D167" s="1495"/>
      <c r="E167" s="1495"/>
      <c r="F167" s="1495"/>
      <c r="G167" s="1495"/>
      <c r="H167" s="1495"/>
      <c r="I167" s="1495"/>
      <c r="J167" s="1495"/>
      <c r="K167" s="1495"/>
      <c r="L167" s="1495"/>
      <c r="M167" s="1495"/>
      <c r="N167" s="1495"/>
      <c r="O167" s="1496"/>
    </row>
    <row r="168" spans="2:15" ht="12.75" customHeight="1">
      <c r="B168" s="1494"/>
      <c r="C168" s="1495"/>
      <c r="D168" s="1495"/>
      <c r="E168" s="1495"/>
      <c r="F168" s="1495"/>
      <c r="G168" s="1495"/>
      <c r="H168" s="1495"/>
      <c r="I168" s="1495"/>
      <c r="J168" s="1495"/>
      <c r="K168" s="1495"/>
      <c r="L168" s="1495"/>
      <c r="M168" s="1495"/>
      <c r="N168" s="1495"/>
      <c r="O168" s="1496"/>
    </row>
    <row r="169" spans="2:15" ht="12.75" customHeight="1">
      <c r="B169" s="1494"/>
      <c r="C169" s="1495"/>
      <c r="D169" s="1495"/>
      <c r="E169" s="1495"/>
      <c r="F169" s="1495"/>
      <c r="G169" s="1495"/>
      <c r="H169" s="1495"/>
      <c r="I169" s="1495"/>
      <c r="J169" s="1495"/>
      <c r="K169" s="1495"/>
      <c r="L169" s="1495"/>
      <c r="M169" s="1495"/>
      <c r="N169" s="1495"/>
      <c r="O169" s="1496"/>
    </row>
    <row r="170" spans="2:15" ht="12.75" customHeight="1">
      <c r="B170" s="1494"/>
      <c r="C170" s="1495"/>
      <c r="D170" s="1495"/>
      <c r="E170" s="1495"/>
      <c r="F170" s="1495"/>
      <c r="G170" s="1495"/>
      <c r="H170" s="1495"/>
      <c r="I170" s="1495"/>
      <c r="J170" s="1495"/>
      <c r="K170" s="1495"/>
      <c r="L170" s="1495"/>
      <c r="M170" s="1495"/>
      <c r="N170" s="1495"/>
      <c r="O170" s="1496"/>
    </row>
    <row r="171" spans="2:15" ht="12.75" customHeight="1">
      <c r="B171" s="1494"/>
      <c r="C171" s="1495"/>
      <c r="D171" s="1495"/>
      <c r="E171" s="1495"/>
      <c r="F171" s="1495"/>
      <c r="G171" s="1495"/>
      <c r="H171" s="1495"/>
      <c r="I171" s="1495"/>
      <c r="J171" s="1495"/>
      <c r="K171" s="1495"/>
      <c r="L171" s="1495"/>
      <c r="M171" s="1495"/>
      <c r="N171" s="1495"/>
      <c r="O171" s="1496"/>
    </row>
    <row r="172" spans="2:15" ht="12.75" customHeight="1">
      <c r="B172" s="1494"/>
      <c r="C172" s="1495"/>
      <c r="D172" s="1495"/>
      <c r="E172" s="1495"/>
      <c r="F172" s="1495"/>
      <c r="G172" s="1495"/>
      <c r="H172" s="1495"/>
      <c r="I172" s="1495"/>
      <c r="J172" s="1495"/>
      <c r="K172" s="1495"/>
      <c r="L172" s="1495"/>
      <c r="M172" s="1495"/>
      <c r="N172" s="1495"/>
      <c r="O172" s="1496"/>
    </row>
    <row r="173" spans="2:15" ht="12.75" customHeight="1">
      <c r="B173" s="1494"/>
      <c r="C173" s="1495"/>
      <c r="D173" s="1495"/>
      <c r="E173" s="1495"/>
      <c r="F173" s="1495"/>
      <c r="G173" s="1495"/>
      <c r="H173" s="1495"/>
      <c r="I173" s="1495"/>
      <c r="J173" s="1495"/>
      <c r="K173" s="1495"/>
      <c r="L173" s="1495"/>
      <c r="M173" s="1495"/>
      <c r="N173" s="1495"/>
      <c r="O173" s="1496"/>
    </row>
    <row r="174" spans="2:15" ht="12.75" customHeight="1">
      <c r="B174" s="1494"/>
      <c r="C174" s="1495"/>
      <c r="D174" s="1495"/>
      <c r="E174" s="1495"/>
      <c r="F174" s="1495"/>
      <c r="G174" s="1495"/>
      <c r="H174" s="1495"/>
      <c r="I174" s="1495"/>
      <c r="J174" s="1495"/>
      <c r="K174" s="1495"/>
      <c r="L174" s="1495"/>
      <c r="M174" s="1495"/>
      <c r="N174" s="1495"/>
      <c r="O174" s="1496"/>
    </row>
    <row r="175" spans="2:15" ht="12.75" customHeight="1">
      <c r="B175" s="1494"/>
      <c r="C175" s="1495"/>
      <c r="D175" s="1495"/>
      <c r="E175" s="1495"/>
      <c r="F175" s="1495"/>
      <c r="G175" s="1495"/>
      <c r="H175" s="1495"/>
      <c r="I175" s="1495"/>
      <c r="J175" s="1495"/>
      <c r="K175" s="1495"/>
      <c r="L175" s="1495"/>
      <c r="M175" s="1495"/>
      <c r="N175" s="1495"/>
      <c r="O175" s="1496"/>
    </row>
    <row r="176" spans="2:15" ht="12.75" customHeight="1">
      <c r="B176" s="1494"/>
      <c r="C176" s="1495"/>
      <c r="D176" s="1495"/>
      <c r="E176" s="1495"/>
      <c r="F176" s="1495"/>
      <c r="G176" s="1495"/>
      <c r="H176" s="1495"/>
      <c r="I176" s="1495"/>
      <c r="J176" s="1495"/>
      <c r="K176" s="1495"/>
      <c r="L176" s="1495"/>
      <c r="M176" s="1495"/>
      <c r="N176" s="1495"/>
      <c r="O176" s="1496"/>
    </row>
    <row r="177" spans="2:15" ht="12.75" customHeight="1">
      <c r="B177" s="1494"/>
      <c r="C177" s="1495"/>
      <c r="D177" s="1495"/>
      <c r="E177" s="1495"/>
      <c r="F177" s="1495"/>
      <c r="G177" s="1495"/>
      <c r="H177" s="1495"/>
      <c r="I177" s="1495"/>
      <c r="J177" s="1495"/>
      <c r="K177" s="1495"/>
      <c r="L177" s="1495"/>
      <c r="M177" s="1495"/>
      <c r="N177" s="1495"/>
      <c r="O177" s="1496"/>
    </row>
    <row r="178" spans="2:15" ht="12.75" customHeight="1">
      <c r="B178" s="1494"/>
      <c r="C178" s="1495"/>
      <c r="D178" s="1495"/>
      <c r="E178" s="1495"/>
      <c r="F178" s="1495"/>
      <c r="G178" s="1495"/>
      <c r="H178" s="1495"/>
      <c r="I178" s="1495"/>
      <c r="J178" s="1495"/>
      <c r="K178" s="1495"/>
      <c r="L178" s="1495"/>
      <c r="M178" s="1495"/>
      <c r="N178" s="1495"/>
      <c r="O178" s="1496"/>
    </row>
    <row r="179" spans="2:15" ht="13.5" customHeight="1" thickBot="1">
      <c r="B179" s="1497"/>
      <c r="C179" s="1498"/>
      <c r="D179" s="1498"/>
      <c r="E179" s="1498"/>
      <c r="F179" s="1498"/>
      <c r="G179" s="1498"/>
      <c r="H179" s="1498"/>
      <c r="I179" s="1498"/>
      <c r="J179" s="1498"/>
      <c r="K179" s="1498"/>
      <c r="L179" s="1498"/>
      <c r="M179" s="1498"/>
      <c r="N179" s="1498"/>
      <c r="O179" s="1499"/>
    </row>
    <row r="180" spans="2:15" ht="15.75" thickBot="1">
      <c r="B180" s="28"/>
      <c r="C180" s="24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</row>
    <row r="181" spans="2:15" ht="15">
      <c r="B181" s="1500" t="s">
        <v>214</v>
      </c>
      <c r="C181" s="1501"/>
      <c r="D181" s="1501"/>
      <c r="E181" s="1501"/>
      <c r="F181" s="1501"/>
      <c r="G181" s="1501"/>
      <c r="H181" s="1501"/>
      <c r="I181" s="1501"/>
      <c r="J181" s="1501"/>
      <c r="K181" s="1501"/>
      <c r="L181" s="1501"/>
      <c r="M181" s="1501"/>
      <c r="N181" s="1501"/>
      <c r="O181" s="1503"/>
    </row>
    <row r="182" spans="2:15" ht="15" customHeight="1">
      <c r="B182" s="1494"/>
      <c r="C182" s="1495"/>
      <c r="D182" s="1495"/>
      <c r="E182" s="1495"/>
      <c r="F182" s="1495"/>
      <c r="G182" s="1495"/>
      <c r="H182" s="1495"/>
      <c r="I182" s="1495"/>
      <c r="J182" s="1495"/>
      <c r="K182" s="1495"/>
      <c r="L182" s="1495"/>
      <c r="M182" s="1495"/>
      <c r="N182" s="1495"/>
      <c r="O182" s="1496"/>
    </row>
    <row r="183" spans="2:15" ht="12.75" customHeight="1">
      <c r="B183" s="1494"/>
      <c r="C183" s="1495"/>
      <c r="D183" s="1495"/>
      <c r="E183" s="1495"/>
      <c r="F183" s="1495"/>
      <c r="G183" s="1495"/>
      <c r="H183" s="1495"/>
      <c r="I183" s="1495"/>
      <c r="J183" s="1495"/>
      <c r="K183" s="1495"/>
      <c r="L183" s="1495"/>
      <c r="M183" s="1495"/>
      <c r="N183" s="1495"/>
      <c r="O183" s="1496"/>
    </row>
    <row r="184" spans="2:15" ht="12.75" customHeight="1">
      <c r="B184" s="1494"/>
      <c r="C184" s="1495"/>
      <c r="D184" s="1495"/>
      <c r="E184" s="1495"/>
      <c r="F184" s="1495"/>
      <c r="G184" s="1495"/>
      <c r="H184" s="1495"/>
      <c r="I184" s="1495"/>
      <c r="J184" s="1495"/>
      <c r="K184" s="1495"/>
      <c r="L184" s="1495"/>
      <c r="M184" s="1495"/>
      <c r="N184" s="1495"/>
      <c r="O184" s="1496"/>
    </row>
    <row r="185" spans="2:15" ht="12.75" customHeight="1">
      <c r="B185" s="1494"/>
      <c r="C185" s="1495"/>
      <c r="D185" s="1495"/>
      <c r="E185" s="1495"/>
      <c r="F185" s="1495"/>
      <c r="G185" s="1495"/>
      <c r="H185" s="1495"/>
      <c r="I185" s="1495"/>
      <c r="J185" s="1495"/>
      <c r="K185" s="1495"/>
      <c r="L185" s="1495"/>
      <c r="M185" s="1495"/>
      <c r="N185" s="1495"/>
      <c r="O185" s="1496"/>
    </row>
    <row r="186" spans="2:15" ht="12.75" customHeight="1">
      <c r="B186" s="1494"/>
      <c r="C186" s="1495"/>
      <c r="D186" s="1495"/>
      <c r="E186" s="1495"/>
      <c r="F186" s="1495"/>
      <c r="G186" s="1495"/>
      <c r="H186" s="1495"/>
      <c r="I186" s="1495"/>
      <c r="J186" s="1495"/>
      <c r="K186" s="1495"/>
      <c r="L186" s="1495"/>
      <c r="M186" s="1495"/>
      <c r="N186" s="1495"/>
      <c r="O186" s="1496"/>
    </row>
    <row r="187" spans="2:15" ht="12.75" customHeight="1">
      <c r="B187" s="1494"/>
      <c r="C187" s="1495"/>
      <c r="D187" s="1495"/>
      <c r="E187" s="1495"/>
      <c r="F187" s="1495"/>
      <c r="G187" s="1495"/>
      <c r="H187" s="1495"/>
      <c r="I187" s="1495"/>
      <c r="J187" s="1495"/>
      <c r="K187" s="1495"/>
      <c r="L187" s="1495"/>
      <c r="M187" s="1495"/>
      <c r="N187" s="1495"/>
      <c r="O187" s="1496"/>
    </row>
    <row r="188" spans="2:15" ht="12.75" customHeight="1">
      <c r="B188" s="1494"/>
      <c r="C188" s="1495"/>
      <c r="D188" s="1495"/>
      <c r="E188" s="1495"/>
      <c r="F188" s="1495"/>
      <c r="G188" s="1495"/>
      <c r="H188" s="1495"/>
      <c r="I188" s="1495"/>
      <c r="J188" s="1495"/>
      <c r="K188" s="1495"/>
      <c r="L188" s="1495"/>
      <c r="M188" s="1495"/>
      <c r="N188" s="1495"/>
      <c r="O188" s="1496"/>
    </row>
    <row r="189" spans="2:15" ht="12.75" customHeight="1">
      <c r="B189" s="1494"/>
      <c r="C189" s="1495"/>
      <c r="D189" s="1495"/>
      <c r="E189" s="1495"/>
      <c r="F189" s="1495"/>
      <c r="G189" s="1495"/>
      <c r="H189" s="1495"/>
      <c r="I189" s="1495"/>
      <c r="J189" s="1495"/>
      <c r="K189" s="1495"/>
      <c r="L189" s="1495"/>
      <c r="M189" s="1495"/>
      <c r="N189" s="1495"/>
      <c r="O189" s="1496"/>
    </row>
    <row r="190" spans="2:15" ht="12.75" customHeight="1">
      <c r="B190" s="1494"/>
      <c r="C190" s="1495"/>
      <c r="D190" s="1495"/>
      <c r="E190" s="1495"/>
      <c r="F190" s="1495"/>
      <c r="G190" s="1495"/>
      <c r="H190" s="1495"/>
      <c r="I190" s="1495"/>
      <c r="J190" s="1495"/>
      <c r="K190" s="1495"/>
      <c r="L190" s="1495"/>
      <c r="M190" s="1495"/>
      <c r="N190" s="1495"/>
      <c r="O190" s="1496"/>
    </row>
    <row r="191" spans="2:15" ht="12.75" customHeight="1">
      <c r="B191" s="1494"/>
      <c r="C191" s="1495"/>
      <c r="D191" s="1495"/>
      <c r="E191" s="1495"/>
      <c r="F191" s="1495"/>
      <c r="G191" s="1495"/>
      <c r="H191" s="1495"/>
      <c r="I191" s="1495"/>
      <c r="J191" s="1495"/>
      <c r="K191" s="1495"/>
      <c r="L191" s="1495"/>
      <c r="M191" s="1495"/>
      <c r="N191" s="1495"/>
      <c r="O191" s="1496"/>
    </row>
    <row r="192" spans="2:15" ht="12.75" customHeight="1">
      <c r="B192" s="1494"/>
      <c r="C192" s="1495"/>
      <c r="D192" s="1495"/>
      <c r="E192" s="1495"/>
      <c r="F192" s="1495"/>
      <c r="G192" s="1495"/>
      <c r="H192" s="1495"/>
      <c r="I192" s="1495"/>
      <c r="J192" s="1495"/>
      <c r="K192" s="1495"/>
      <c r="L192" s="1495"/>
      <c r="M192" s="1495"/>
      <c r="N192" s="1495"/>
      <c r="O192" s="1496"/>
    </row>
    <row r="193" spans="2:15" ht="12.75" customHeight="1">
      <c r="B193" s="1494"/>
      <c r="C193" s="1495"/>
      <c r="D193" s="1495"/>
      <c r="E193" s="1495"/>
      <c r="F193" s="1495"/>
      <c r="G193" s="1495"/>
      <c r="H193" s="1495"/>
      <c r="I193" s="1495"/>
      <c r="J193" s="1495"/>
      <c r="K193" s="1495"/>
      <c r="L193" s="1495"/>
      <c r="M193" s="1495"/>
      <c r="N193" s="1495"/>
      <c r="O193" s="1496"/>
    </row>
    <row r="194" spans="2:15" ht="12.75" customHeight="1">
      <c r="B194" s="1494"/>
      <c r="C194" s="1495"/>
      <c r="D194" s="1495"/>
      <c r="E194" s="1495"/>
      <c r="F194" s="1495"/>
      <c r="G194" s="1495"/>
      <c r="H194" s="1495"/>
      <c r="I194" s="1495"/>
      <c r="J194" s="1495"/>
      <c r="K194" s="1495"/>
      <c r="L194" s="1495"/>
      <c r="M194" s="1495"/>
      <c r="N194" s="1495"/>
      <c r="O194" s="1496"/>
    </row>
    <row r="195" spans="2:15" ht="12.75" customHeight="1">
      <c r="B195" s="1494"/>
      <c r="C195" s="1495"/>
      <c r="D195" s="1495"/>
      <c r="E195" s="1495"/>
      <c r="F195" s="1495"/>
      <c r="G195" s="1495"/>
      <c r="H195" s="1495"/>
      <c r="I195" s="1495"/>
      <c r="J195" s="1495"/>
      <c r="K195" s="1495"/>
      <c r="L195" s="1495"/>
      <c r="M195" s="1495"/>
      <c r="N195" s="1495"/>
      <c r="O195" s="1496"/>
    </row>
    <row r="196" spans="2:15" ht="13.5" customHeight="1" thickBot="1">
      <c r="B196" s="1497"/>
      <c r="C196" s="1498"/>
      <c r="D196" s="1498"/>
      <c r="E196" s="1498"/>
      <c r="F196" s="1498"/>
      <c r="G196" s="1498"/>
      <c r="H196" s="1498"/>
      <c r="I196" s="1498"/>
      <c r="J196" s="1498"/>
      <c r="K196" s="1498"/>
      <c r="L196" s="1498"/>
      <c r="M196" s="1498"/>
      <c r="N196" s="1498"/>
      <c r="O196" s="1499"/>
    </row>
  </sheetData>
  <sheetProtection selectLockedCells="1" selectUnlockedCells="1"/>
  <mergeCells count="20">
    <mergeCell ref="B182:O196"/>
    <mergeCell ref="B164:O164"/>
    <mergeCell ref="B181:O181"/>
    <mergeCell ref="B148:O162"/>
    <mergeCell ref="B75:O75"/>
    <mergeCell ref="B76:O90"/>
    <mergeCell ref="B143:B145"/>
    <mergeCell ref="B165:O179"/>
    <mergeCell ref="B147:O147"/>
    <mergeCell ref="B126:O126"/>
    <mergeCell ref="B127:O141"/>
    <mergeCell ref="B109:O109"/>
    <mergeCell ref="B110:O124"/>
    <mergeCell ref="B59:O64"/>
    <mergeCell ref="B65:O68"/>
    <mergeCell ref="B2:O2"/>
    <mergeCell ref="B3:C3"/>
    <mergeCell ref="D3:O3"/>
    <mergeCell ref="B4:C4"/>
    <mergeCell ref="B58:O58"/>
  </mergeCells>
  <conditionalFormatting sqref="B69:O73 B59 B65">
    <cfRule type="cellIs" dxfId="7" priority="3" operator="lessThan">
      <formula>0</formula>
    </cfRule>
  </conditionalFormatting>
  <conditionalFormatting sqref="B76:O90">
    <cfRule type="cellIs" dxfId="6" priority="2" operator="lessThan">
      <formula>0</formula>
    </cfRule>
  </conditionalFormatting>
  <conditionalFormatting sqref="B110:O124">
    <cfRule type="cellIs" dxfId="5" priority="1" operator="lessThan">
      <formula>0</formula>
    </cfRule>
  </conditionalFormatting>
  <printOptions horizontalCentered="1"/>
  <pageMargins left="0.23622047244094491" right="0.23622047244094491" top="0.27559055118110237" bottom="0.19685039370078741" header="0.27559055118110237" footer="0.23"/>
  <pageSetup paperSize="9" scale="50" fitToHeight="0" orientation="portrait" blackAndWhite="1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4" id="{4CC9F244-97E9-439A-9B79-8839AADCF3A9}">
            <xm:f>'1.PM'!C$5=TRUE</xm:f>
            <x14:dxf>
              <font>
                <b/>
                <i val="0"/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D4:O5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BC111"/>
  <sheetViews>
    <sheetView topLeftCell="P1" zoomScale="145" zoomScaleNormal="145" workbookViewId="0">
      <selection activeCell="Y8" sqref="Y8"/>
    </sheetView>
  </sheetViews>
  <sheetFormatPr defaultRowHeight="12.75" customHeight="1"/>
  <cols>
    <col min="1" max="1" width="9.140625" style="11"/>
    <col min="2" max="2" width="16" style="11" bestFit="1" customWidth="1"/>
    <col min="3" max="3" width="9.85546875" style="11" bestFit="1" customWidth="1"/>
    <col min="4" max="4" width="13.5703125" style="11" bestFit="1" customWidth="1"/>
    <col min="5" max="5" width="12" style="11" bestFit="1" customWidth="1"/>
    <col min="6" max="6" width="10" style="11" bestFit="1" customWidth="1"/>
    <col min="7" max="7" width="11.42578125" style="11" customWidth="1"/>
    <col min="8" max="9" width="9.140625" style="11"/>
    <col min="10" max="10" width="4.5703125" style="243" bestFit="1" customWidth="1"/>
    <col min="11" max="11" width="4.5703125" style="243" customWidth="1"/>
    <col min="12" max="12" width="9" style="11" customWidth="1"/>
    <col min="13" max="14" width="4.42578125" style="11" customWidth="1"/>
    <col min="15" max="15" width="9.140625" style="11"/>
    <col min="16" max="16" width="4.5703125" style="243" bestFit="1" customWidth="1"/>
    <col min="17" max="17" width="11.28515625" style="11" customWidth="1"/>
    <col min="18" max="18" width="6.42578125" style="11" bestFit="1" customWidth="1"/>
    <col min="19" max="19" width="9.140625" style="11"/>
    <col min="20" max="20" width="11.5703125" style="11" bestFit="1" customWidth="1"/>
    <col min="21" max="21" width="18.28515625" style="11" bestFit="1" customWidth="1"/>
    <col min="22" max="22" width="16.28515625" style="11" customWidth="1"/>
    <col min="23" max="23" width="12.42578125" style="11" bestFit="1" customWidth="1"/>
    <col min="24" max="24" width="11.28515625" style="11" bestFit="1" customWidth="1"/>
    <col min="25" max="25" width="16.28515625" style="11" bestFit="1" customWidth="1"/>
    <col min="26" max="26" width="5.85546875" style="11" customWidth="1"/>
    <col min="27" max="28" width="9.140625" style="11"/>
    <col min="29" max="29" width="3.7109375" style="11" bestFit="1" customWidth="1"/>
    <col min="30" max="30" width="13.7109375" style="11" customWidth="1"/>
    <col min="31" max="31" width="9.140625" style="11"/>
    <col min="32" max="32" width="11.42578125" style="11" customWidth="1"/>
    <col min="33" max="33" width="4" style="243" bestFit="1" customWidth="1"/>
    <col min="34" max="34" width="4.42578125" style="11" bestFit="1" customWidth="1"/>
    <col min="35" max="35" width="4.42578125" style="11" customWidth="1"/>
    <col min="36" max="36" width="23.7109375" style="246" customWidth="1"/>
    <col min="37" max="37" width="9.42578125" style="246" customWidth="1"/>
    <col min="38" max="38" width="8.42578125" style="246" bestFit="1" customWidth="1"/>
    <col min="39" max="39" width="50.5703125" style="249" bestFit="1" customWidth="1"/>
    <col min="40" max="40" width="9.28515625" style="249" customWidth="1"/>
    <col min="41" max="41" width="13.85546875" style="11" bestFit="1" customWidth="1"/>
    <col min="42" max="42" width="4" style="11" customWidth="1"/>
    <col min="43" max="43" width="18.140625" style="11" bestFit="1" customWidth="1"/>
    <col min="44" max="44" width="9.140625" style="11"/>
    <col min="45" max="45" width="9.140625" style="246"/>
    <col min="46" max="52" width="9.140625" style="11"/>
    <col min="53" max="53" width="22" style="11" bestFit="1" customWidth="1"/>
    <col min="54" max="16384" width="9.140625" style="11"/>
  </cols>
  <sheetData>
    <row r="1" spans="2:55" s="237" customFormat="1" ht="27" customHeight="1">
      <c r="B1" s="237" t="s">
        <v>108</v>
      </c>
      <c r="C1" s="237" t="s">
        <v>913</v>
      </c>
      <c r="D1" s="237" t="s">
        <v>914</v>
      </c>
      <c r="E1" s="237" t="s">
        <v>862</v>
      </c>
      <c r="F1" s="237" t="s">
        <v>863</v>
      </c>
      <c r="G1" s="239" t="s">
        <v>848</v>
      </c>
      <c r="I1" s="237" t="s">
        <v>864</v>
      </c>
      <c r="J1" s="237" t="s">
        <v>865</v>
      </c>
      <c r="L1" s="237" t="s">
        <v>866</v>
      </c>
      <c r="M1" s="237" t="s">
        <v>865</v>
      </c>
      <c r="O1" s="237" t="s">
        <v>193</v>
      </c>
      <c r="P1" s="237" t="s">
        <v>865</v>
      </c>
      <c r="Q1" s="237" t="s">
        <v>1008</v>
      </c>
      <c r="R1" s="237" t="s">
        <v>113</v>
      </c>
      <c r="S1" s="237" t="s">
        <v>869</v>
      </c>
      <c r="T1" s="237" t="s">
        <v>870</v>
      </c>
      <c r="U1" s="237" t="s">
        <v>428</v>
      </c>
      <c r="V1" s="237" t="s">
        <v>871</v>
      </c>
      <c r="W1" s="237" t="s">
        <v>872</v>
      </c>
      <c r="Y1" s="237" t="s">
        <v>84</v>
      </c>
      <c r="AD1" s="238" t="s">
        <v>174</v>
      </c>
      <c r="AE1" s="237" t="s">
        <v>873</v>
      </c>
      <c r="AF1" s="237" t="s">
        <v>874</v>
      </c>
      <c r="AG1" s="237" t="s">
        <v>865</v>
      </c>
      <c r="AH1" s="237" t="s">
        <v>875</v>
      </c>
      <c r="AJ1" s="240" t="s">
        <v>876</v>
      </c>
      <c r="AK1" s="240" t="s">
        <v>217</v>
      </c>
      <c r="AL1" s="240" t="s">
        <v>468</v>
      </c>
      <c r="AM1" s="240" t="s">
        <v>469</v>
      </c>
      <c r="AN1" s="240"/>
      <c r="AS1" s="240"/>
    </row>
    <row r="2" spans="2:55" ht="12.75" customHeight="1">
      <c r="B2" s="11" t="s">
        <v>908</v>
      </c>
      <c r="C2" s="11">
        <v>80</v>
      </c>
      <c r="D2" s="11">
        <v>0.3</v>
      </c>
      <c r="E2" s="241" t="s">
        <v>849</v>
      </c>
      <c r="F2" s="242">
        <v>0.3</v>
      </c>
      <c r="G2" s="11">
        <v>10000</v>
      </c>
      <c r="H2" s="242"/>
      <c r="I2" s="11" t="s">
        <v>838</v>
      </c>
      <c r="J2" s="243">
        <v>0</v>
      </c>
      <c r="L2" s="11" t="s">
        <v>835</v>
      </c>
      <c r="M2" s="243">
        <v>2</v>
      </c>
      <c r="N2" s="243"/>
      <c r="O2" s="11" t="s">
        <v>194</v>
      </c>
      <c r="P2" s="243">
        <v>0</v>
      </c>
      <c r="Q2" s="11" t="s">
        <v>1009</v>
      </c>
      <c r="R2" s="11" t="s">
        <v>114</v>
      </c>
      <c r="S2" s="11" t="s">
        <v>106</v>
      </c>
      <c r="T2" s="11" t="s">
        <v>110</v>
      </c>
      <c r="U2" s="11" t="s">
        <v>969</v>
      </c>
      <c r="V2" s="11" t="s">
        <v>967</v>
      </c>
      <c r="W2" s="11" t="s">
        <v>115</v>
      </c>
      <c r="X2" s="563">
        <v>850000</v>
      </c>
      <c r="Y2" s="10" t="s">
        <v>128</v>
      </c>
      <c r="Z2" s="10">
        <v>1</v>
      </c>
      <c r="AA2" s="12" t="s">
        <v>103</v>
      </c>
      <c r="AB2" s="12" t="s">
        <v>149</v>
      </c>
      <c r="AC2" s="12" t="s">
        <v>114</v>
      </c>
      <c r="AD2" s="12" t="s">
        <v>965</v>
      </c>
      <c r="AE2" s="11">
        <f>3.4 + 5.5</f>
        <v>8.9</v>
      </c>
      <c r="AF2" s="12" t="s">
        <v>433</v>
      </c>
      <c r="AG2" s="243">
        <v>0</v>
      </c>
      <c r="AH2" s="12" t="s">
        <v>460</v>
      </c>
      <c r="AI2" s="12"/>
      <c r="AJ2" s="247" t="s">
        <v>661</v>
      </c>
      <c r="AK2" s="252">
        <v>1250</v>
      </c>
      <c r="AL2" s="248" t="s">
        <v>470</v>
      </c>
      <c r="AM2" s="249" t="s">
        <v>471</v>
      </c>
      <c r="AN2" s="249" t="s">
        <v>877</v>
      </c>
      <c r="AO2" s="11" t="s">
        <v>756</v>
      </c>
      <c r="AP2" s="11">
        <v>51</v>
      </c>
      <c r="AQ2" s="11" t="s">
        <v>1024</v>
      </c>
      <c r="AS2" s="107" t="s">
        <v>176</v>
      </c>
      <c r="BA2" s="274" t="s">
        <v>946</v>
      </c>
      <c r="BB2" s="11" t="s">
        <v>945</v>
      </c>
      <c r="BC2" s="11">
        <v>1</v>
      </c>
    </row>
    <row r="3" spans="2:55" ht="12.75" customHeight="1">
      <c r="B3" s="11" t="s">
        <v>911</v>
      </c>
      <c r="C3" s="11">
        <v>60</v>
      </c>
      <c r="D3" s="11">
        <v>0.4</v>
      </c>
      <c r="E3" s="244" t="s">
        <v>850</v>
      </c>
      <c r="F3" s="242">
        <v>0.3</v>
      </c>
      <c r="I3" s="11" t="s">
        <v>839</v>
      </c>
      <c r="J3" s="243">
        <v>1</v>
      </c>
      <c r="L3" s="11" t="s">
        <v>836</v>
      </c>
      <c r="M3" s="243">
        <v>0</v>
      </c>
      <c r="N3" s="243"/>
      <c r="O3" s="11" t="s">
        <v>400</v>
      </c>
      <c r="P3" s="243">
        <v>1</v>
      </c>
      <c r="Q3" s="11" t="s">
        <v>1010</v>
      </c>
      <c r="R3" s="11" t="s">
        <v>116</v>
      </c>
      <c r="S3" s="11" t="s">
        <v>117</v>
      </c>
      <c r="T3" s="11" t="s">
        <v>122</v>
      </c>
      <c r="W3" s="11" t="s">
        <v>118</v>
      </c>
      <c r="X3" s="563">
        <v>168000</v>
      </c>
      <c r="Y3" s="12" t="s">
        <v>1070</v>
      </c>
      <c r="Z3" s="10">
        <v>2</v>
      </c>
      <c r="AA3" s="12" t="s">
        <v>119</v>
      </c>
      <c r="AB3" s="12" t="s">
        <v>150</v>
      </c>
      <c r="AC3" s="12" t="s">
        <v>116</v>
      </c>
      <c r="AD3" s="12" t="s">
        <v>966</v>
      </c>
      <c r="AE3" s="11">
        <f>3.4 + 5.5</f>
        <v>8.9</v>
      </c>
      <c r="AF3" s="12" t="s">
        <v>434</v>
      </c>
      <c r="AG3" s="243">
        <v>0</v>
      </c>
      <c r="AH3" s="12" t="s">
        <v>460</v>
      </c>
      <c r="AI3" s="12"/>
      <c r="AJ3" s="247" t="s">
        <v>662</v>
      </c>
      <c r="AK3" s="252">
        <v>1500</v>
      </c>
      <c r="AL3" s="248" t="s">
        <v>472</v>
      </c>
      <c r="AM3" s="250" t="s">
        <v>473</v>
      </c>
      <c r="AN3" s="249" t="s">
        <v>877</v>
      </c>
      <c r="AO3" s="11" t="s">
        <v>757</v>
      </c>
      <c r="AP3" s="11">
        <v>45</v>
      </c>
      <c r="AQ3" s="11" t="s">
        <v>1025</v>
      </c>
      <c r="AS3" s="107" t="s">
        <v>177</v>
      </c>
      <c r="BA3" s="274" t="s">
        <v>942</v>
      </c>
      <c r="BB3" s="11" t="s">
        <v>459</v>
      </c>
      <c r="BC3" s="11">
        <v>2</v>
      </c>
    </row>
    <row r="4" spans="2:55" ht="12.75" customHeight="1">
      <c r="B4" s="11" t="s">
        <v>909</v>
      </c>
      <c r="C4" s="11">
        <v>80</v>
      </c>
      <c r="D4" s="11">
        <v>0.4</v>
      </c>
      <c r="E4" s="245" t="s">
        <v>851</v>
      </c>
      <c r="F4" s="242">
        <v>0.3</v>
      </c>
      <c r="G4" s="242"/>
      <c r="H4" s="242"/>
      <c r="I4" s="11" t="s">
        <v>840</v>
      </c>
      <c r="J4" s="243">
        <v>2</v>
      </c>
      <c r="L4" s="11" t="s">
        <v>837</v>
      </c>
      <c r="M4" s="243">
        <v>1</v>
      </c>
      <c r="N4" s="243"/>
      <c r="O4" s="11" t="s">
        <v>867</v>
      </c>
      <c r="P4" s="243">
        <v>2</v>
      </c>
      <c r="Q4" s="11" t="s">
        <v>1011</v>
      </c>
      <c r="R4" s="11" t="s">
        <v>120</v>
      </c>
      <c r="T4" s="11" t="s">
        <v>125</v>
      </c>
      <c r="W4" s="11" t="s">
        <v>112</v>
      </c>
      <c r="X4" s="563">
        <v>700000</v>
      </c>
      <c r="Y4" s="10" t="s">
        <v>1071</v>
      </c>
      <c r="Z4" s="10">
        <v>3</v>
      </c>
      <c r="AC4" s="12" t="s">
        <v>120</v>
      </c>
      <c r="AD4" s="12" t="s">
        <v>188</v>
      </c>
      <c r="AE4" s="11">
        <v>10</v>
      </c>
      <c r="AF4" s="12" t="s">
        <v>435</v>
      </c>
      <c r="AG4" s="243">
        <v>0</v>
      </c>
      <c r="AH4" s="12" t="s">
        <v>460</v>
      </c>
      <c r="AI4" s="12"/>
      <c r="AJ4" s="247" t="s">
        <v>663</v>
      </c>
      <c r="AK4" s="252">
        <v>1700</v>
      </c>
      <c r="AL4" s="248" t="s">
        <v>474</v>
      </c>
      <c r="AM4" s="250" t="s">
        <v>475</v>
      </c>
      <c r="AN4" s="249" t="s">
        <v>877</v>
      </c>
      <c r="AO4" s="11" t="s">
        <v>962</v>
      </c>
      <c r="AP4" s="11">
        <v>23</v>
      </c>
      <c r="AQ4" s="11" t="s">
        <v>1024</v>
      </c>
      <c r="AS4" s="107" t="s">
        <v>178</v>
      </c>
      <c r="BA4" s="274" t="s">
        <v>940</v>
      </c>
      <c r="BB4" s="11" t="s">
        <v>944</v>
      </c>
      <c r="BC4" s="11">
        <v>3</v>
      </c>
    </row>
    <row r="5" spans="2:55" ht="12.75" customHeight="1">
      <c r="B5" s="11" t="s">
        <v>910</v>
      </c>
      <c r="C5" s="11">
        <v>80</v>
      </c>
      <c r="D5" s="11">
        <v>0.4</v>
      </c>
      <c r="E5" s="244" t="s">
        <v>852</v>
      </c>
      <c r="F5" s="242">
        <v>0.3</v>
      </c>
      <c r="O5" s="11" t="s">
        <v>831</v>
      </c>
      <c r="P5" s="243">
        <v>3</v>
      </c>
      <c r="Q5" s="11" t="s">
        <v>1012</v>
      </c>
      <c r="R5" s="11" t="s">
        <v>121</v>
      </c>
      <c r="T5" s="11" t="s">
        <v>184</v>
      </c>
      <c r="U5" s="11" t="s">
        <v>431</v>
      </c>
      <c r="V5" s="11" t="s">
        <v>968</v>
      </c>
      <c r="W5" s="11" t="s">
        <v>123</v>
      </c>
      <c r="X5" s="564"/>
      <c r="Z5" s="10">
        <v>4</v>
      </c>
      <c r="AC5" s="12" t="s">
        <v>121</v>
      </c>
      <c r="AD5" s="12" t="s">
        <v>761</v>
      </c>
      <c r="AE5" s="11">
        <v>10</v>
      </c>
      <c r="AF5" s="12" t="s">
        <v>436</v>
      </c>
      <c r="AG5" s="243">
        <v>0</v>
      </c>
      <c r="AH5" s="12" t="s">
        <v>460</v>
      </c>
      <c r="AI5" s="12"/>
      <c r="AJ5" s="247" t="s">
        <v>664</v>
      </c>
      <c r="AK5" s="248">
        <v>600</v>
      </c>
      <c r="AL5" s="248" t="s">
        <v>476</v>
      </c>
      <c r="AM5" s="249" t="s">
        <v>477</v>
      </c>
      <c r="AN5" s="249" t="s">
        <v>877</v>
      </c>
      <c r="AS5" s="107" t="s">
        <v>179</v>
      </c>
      <c r="BA5" s="274" t="s">
        <v>947</v>
      </c>
      <c r="BB5" s="11" t="s">
        <v>944</v>
      </c>
      <c r="BC5" s="11">
        <v>3</v>
      </c>
    </row>
    <row r="6" spans="2:55" ht="12.75" customHeight="1">
      <c r="B6" s="11" t="s">
        <v>1003</v>
      </c>
      <c r="C6" s="11">
        <v>80</v>
      </c>
      <c r="D6" s="11">
        <v>0.4</v>
      </c>
      <c r="E6" s="244" t="s">
        <v>853</v>
      </c>
      <c r="F6" s="242">
        <v>0.3</v>
      </c>
      <c r="O6" s="11" t="s">
        <v>832</v>
      </c>
      <c r="P6" s="243">
        <v>4</v>
      </c>
      <c r="Q6" s="11" t="s">
        <v>1013</v>
      </c>
      <c r="R6" s="11" t="s">
        <v>124</v>
      </c>
      <c r="W6" s="11" t="s">
        <v>126</v>
      </c>
      <c r="X6" s="564"/>
      <c r="Z6" s="10">
        <v>5</v>
      </c>
      <c r="AD6" s="12" t="s">
        <v>762</v>
      </c>
      <c r="AE6" s="11">
        <v>10</v>
      </c>
      <c r="AF6" s="12" t="s">
        <v>437</v>
      </c>
      <c r="AG6" s="243">
        <v>0</v>
      </c>
      <c r="AH6" s="12" t="s">
        <v>460</v>
      </c>
      <c r="AI6" s="12"/>
      <c r="AJ6" s="247" t="s">
        <v>665</v>
      </c>
      <c r="AK6" s="248">
        <v>2500</v>
      </c>
      <c r="AL6" s="248" t="s">
        <v>478</v>
      </c>
      <c r="AM6" s="249" t="s">
        <v>479</v>
      </c>
      <c r="AN6" s="249" t="s">
        <v>877</v>
      </c>
      <c r="AS6" s="107" t="s">
        <v>180</v>
      </c>
      <c r="BA6" s="274" t="s">
        <v>948</v>
      </c>
      <c r="BB6" s="11" t="s">
        <v>944</v>
      </c>
      <c r="BC6" s="11">
        <v>3</v>
      </c>
    </row>
    <row r="7" spans="2:55" ht="12.75" customHeight="1">
      <c r="B7" s="11" t="s">
        <v>1004</v>
      </c>
      <c r="C7" s="11">
        <v>80</v>
      </c>
      <c r="D7" s="11">
        <v>0.4</v>
      </c>
      <c r="E7" s="244" t="s">
        <v>854</v>
      </c>
      <c r="F7" s="242">
        <v>0.3</v>
      </c>
      <c r="Q7" s="11" t="s">
        <v>1014</v>
      </c>
      <c r="W7" s="11" t="s">
        <v>127</v>
      </c>
      <c r="X7" s="564"/>
      <c r="Y7" s="10"/>
      <c r="Z7" s="10"/>
      <c r="AD7" s="12" t="s">
        <v>763</v>
      </c>
      <c r="AE7" s="11">
        <v>10</v>
      </c>
      <c r="AF7" s="12" t="s">
        <v>438</v>
      </c>
      <c r="AG7" s="243">
        <v>0</v>
      </c>
      <c r="AH7" s="12" t="s">
        <v>460</v>
      </c>
      <c r="AI7" s="12"/>
      <c r="AJ7" s="247" t="s">
        <v>666</v>
      </c>
      <c r="AK7" s="248">
        <v>750</v>
      </c>
      <c r="AL7" s="248" t="s">
        <v>480</v>
      </c>
      <c r="AM7" s="249" t="s">
        <v>481</v>
      </c>
      <c r="AN7" s="249" t="s">
        <v>877</v>
      </c>
      <c r="AO7" s="11" t="s">
        <v>149</v>
      </c>
      <c r="AS7" s="107" t="s">
        <v>181</v>
      </c>
      <c r="BA7" s="274" t="s">
        <v>949</v>
      </c>
      <c r="BB7" s="11" t="s">
        <v>944</v>
      </c>
      <c r="BC7" s="11">
        <v>3</v>
      </c>
    </row>
    <row r="8" spans="2:55" ht="12.75" customHeight="1">
      <c r="E8" s="244" t="s">
        <v>855</v>
      </c>
      <c r="F8" s="242">
        <v>0.3</v>
      </c>
      <c r="W8" s="11" t="s">
        <v>1079</v>
      </c>
      <c r="X8" s="565"/>
      <c r="Y8" s="12"/>
      <c r="Z8" s="10"/>
      <c r="AE8" s="11">
        <v>10</v>
      </c>
      <c r="AF8" s="12" t="s">
        <v>439</v>
      </c>
      <c r="AG8" s="243">
        <v>0</v>
      </c>
      <c r="AH8" s="12" t="s">
        <v>460</v>
      </c>
      <c r="AI8" s="12"/>
      <c r="AJ8" s="247" t="s">
        <v>667</v>
      </c>
      <c r="AK8" s="248">
        <v>4000</v>
      </c>
      <c r="AL8" s="248" t="s">
        <v>482</v>
      </c>
      <c r="AM8" s="249" t="s">
        <v>483</v>
      </c>
      <c r="AN8" s="249" t="s">
        <v>877</v>
      </c>
      <c r="AO8" s="11" t="s">
        <v>150</v>
      </c>
      <c r="BA8" s="274" t="s">
        <v>941</v>
      </c>
      <c r="BB8" s="11" t="s">
        <v>944</v>
      </c>
      <c r="BC8" s="11">
        <v>3</v>
      </c>
    </row>
    <row r="9" spans="2:55" ht="12.75" customHeight="1">
      <c r="E9" s="244" t="s">
        <v>856</v>
      </c>
      <c r="F9" s="242">
        <v>0.3</v>
      </c>
      <c r="Y9" s="12"/>
      <c r="AE9" s="11">
        <v>10</v>
      </c>
      <c r="AF9" s="12" t="s">
        <v>440</v>
      </c>
      <c r="AG9" s="243">
        <v>0</v>
      </c>
      <c r="AH9" s="12" t="s">
        <v>460</v>
      </c>
      <c r="AI9" s="12"/>
      <c r="AJ9" s="247" t="s">
        <v>668</v>
      </c>
      <c r="AK9" s="252">
        <v>4000</v>
      </c>
      <c r="AL9" s="248" t="s">
        <v>484</v>
      </c>
      <c r="AM9" s="249" t="s">
        <v>485</v>
      </c>
      <c r="AN9" s="249" t="s">
        <v>877</v>
      </c>
      <c r="BA9" s="274" t="s">
        <v>950</v>
      </c>
      <c r="BB9" s="11" t="s">
        <v>194</v>
      </c>
      <c r="BC9" s="11">
        <v>4</v>
      </c>
    </row>
    <row r="10" spans="2:55" ht="12.75" customHeight="1">
      <c r="E10" s="244" t="s">
        <v>857</v>
      </c>
      <c r="F10" s="242">
        <v>0.3</v>
      </c>
      <c r="Y10" s="12"/>
      <c r="AD10" s="12"/>
      <c r="AE10" s="11">
        <v>10</v>
      </c>
      <c r="AF10" s="12" t="s">
        <v>441</v>
      </c>
      <c r="AG10" s="243">
        <v>0</v>
      </c>
      <c r="AH10" s="12" t="s">
        <v>460</v>
      </c>
      <c r="AI10" s="12"/>
      <c r="AJ10" s="247" t="s">
        <v>669</v>
      </c>
      <c r="AK10" s="252">
        <v>2000</v>
      </c>
      <c r="AL10" s="248" t="s">
        <v>486</v>
      </c>
      <c r="AM10" s="249" t="s">
        <v>487</v>
      </c>
      <c r="AN10" s="249" t="s">
        <v>877</v>
      </c>
      <c r="BA10" s="274" t="s">
        <v>935</v>
      </c>
      <c r="BB10" s="11" t="s">
        <v>194</v>
      </c>
      <c r="BC10" s="11">
        <v>4</v>
      </c>
    </row>
    <row r="11" spans="2:55" ht="12.75" customHeight="1">
      <c r="E11" s="244" t="s">
        <v>858</v>
      </c>
      <c r="F11" s="242">
        <v>0.3</v>
      </c>
      <c r="AE11" s="11">
        <v>11</v>
      </c>
      <c r="AF11" s="12" t="s">
        <v>442</v>
      </c>
      <c r="AG11" s="243">
        <v>0</v>
      </c>
      <c r="AH11" s="12" t="s">
        <v>460</v>
      </c>
      <c r="AI11" s="12"/>
      <c r="AJ11" s="247" t="s">
        <v>670</v>
      </c>
      <c r="AK11" s="248">
        <v>2500</v>
      </c>
      <c r="AL11" s="248" t="s">
        <v>488</v>
      </c>
      <c r="AM11" s="249" t="s">
        <v>489</v>
      </c>
      <c r="AN11" s="249" t="s">
        <v>877</v>
      </c>
      <c r="BA11" s="274" t="s">
        <v>936</v>
      </c>
      <c r="BB11" s="11" t="s">
        <v>194</v>
      </c>
      <c r="BC11" s="11">
        <v>4</v>
      </c>
    </row>
    <row r="12" spans="2:55" ht="12.75" customHeight="1">
      <c r="E12" s="244" t="s">
        <v>859</v>
      </c>
      <c r="F12" s="242">
        <v>0.3</v>
      </c>
      <c r="AE12" s="11">
        <v>11</v>
      </c>
      <c r="AF12" s="12" t="s">
        <v>443</v>
      </c>
      <c r="AG12" s="243">
        <v>0</v>
      </c>
      <c r="AH12" s="12" t="s">
        <v>460</v>
      </c>
      <c r="AI12" s="12"/>
      <c r="AJ12" s="247" t="s">
        <v>671</v>
      </c>
      <c r="AK12" s="248">
        <v>8000</v>
      </c>
      <c r="AL12" s="248" t="s">
        <v>490</v>
      </c>
      <c r="AM12" s="249" t="s">
        <v>491</v>
      </c>
      <c r="AN12" s="249" t="s">
        <v>877</v>
      </c>
      <c r="BA12" s="274" t="s">
        <v>937</v>
      </c>
      <c r="BB12" s="11" t="s">
        <v>194</v>
      </c>
      <c r="BC12" s="11">
        <v>4</v>
      </c>
    </row>
    <row r="13" spans="2:55" ht="12.75" customHeight="1">
      <c r="E13" s="244" t="s">
        <v>860</v>
      </c>
      <c r="F13" s="242">
        <v>0.3</v>
      </c>
      <c r="AE13" s="11">
        <v>11</v>
      </c>
      <c r="AF13" s="12" t="s">
        <v>444</v>
      </c>
      <c r="AG13" s="243">
        <v>0</v>
      </c>
      <c r="AH13" s="12" t="s">
        <v>460</v>
      </c>
      <c r="AI13" s="12"/>
      <c r="AJ13" s="247" t="s">
        <v>672</v>
      </c>
      <c r="AK13" s="248">
        <v>3000</v>
      </c>
      <c r="AL13" s="248" t="s">
        <v>492</v>
      </c>
      <c r="AM13" s="249" t="s">
        <v>493</v>
      </c>
      <c r="AN13" s="249" t="s">
        <v>877</v>
      </c>
      <c r="BA13" s="274" t="s">
        <v>938</v>
      </c>
      <c r="BB13" s="11" t="s">
        <v>194</v>
      </c>
      <c r="BC13" s="11">
        <v>4</v>
      </c>
    </row>
    <row r="14" spans="2:55" ht="12.75" customHeight="1">
      <c r="E14" s="244" t="s">
        <v>861</v>
      </c>
      <c r="F14" s="242">
        <v>0.3</v>
      </c>
      <c r="Y14" s="12"/>
      <c r="AE14" s="11">
        <v>11</v>
      </c>
      <c r="AF14" s="12" t="s">
        <v>445</v>
      </c>
      <c r="AG14" s="243">
        <v>0</v>
      </c>
      <c r="AH14" s="12" t="s">
        <v>460</v>
      </c>
      <c r="AI14" s="12"/>
      <c r="AJ14" s="247" t="s">
        <v>673</v>
      </c>
      <c r="AK14" s="248">
        <v>1800</v>
      </c>
      <c r="AL14" s="248" t="s">
        <v>494</v>
      </c>
      <c r="AM14" s="249" t="s">
        <v>495</v>
      </c>
      <c r="AN14" s="249" t="s">
        <v>877</v>
      </c>
      <c r="BA14" s="274" t="s">
        <v>939</v>
      </c>
      <c r="BB14" s="11" t="s">
        <v>194</v>
      </c>
      <c r="BC14" s="11">
        <v>4</v>
      </c>
    </row>
    <row r="15" spans="2:55" ht="12.75" customHeight="1">
      <c r="AE15" s="11">
        <v>11</v>
      </c>
      <c r="AF15" s="12" t="s">
        <v>446</v>
      </c>
      <c r="AG15" s="243">
        <v>0</v>
      </c>
      <c r="AH15" s="12" t="s">
        <v>460</v>
      </c>
      <c r="AI15" s="12"/>
      <c r="AJ15" s="247" t="s">
        <v>674</v>
      </c>
      <c r="AK15" s="248">
        <v>900</v>
      </c>
      <c r="AL15" s="248" t="s">
        <v>496</v>
      </c>
      <c r="AM15" s="249" t="s">
        <v>497</v>
      </c>
      <c r="AN15" s="249" t="s">
        <v>877</v>
      </c>
      <c r="BA15" s="274" t="s">
        <v>951</v>
      </c>
      <c r="BB15" s="11" t="s">
        <v>943</v>
      </c>
      <c r="BC15" s="11">
        <v>5</v>
      </c>
    </row>
    <row r="16" spans="2:55" ht="12.75" customHeight="1">
      <c r="AE16" s="11">
        <v>11</v>
      </c>
      <c r="AF16" s="12" t="s">
        <v>447</v>
      </c>
      <c r="AG16" s="243">
        <v>0</v>
      </c>
      <c r="AH16" s="12" t="s">
        <v>460</v>
      </c>
      <c r="AI16" s="12"/>
      <c r="AJ16" s="247" t="s">
        <v>675</v>
      </c>
      <c r="AK16" s="248">
        <v>6000</v>
      </c>
      <c r="AL16" s="248" t="s">
        <v>498</v>
      </c>
      <c r="AM16" s="249" t="s">
        <v>499</v>
      </c>
      <c r="AN16" s="249" t="s">
        <v>877</v>
      </c>
      <c r="BA16" s="274" t="s">
        <v>952</v>
      </c>
      <c r="BB16" s="11" t="s">
        <v>943</v>
      </c>
      <c r="BC16" s="11">
        <v>5</v>
      </c>
    </row>
    <row r="17" spans="31:55" ht="12.75" customHeight="1">
      <c r="AE17" s="11">
        <v>20</v>
      </c>
      <c r="AF17" s="12" t="s">
        <v>1006</v>
      </c>
      <c r="AG17" s="243">
        <v>0</v>
      </c>
      <c r="AH17" s="12" t="s">
        <v>460</v>
      </c>
      <c r="AI17" s="12"/>
      <c r="AJ17" s="247" t="s">
        <v>676</v>
      </c>
      <c r="AK17" s="248">
        <v>75000</v>
      </c>
      <c r="AL17" s="248" t="s">
        <v>500</v>
      </c>
      <c r="AM17" s="249" t="s">
        <v>501</v>
      </c>
      <c r="AN17" s="249" t="s">
        <v>877</v>
      </c>
      <c r="BA17" s="274" t="s">
        <v>953</v>
      </c>
      <c r="BB17" s="11" t="s">
        <v>943</v>
      </c>
      <c r="BC17" s="11">
        <v>5</v>
      </c>
    </row>
    <row r="18" spans="31:55" ht="12.75" customHeight="1">
      <c r="AE18" s="11">
        <v>3</v>
      </c>
      <c r="AF18" s="12" t="s">
        <v>448</v>
      </c>
      <c r="AG18" s="243">
        <v>0</v>
      </c>
      <c r="AH18" s="12" t="s">
        <v>460</v>
      </c>
      <c r="AI18" s="12"/>
      <c r="AJ18" s="247" t="s">
        <v>677</v>
      </c>
      <c r="AK18" s="248">
        <v>20000</v>
      </c>
      <c r="AL18" s="248" t="s">
        <v>502</v>
      </c>
      <c r="AM18" s="249" t="s">
        <v>503</v>
      </c>
      <c r="AN18" s="249" t="s">
        <v>877</v>
      </c>
      <c r="BA18" s="274" t="s">
        <v>954</v>
      </c>
      <c r="BB18" s="11" t="s">
        <v>943</v>
      </c>
      <c r="BC18" s="11">
        <v>5</v>
      </c>
    </row>
    <row r="19" spans="31:55" ht="12.75" customHeight="1">
      <c r="AE19" s="11">
        <v>3</v>
      </c>
      <c r="AF19" s="12" t="s">
        <v>449</v>
      </c>
      <c r="AG19" s="243">
        <v>0</v>
      </c>
      <c r="AH19" s="12" t="s">
        <v>460</v>
      </c>
      <c r="AI19" s="12"/>
      <c r="AJ19" s="247" t="s">
        <v>678</v>
      </c>
      <c r="AK19" s="248">
        <v>4500</v>
      </c>
      <c r="AL19" s="248" t="s">
        <v>504</v>
      </c>
      <c r="AM19" s="249" t="s">
        <v>505</v>
      </c>
      <c r="AN19" s="249" t="s">
        <v>877</v>
      </c>
      <c r="BA19" s="274" t="s">
        <v>955</v>
      </c>
      <c r="BB19" s="11" t="s">
        <v>943</v>
      </c>
      <c r="BC19" s="11">
        <v>5</v>
      </c>
    </row>
    <row r="20" spans="31:55" ht="12.75" customHeight="1">
      <c r="AE20" s="11">
        <v>4</v>
      </c>
      <c r="AF20" s="12" t="s">
        <v>450</v>
      </c>
      <c r="AG20" s="243">
        <v>0</v>
      </c>
      <c r="AH20" s="12" t="s">
        <v>460</v>
      </c>
      <c r="AI20" s="12"/>
      <c r="AJ20" s="247" t="s">
        <v>679</v>
      </c>
      <c r="AK20" s="248">
        <v>2200</v>
      </c>
      <c r="AL20" s="248" t="s">
        <v>506</v>
      </c>
      <c r="AM20" s="249" t="s">
        <v>507</v>
      </c>
      <c r="AN20" s="249" t="s">
        <v>877</v>
      </c>
      <c r="BA20" s="11" t="s">
        <v>956</v>
      </c>
      <c r="BB20" s="11" t="s">
        <v>943</v>
      </c>
      <c r="BC20" s="11">
        <v>5</v>
      </c>
    </row>
    <row r="21" spans="31:55" ht="12.75" customHeight="1">
      <c r="AE21" s="11">
        <v>15</v>
      </c>
      <c r="AF21" s="12" t="s">
        <v>451</v>
      </c>
      <c r="AG21" s="243">
        <v>0</v>
      </c>
      <c r="AH21" s="12" t="s">
        <v>460</v>
      </c>
      <c r="AI21" s="12"/>
      <c r="AJ21" s="247" t="s">
        <v>680</v>
      </c>
      <c r="AK21" s="248">
        <v>1200</v>
      </c>
      <c r="AL21" s="248" t="s">
        <v>508</v>
      </c>
      <c r="AM21" s="249" t="s">
        <v>509</v>
      </c>
      <c r="AN21" s="249" t="s">
        <v>877</v>
      </c>
    </row>
    <row r="22" spans="31:55" ht="12.75" customHeight="1">
      <c r="AE22" s="11">
        <v>2</v>
      </c>
      <c r="AF22" s="12" t="s">
        <v>452</v>
      </c>
      <c r="AG22" s="243">
        <v>0</v>
      </c>
      <c r="AH22" s="12" t="s">
        <v>460</v>
      </c>
      <c r="AI22" s="12"/>
      <c r="AJ22" s="247" t="s">
        <v>681</v>
      </c>
      <c r="AK22" s="248">
        <v>11000</v>
      </c>
      <c r="AL22" s="248" t="s">
        <v>510</v>
      </c>
      <c r="AM22" s="249" t="s">
        <v>511</v>
      </c>
      <c r="AN22" s="249" t="s">
        <v>877</v>
      </c>
    </row>
    <row r="23" spans="31:55" ht="12.75" customHeight="1">
      <c r="AE23" s="11">
        <v>2</v>
      </c>
      <c r="AF23" s="12" t="s">
        <v>453</v>
      </c>
      <c r="AG23" s="243">
        <v>0</v>
      </c>
      <c r="AH23" s="12" t="s">
        <v>460</v>
      </c>
      <c r="AI23" s="12"/>
      <c r="AJ23" s="247" t="s">
        <v>682</v>
      </c>
      <c r="AK23" s="252">
        <v>20000</v>
      </c>
      <c r="AL23" s="248" t="s">
        <v>512</v>
      </c>
      <c r="AM23" s="249" t="s">
        <v>513</v>
      </c>
      <c r="AN23" s="249" t="s">
        <v>877</v>
      </c>
    </row>
    <row r="24" spans="31:55" ht="12.75" customHeight="1">
      <c r="AE24" s="11">
        <v>3</v>
      </c>
      <c r="AF24" s="12" t="s">
        <v>454</v>
      </c>
      <c r="AG24" s="243">
        <v>0</v>
      </c>
      <c r="AH24" s="12" t="s">
        <v>460</v>
      </c>
      <c r="AI24" s="12"/>
      <c r="AJ24" s="247" t="s">
        <v>683</v>
      </c>
      <c r="AK24" s="252">
        <v>22000</v>
      </c>
      <c r="AL24" s="248" t="s">
        <v>514</v>
      </c>
      <c r="AM24" s="249" t="s">
        <v>515</v>
      </c>
      <c r="AN24" s="249" t="s">
        <v>877</v>
      </c>
    </row>
    <row r="25" spans="31:55" ht="12.75" customHeight="1">
      <c r="AE25" s="11">
        <v>15</v>
      </c>
      <c r="AF25" s="12" t="s">
        <v>455</v>
      </c>
      <c r="AG25" s="243">
        <v>0</v>
      </c>
      <c r="AH25" s="12" t="s">
        <v>460</v>
      </c>
      <c r="AI25" s="12"/>
      <c r="AJ25" s="247" t="s">
        <v>684</v>
      </c>
      <c r="AK25" s="252">
        <v>25000</v>
      </c>
      <c r="AL25" s="248" t="s">
        <v>516</v>
      </c>
      <c r="AM25" s="249" t="s">
        <v>517</v>
      </c>
      <c r="AN25" s="249" t="s">
        <v>877</v>
      </c>
    </row>
    <row r="26" spans="31:55" ht="12.75" customHeight="1">
      <c r="AF26" s="12" t="s">
        <v>457</v>
      </c>
      <c r="AG26" s="243">
        <v>0</v>
      </c>
      <c r="AH26" s="12" t="s">
        <v>460</v>
      </c>
      <c r="AI26" s="12"/>
      <c r="AJ26" s="247" t="s">
        <v>685</v>
      </c>
      <c r="AK26" s="252">
        <v>10000</v>
      </c>
      <c r="AL26" s="248" t="s">
        <v>518</v>
      </c>
      <c r="AM26" s="249" t="s">
        <v>519</v>
      </c>
      <c r="AN26" s="249" t="s">
        <v>877</v>
      </c>
    </row>
    <row r="27" spans="31:55" ht="12.75" customHeight="1">
      <c r="AF27" s="12" t="s">
        <v>458</v>
      </c>
      <c r="AG27" s="243">
        <v>0</v>
      </c>
      <c r="AH27" s="12" t="s">
        <v>460</v>
      </c>
      <c r="AJ27" s="247" t="s">
        <v>686</v>
      </c>
      <c r="AK27" s="248">
        <v>1000</v>
      </c>
      <c r="AL27" s="248" t="s">
        <v>520</v>
      </c>
      <c r="AM27" s="249" t="s">
        <v>521</v>
      </c>
      <c r="AN27" s="249" t="s">
        <v>877</v>
      </c>
    </row>
    <row r="28" spans="31:55" ht="12.75" customHeight="1">
      <c r="AE28" s="11">
        <v>1</v>
      </c>
      <c r="AF28" s="12" t="s">
        <v>456</v>
      </c>
      <c r="AG28" s="243">
        <v>1</v>
      </c>
      <c r="AH28" s="11" t="s">
        <v>812</v>
      </c>
      <c r="AI28" s="12"/>
      <c r="AJ28" s="247" t="s">
        <v>687</v>
      </c>
      <c r="AK28" s="252">
        <v>2500</v>
      </c>
      <c r="AL28" s="248" t="s">
        <v>522</v>
      </c>
      <c r="AM28" s="249" t="s">
        <v>523</v>
      </c>
      <c r="AN28" s="249" t="s">
        <v>877</v>
      </c>
    </row>
    <row r="29" spans="31:55" ht="12.75" customHeight="1">
      <c r="AE29" s="11">
        <v>510</v>
      </c>
      <c r="AF29" s="12" t="s">
        <v>845</v>
      </c>
      <c r="AG29" s="243">
        <v>2</v>
      </c>
      <c r="AH29" s="12" t="s">
        <v>459</v>
      </c>
      <c r="AI29" s="12"/>
      <c r="AJ29" s="247" t="s">
        <v>688</v>
      </c>
      <c r="AK29" s="248">
        <v>3500</v>
      </c>
      <c r="AL29" s="248" t="s">
        <v>524</v>
      </c>
      <c r="AM29" s="249" t="s">
        <v>525</v>
      </c>
      <c r="AN29" s="249" t="s">
        <v>877</v>
      </c>
    </row>
    <row r="30" spans="31:55" ht="12.75" customHeight="1">
      <c r="AE30" s="11">
        <v>480</v>
      </c>
      <c r="AF30" s="12" t="s">
        <v>868</v>
      </c>
      <c r="AG30" s="243">
        <v>2</v>
      </c>
      <c r="AH30" s="12" t="s">
        <v>459</v>
      </c>
      <c r="AI30" s="12"/>
      <c r="AJ30" s="247" t="s">
        <v>689</v>
      </c>
      <c r="AK30" s="252">
        <v>2500</v>
      </c>
      <c r="AL30" s="248" t="s">
        <v>526</v>
      </c>
      <c r="AM30" s="251" t="s">
        <v>527</v>
      </c>
      <c r="AN30" s="249" t="s">
        <v>877</v>
      </c>
    </row>
    <row r="31" spans="31:55" ht="12.75" customHeight="1">
      <c r="AE31" s="11">
        <v>145</v>
      </c>
      <c r="AF31" s="12" t="s">
        <v>813</v>
      </c>
      <c r="AG31" s="243">
        <v>2</v>
      </c>
      <c r="AH31" s="12" t="s">
        <v>459</v>
      </c>
      <c r="AI31" s="12"/>
      <c r="AJ31" s="247" t="s">
        <v>690</v>
      </c>
      <c r="AK31" s="248">
        <v>200</v>
      </c>
      <c r="AL31" s="248" t="s">
        <v>528</v>
      </c>
      <c r="AM31" s="251" t="s">
        <v>529</v>
      </c>
      <c r="AN31" s="249" t="s">
        <v>877</v>
      </c>
    </row>
    <row r="32" spans="31:55" ht="12.75" customHeight="1">
      <c r="AE32" s="11">
        <v>145</v>
      </c>
      <c r="AF32" s="12" t="s">
        <v>814</v>
      </c>
      <c r="AG32" s="243">
        <v>2</v>
      </c>
      <c r="AH32" s="12" t="s">
        <v>459</v>
      </c>
      <c r="AI32" s="12"/>
      <c r="AJ32" s="247" t="s">
        <v>691</v>
      </c>
      <c r="AK32" s="248">
        <v>200</v>
      </c>
      <c r="AL32" s="248" t="s">
        <v>530</v>
      </c>
      <c r="AM32" s="250" t="s">
        <v>531</v>
      </c>
      <c r="AN32" s="249" t="s">
        <v>877</v>
      </c>
    </row>
    <row r="33" spans="31:40" ht="12.75" customHeight="1">
      <c r="AE33" s="11">
        <v>155</v>
      </c>
      <c r="AF33" s="12" t="s">
        <v>815</v>
      </c>
      <c r="AG33" s="243">
        <v>2</v>
      </c>
      <c r="AH33" s="12" t="s">
        <v>459</v>
      </c>
      <c r="AI33" s="12"/>
      <c r="AJ33" s="247" t="s">
        <v>692</v>
      </c>
      <c r="AK33" s="248">
        <v>3500</v>
      </c>
      <c r="AL33" s="248" t="s">
        <v>532</v>
      </c>
      <c r="AM33" s="250" t="s">
        <v>533</v>
      </c>
      <c r="AN33" s="249" t="s">
        <v>877</v>
      </c>
    </row>
    <row r="34" spans="31:40" ht="12.75" customHeight="1">
      <c r="AE34" s="11">
        <v>155</v>
      </c>
      <c r="AF34" s="12" t="s">
        <v>816</v>
      </c>
      <c r="AG34" s="243">
        <v>2</v>
      </c>
      <c r="AH34" s="12" t="s">
        <v>459</v>
      </c>
      <c r="AI34" s="12"/>
      <c r="AJ34" s="247" t="s">
        <v>693</v>
      </c>
      <c r="AK34" s="248">
        <v>100</v>
      </c>
      <c r="AL34" s="248" t="s">
        <v>534</v>
      </c>
      <c r="AM34" s="249" t="s">
        <v>535</v>
      </c>
      <c r="AN34" s="249" t="s">
        <v>877</v>
      </c>
    </row>
    <row r="35" spans="31:40" ht="12.75" customHeight="1">
      <c r="AE35" s="11">
        <v>225</v>
      </c>
      <c r="AF35" s="12" t="s">
        <v>817</v>
      </c>
      <c r="AG35" s="243">
        <v>2</v>
      </c>
      <c r="AH35" s="12" t="s">
        <v>459</v>
      </c>
      <c r="AI35" s="12"/>
      <c r="AJ35" s="247" t="s">
        <v>694</v>
      </c>
      <c r="AK35" s="252">
        <v>300</v>
      </c>
      <c r="AL35" s="248" t="s">
        <v>536</v>
      </c>
      <c r="AM35" s="249" t="s">
        <v>537</v>
      </c>
      <c r="AN35" s="249" t="s">
        <v>877</v>
      </c>
    </row>
    <row r="36" spans="31:40" ht="12.75" customHeight="1">
      <c r="AE36" s="11">
        <v>255</v>
      </c>
      <c r="AF36" s="12" t="s">
        <v>818</v>
      </c>
      <c r="AG36" s="243">
        <v>2</v>
      </c>
      <c r="AH36" s="12" t="s">
        <v>459</v>
      </c>
      <c r="AI36" s="12"/>
      <c r="AJ36" s="247" t="s">
        <v>695</v>
      </c>
      <c r="AK36" s="248">
        <v>550</v>
      </c>
      <c r="AL36" s="248" t="s">
        <v>538</v>
      </c>
      <c r="AM36" s="249" t="s">
        <v>539</v>
      </c>
      <c r="AN36" s="249" t="s">
        <v>877</v>
      </c>
    </row>
    <row r="37" spans="31:40" ht="12.75" customHeight="1">
      <c r="AE37" s="11">
        <v>225</v>
      </c>
      <c r="AF37" s="12" t="s">
        <v>819</v>
      </c>
      <c r="AG37" s="243">
        <v>2</v>
      </c>
      <c r="AH37" s="12" t="s">
        <v>459</v>
      </c>
      <c r="AI37" s="12"/>
      <c r="AJ37" s="247" t="s">
        <v>696</v>
      </c>
      <c r="AK37" s="248">
        <v>300</v>
      </c>
      <c r="AL37" s="248" t="s">
        <v>540</v>
      </c>
      <c r="AM37" s="249" t="s">
        <v>541</v>
      </c>
      <c r="AN37" s="249" t="s">
        <v>877</v>
      </c>
    </row>
    <row r="38" spans="31:40" ht="12.75" customHeight="1">
      <c r="AE38" s="11">
        <v>255</v>
      </c>
      <c r="AF38" s="12" t="s">
        <v>820</v>
      </c>
      <c r="AG38" s="243">
        <v>2</v>
      </c>
      <c r="AH38" s="12" t="s">
        <v>459</v>
      </c>
      <c r="AI38" s="12"/>
      <c r="AJ38" s="247" t="s">
        <v>697</v>
      </c>
      <c r="AK38" s="248">
        <v>2500</v>
      </c>
      <c r="AL38" s="248" t="s">
        <v>542</v>
      </c>
      <c r="AM38" s="249" t="s">
        <v>543</v>
      </c>
      <c r="AN38" s="249" t="s">
        <v>877</v>
      </c>
    </row>
    <row r="39" spans="31:40" ht="12.75" customHeight="1">
      <c r="AE39" s="11">
        <v>225</v>
      </c>
      <c r="AF39" s="12" t="s">
        <v>821</v>
      </c>
      <c r="AG39" s="243">
        <v>2</v>
      </c>
      <c r="AH39" s="12" t="s">
        <v>459</v>
      </c>
      <c r="AI39" s="12"/>
      <c r="AJ39" s="247" t="s">
        <v>698</v>
      </c>
      <c r="AK39" s="248">
        <v>4000</v>
      </c>
      <c r="AL39" s="248" t="s">
        <v>544</v>
      </c>
      <c r="AM39" s="249" t="s">
        <v>545</v>
      </c>
      <c r="AN39" s="249" t="s">
        <v>877</v>
      </c>
    </row>
    <row r="40" spans="31:40" ht="12.75" customHeight="1">
      <c r="AE40" s="11">
        <v>255</v>
      </c>
      <c r="AF40" s="12" t="s">
        <v>822</v>
      </c>
      <c r="AG40" s="243">
        <v>2</v>
      </c>
      <c r="AH40" s="12" t="s">
        <v>459</v>
      </c>
      <c r="AI40" s="12"/>
      <c r="AJ40" s="247" t="s">
        <v>699</v>
      </c>
      <c r="AK40" s="248">
        <v>200</v>
      </c>
      <c r="AL40" s="248" t="s">
        <v>546</v>
      </c>
      <c r="AM40" s="249" t="s">
        <v>547</v>
      </c>
      <c r="AN40" s="249" t="s">
        <v>877</v>
      </c>
    </row>
    <row r="41" spans="31:40" ht="12.75" customHeight="1">
      <c r="AE41" s="11">
        <v>230</v>
      </c>
      <c r="AF41" s="12" t="s">
        <v>823</v>
      </c>
      <c r="AG41" s="243">
        <v>2</v>
      </c>
      <c r="AH41" s="12" t="s">
        <v>459</v>
      </c>
      <c r="AI41" s="12"/>
      <c r="AJ41" s="247" t="s">
        <v>700</v>
      </c>
      <c r="AK41" s="252">
        <v>2500</v>
      </c>
      <c r="AL41" s="248" t="s">
        <v>548</v>
      </c>
      <c r="AM41" s="249" t="s">
        <v>549</v>
      </c>
      <c r="AN41" s="249" t="s">
        <v>877</v>
      </c>
    </row>
    <row r="42" spans="31:40" ht="12.75" customHeight="1">
      <c r="AE42" s="11">
        <v>260</v>
      </c>
      <c r="AF42" s="12" t="s">
        <v>824</v>
      </c>
      <c r="AG42" s="243">
        <v>2</v>
      </c>
      <c r="AH42" s="12" t="s">
        <v>459</v>
      </c>
      <c r="AI42" s="12"/>
      <c r="AJ42" s="247" t="s">
        <v>701</v>
      </c>
      <c r="AK42" s="248">
        <v>3000</v>
      </c>
      <c r="AL42" s="248" t="s">
        <v>550</v>
      </c>
      <c r="AM42" s="249" t="s">
        <v>551</v>
      </c>
      <c r="AN42" s="249" t="s">
        <v>877</v>
      </c>
    </row>
    <row r="43" spans="31:40" ht="12.75" customHeight="1">
      <c r="AE43" s="11">
        <v>285</v>
      </c>
      <c r="AF43" s="12" t="s">
        <v>825</v>
      </c>
      <c r="AG43" s="243">
        <v>2</v>
      </c>
      <c r="AH43" s="12" t="s">
        <v>459</v>
      </c>
      <c r="AI43" s="12"/>
      <c r="AJ43" s="247" t="s">
        <v>702</v>
      </c>
      <c r="AK43" s="248">
        <v>300</v>
      </c>
      <c r="AL43" s="248" t="s">
        <v>552</v>
      </c>
      <c r="AM43" s="249" t="s">
        <v>553</v>
      </c>
      <c r="AN43" s="249" t="s">
        <v>877</v>
      </c>
    </row>
    <row r="44" spans="31:40" ht="12.75" customHeight="1">
      <c r="AE44" s="11">
        <v>310</v>
      </c>
      <c r="AF44" s="12" t="s">
        <v>826</v>
      </c>
      <c r="AG44" s="243">
        <v>2</v>
      </c>
      <c r="AH44" s="12" t="s">
        <v>459</v>
      </c>
      <c r="AI44" s="12"/>
      <c r="AJ44" s="247" t="s">
        <v>703</v>
      </c>
      <c r="AK44" s="332">
        <v>300</v>
      </c>
      <c r="AL44" s="332" t="s">
        <v>554</v>
      </c>
      <c r="AM44" s="333" t="s">
        <v>555</v>
      </c>
      <c r="AN44" s="249" t="s">
        <v>877</v>
      </c>
    </row>
    <row r="45" spans="31:40" ht="12.75" customHeight="1">
      <c r="AE45" s="11">
        <v>1450</v>
      </c>
      <c r="AF45" s="12" t="s">
        <v>827</v>
      </c>
      <c r="AG45" s="243">
        <v>2</v>
      </c>
      <c r="AH45" s="12" t="s">
        <v>459</v>
      </c>
      <c r="AI45" s="12"/>
      <c r="AJ45" s="247" t="s">
        <v>704</v>
      </c>
      <c r="AK45" s="248">
        <v>1000</v>
      </c>
      <c r="AL45" s="248" t="s">
        <v>556</v>
      </c>
      <c r="AM45" s="249" t="s">
        <v>557</v>
      </c>
      <c r="AN45" s="249" t="s">
        <v>877</v>
      </c>
    </row>
    <row r="46" spans="31:40" ht="12.75" customHeight="1">
      <c r="AE46" s="11">
        <v>1800</v>
      </c>
      <c r="AF46" s="12" t="s">
        <v>828</v>
      </c>
      <c r="AG46" s="243">
        <v>2</v>
      </c>
      <c r="AH46" s="12" t="s">
        <v>459</v>
      </c>
      <c r="AI46" s="12"/>
      <c r="AJ46" s="247" t="s">
        <v>705</v>
      </c>
      <c r="AK46" s="248">
        <v>600</v>
      </c>
      <c r="AL46" s="248" t="s">
        <v>558</v>
      </c>
      <c r="AM46" s="249" t="s">
        <v>559</v>
      </c>
      <c r="AN46" s="249" t="s">
        <v>877</v>
      </c>
    </row>
    <row r="47" spans="31:40" ht="12.75" customHeight="1">
      <c r="AE47" s="11">
        <v>420</v>
      </c>
      <c r="AF47" s="12" t="s">
        <v>829</v>
      </c>
      <c r="AG47" s="243">
        <v>2</v>
      </c>
      <c r="AH47" s="12" t="s">
        <v>459</v>
      </c>
      <c r="AI47" s="12"/>
      <c r="AJ47" s="247" t="s">
        <v>706</v>
      </c>
      <c r="AK47" s="248">
        <v>200</v>
      </c>
      <c r="AL47" s="248" t="s">
        <v>560</v>
      </c>
      <c r="AM47" s="249" t="s">
        <v>561</v>
      </c>
      <c r="AN47" s="249" t="s">
        <v>877</v>
      </c>
    </row>
    <row r="48" spans="31:40" ht="12.75" customHeight="1">
      <c r="AE48" s="11">
        <v>400</v>
      </c>
      <c r="AF48" s="12" t="s">
        <v>830</v>
      </c>
      <c r="AG48" s="243">
        <v>2</v>
      </c>
      <c r="AH48" s="12" t="s">
        <v>459</v>
      </c>
      <c r="AJ48" s="247" t="s">
        <v>707</v>
      </c>
      <c r="AK48" s="248">
        <v>300</v>
      </c>
      <c r="AL48" s="248" t="s">
        <v>562</v>
      </c>
      <c r="AM48" s="249" t="s">
        <v>563</v>
      </c>
      <c r="AN48" s="249" t="s">
        <v>877</v>
      </c>
    </row>
    <row r="49" spans="36:40" ht="12.75" customHeight="1">
      <c r="AJ49" s="247" t="s">
        <v>708</v>
      </c>
      <c r="AK49" s="248">
        <v>3000</v>
      </c>
      <c r="AL49" s="248" t="s">
        <v>564</v>
      </c>
      <c r="AM49" s="249" t="s">
        <v>565</v>
      </c>
      <c r="AN49" s="249" t="s">
        <v>877</v>
      </c>
    </row>
    <row r="50" spans="36:40" ht="12.75" customHeight="1">
      <c r="AJ50" s="247" t="s">
        <v>709</v>
      </c>
      <c r="AK50" s="248">
        <v>200</v>
      </c>
      <c r="AL50" s="248" t="s">
        <v>566</v>
      </c>
      <c r="AM50" s="249" t="s">
        <v>567</v>
      </c>
      <c r="AN50" s="249" t="s">
        <v>877</v>
      </c>
    </row>
    <row r="51" spans="36:40" ht="12.75" customHeight="1">
      <c r="AJ51" s="247" t="s">
        <v>710</v>
      </c>
      <c r="AK51" s="248">
        <v>3000</v>
      </c>
      <c r="AL51" s="248" t="s">
        <v>568</v>
      </c>
      <c r="AM51" s="249" t="s">
        <v>569</v>
      </c>
      <c r="AN51" s="249" t="s">
        <v>877</v>
      </c>
    </row>
    <row r="52" spans="36:40" ht="12.75" customHeight="1">
      <c r="AJ52" s="247" t="s">
        <v>711</v>
      </c>
      <c r="AK52" s="248">
        <v>1200</v>
      </c>
      <c r="AL52" s="248" t="s">
        <v>570</v>
      </c>
      <c r="AM52" s="249" t="s">
        <v>571</v>
      </c>
      <c r="AN52" s="249" t="s">
        <v>877</v>
      </c>
    </row>
    <row r="53" spans="36:40" ht="12.75" customHeight="1">
      <c r="AJ53" s="247" t="s">
        <v>712</v>
      </c>
      <c r="AK53" s="248">
        <v>6000</v>
      </c>
      <c r="AL53" s="248" t="s">
        <v>572</v>
      </c>
      <c r="AM53" s="249" t="s">
        <v>573</v>
      </c>
      <c r="AN53" s="249" t="s">
        <v>877</v>
      </c>
    </row>
    <row r="54" spans="36:40" ht="12.75" customHeight="1">
      <c r="AJ54" s="247" t="s">
        <v>713</v>
      </c>
      <c r="AK54" s="248">
        <v>300</v>
      </c>
      <c r="AL54" s="248" t="s">
        <v>574</v>
      </c>
      <c r="AM54" s="249" t="s">
        <v>575</v>
      </c>
      <c r="AN54" s="249" t="s">
        <v>877</v>
      </c>
    </row>
    <row r="55" spans="36:40" ht="12.75" customHeight="1">
      <c r="AJ55" s="247" t="s">
        <v>714</v>
      </c>
      <c r="AK55" s="248">
        <v>300</v>
      </c>
      <c r="AL55" s="248" t="s">
        <v>576</v>
      </c>
      <c r="AM55" s="249" t="s">
        <v>577</v>
      </c>
      <c r="AN55" s="249" t="s">
        <v>877</v>
      </c>
    </row>
    <row r="56" spans="36:40" ht="12.75" customHeight="1">
      <c r="AJ56" s="247" t="s">
        <v>715</v>
      </c>
      <c r="AK56" s="248">
        <v>300</v>
      </c>
      <c r="AL56" s="248" t="s">
        <v>578</v>
      </c>
      <c r="AM56" s="249" t="s">
        <v>579</v>
      </c>
      <c r="AN56" s="249" t="s">
        <v>877</v>
      </c>
    </row>
    <row r="57" spans="36:40" ht="12.75" customHeight="1">
      <c r="AJ57" s="247" t="s">
        <v>716</v>
      </c>
      <c r="AK57" s="248">
        <v>250</v>
      </c>
      <c r="AL57" s="248" t="s">
        <v>580</v>
      </c>
      <c r="AM57" s="249" t="s">
        <v>581</v>
      </c>
      <c r="AN57" s="249" t="s">
        <v>877</v>
      </c>
    </row>
    <row r="58" spans="36:40" ht="12.75" customHeight="1">
      <c r="AJ58" s="247" t="s">
        <v>717</v>
      </c>
      <c r="AK58" s="248">
        <v>400</v>
      </c>
      <c r="AL58" s="248" t="s">
        <v>582</v>
      </c>
      <c r="AM58" s="249" t="s">
        <v>583</v>
      </c>
      <c r="AN58" s="249" t="s">
        <v>877</v>
      </c>
    </row>
    <row r="59" spans="36:40" ht="12.75" customHeight="1">
      <c r="AJ59" s="247" t="s">
        <v>718</v>
      </c>
      <c r="AK59" s="248">
        <v>4500</v>
      </c>
      <c r="AL59" s="248" t="s">
        <v>584</v>
      </c>
      <c r="AM59" s="249" t="s">
        <v>585</v>
      </c>
      <c r="AN59" s="249" t="s">
        <v>877</v>
      </c>
    </row>
    <row r="60" spans="36:40" ht="12.75" customHeight="1">
      <c r="AJ60" s="247" t="s">
        <v>719</v>
      </c>
      <c r="AK60" s="248">
        <v>200</v>
      </c>
      <c r="AL60" s="248" t="s">
        <v>586</v>
      </c>
      <c r="AM60" s="249" t="s">
        <v>587</v>
      </c>
      <c r="AN60" s="249" t="s">
        <v>877</v>
      </c>
    </row>
    <row r="61" spans="36:40" ht="12.75" customHeight="1">
      <c r="AJ61" s="247" t="s">
        <v>720</v>
      </c>
      <c r="AK61" s="248">
        <v>3000</v>
      </c>
      <c r="AL61" s="248" t="s">
        <v>588</v>
      </c>
      <c r="AM61" s="249" t="s">
        <v>589</v>
      </c>
      <c r="AN61" s="249" t="s">
        <v>877</v>
      </c>
    </row>
    <row r="62" spans="36:40" ht="12.75" customHeight="1">
      <c r="AJ62" s="247" t="s">
        <v>721</v>
      </c>
      <c r="AK62" s="248">
        <v>1100</v>
      </c>
      <c r="AL62" s="248" t="s">
        <v>590</v>
      </c>
      <c r="AM62" s="249" t="s">
        <v>591</v>
      </c>
      <c r="AN62" s="249" t="s">
        <v>877</v>
      </c>
    </row>
    <row r="63" spans="36:40" ht="12.75" customHeight="1">
      <c r="AJ63" s="247" t="s">
        <v>722</v>
      </c>
      <c r="AK63" s="248">
        <v>900</v>
      </c>
      <c r="AL63" s="248" t="s">
        <v>592</v>
      </c>
      <c r="AM63" s="249" t="s">
        <v>593</v>
      </c>
      <c r="AN63" s="249" t="s">
        <v>877</v>
      </c>
    </row>
    <row r="64" spans="36:40" ht="12.75" customHeight="1">
      <c r="AJ64" s="247" t="s">
        <v>723</v>
      </c>
      <c r="AK64" s="248">
        <v>600</v>
      </c>
      <c r="AL64" s="248" t="s">
        <v>594</v>
      </c>
      <c r="AM64" s="249" t="s">
        <v>595</v>
      </c>
      <c r="AN64" s="249" t="s">
        <v>877</v>
      </c>
    </row>
    <row r="65" spans="36:40" ht="12.75" customHeight="1">
      <c r="AJ65" s="247" t="s">
        <v>724</v>
      </c>
      <c r="AK65" s="248">
        <v>600</v>
      </c>
      <c r="AL65" s="248" t="s">
        <v>596</v>
      </c>
      <c r="AM65" s="249" t="s">
        <v>597</v>
      </c>
      <c r="AN65" s="249" t="s">
        <v>877</v>
      </c>
    </row>
    <row r="66" spans="36:40" ht="12.75" customHeight="1">
      <c r="AJ66" s="247" t="s">
        <v>725</v>
      </c>
      <c r="AK66" s="248">
        <v>200</v>
      </c>
      <c r="AL66" s="248" t="s">
        <v>598</v>
      </c>
      <c r="AM66" s="249" t="s">
        <v>599</v>
      </c>
      <c r="AN66" s="249" t="s">
        <v>877</v>
      </c>
    </row>
    <row r="67" spans="36:40" ht="12.75" customHeight="1">
      <c r="AJ67" s="247" t="s">
        <v>726</v>
      </c>
      <c r="AK67" s="248">
        <v>250</v>
      </c>
      <c r="AL67" s="248" t="s">
        <v>600</v>
      </c>
      <c r="AM67" s="249" t="s">
        <v>601</v>
      </c>
      <c r="AN67" s="249" t="s">
        <v>877</v>
      </c>
    </row>
    <row r="68" spans="36:40" ht="12.75" customHeight="1">
      <c r="AJ68" s="247" t="s">
        <v>727</v>
      </c>
      <c r="AK68" s="248">
        <v>200</v>
      </c>
      <c r="AL68" s="248" t="s">
        <v>602</v>
      </c>
      <c r="AM68" s="249" t="s">
        <v>603</v>
      </c>
      <c r="AN68" s="249" t="s">
        <v>877</v>
      </c>
    </row>
    <row r="69" spans="36:40" ht="12.75" customHeight="1">
      <c r="AJ69" s="247" t="s">
        <v>728</v>
      </c>
      <c r="AK69" s="248">
        <v>200</v>
      </c>
      <c r="AL69" s="248" t="s">
        <v>604</v>
      </c>
      <c r="AM69" s="249" t="s">
        <v>605</v>
      </c>
      <c r="AN69" s="249" t="s">
        <v>877</v>
      </c>
    </row>
    <row r="70" spans="36:40" ht="12.75" customHeight="1">
      <c r="AJ70" s="247" t="s">
        <v>729</v>
      </c>
      <c r="AK70" s="248">
        <v>200</v>
      </c>
      <c r="AL70" s="248" t="s">
        <v>606</v>
      </c>
      <c r="AM70" s="249" t="s">
        <v>607</v>
      </c>
      <c r="AN70" s="249" t="s">
        <v>877</v>
      </c>
    </row>
    <row r="71" spans="36:40" ht="12.75" customHeight="1">
      <c r="AJ71" s="247" t="s">
        <v>730</v>
      </c>
      <c r="AK71" s="248">
        <v>600</v>
      </c>
      <c r="AL71" s="248" t="s">
        <v>608</v>
      </c>
      <c r="AM71" s="249" t="s">
        <v>609</v>
      </c>
      <c r="AN71" s="249" t="s">
        <v>877</v>
      </c>
    </row>
    <row r="72" spans="36:40" ht="12.75" customHeight="1">
      <c r="AJ72" s="247" t="s">
        <v>731</v>
      </c>
      <c r="AK72" s="248">
        <v>600</v>
      </c>
      <c r="AL72" s="248" t="s">
        <v>610</v>
      </c>
      <c r="AM72" s="249" t="s">
        <v>611</v>
      </c>
      <c r="AN72" s="249" t="s">
        <v>877</v>
      </c>
    </row>
    <row r="73" spans="36:40" ht="12.75" customHeight="1">
      <c r="AJ73" s="247" t="s">
        <v>732</v>
      </c>
      <c r="AK73" s="248">
        <v>200</v>
      </c>
      <c r="AL73" s="248" t="s">
        <v>612</v>
      </c>
      <c r="AM73" s="249" t="s">
        <v>613</v>
      </c>
      <c r="AN73" s="249" t="s">
        <v>877</v>
      </c>
    </row>
    <row r="74" spans="36:40" ht="12.75" customHeight="1">
      <c r="AJ74" s="247" t="s">
        <v>733</v>
      </c>
      <c r="AK74" s="248">
        <v>200</v>
      </c>
      <c r="AL74" s="248" t="s">
        <v>614</v>
      </c>
      <c r="AM74" s="249" t="s">
        <v>615</v>
      </c>
      <c r="AN74" s="249" t="s">
        <v>877</v>
      </c>
    </row>
    <row r="75" spans="36:40" ht="12.75" customHeight="1">
      <c r="AJ75" s="247" t="s">
        <v>734</v>
      </c>
      <c r="AK75" s="248">
        <v>2200</v>
      </c>
      <c r="AL75" s="248" t="s">
        <v>616</v>
      </c>
      <c r="AM75" s="249" t="s">
        <v>617</v>
      </c>
      <c r="AN75" s="249" t="s">
        <v>877</v>
      </c>
    </row>
    <row r="76" spans="36:40" ht="12.75" customHeight="1">
      <c r="AJ76" s="247" t="s">
        <v>735</v>
      </c>
      <c r="AK76" s="248">
        <v>1400</v>
      </c>
      <c r="AL76" s="248" t="s">
        <v>618</v>
      </c>
      <c r="AM76" s="249" t="s">
        <v>619</v>
      </c>
      <c r="AN76" s="249" t="s">
        <v>877</v>
      </c>
    </row>
    <row r="77" spans="36:40" ht="12.75" customHeight="1">
      <c r="AJ77" s="247" t="s">
        <v>736</v>
      </c>
      <c r="AK77" s="248">
        <v>15000</v>
      </c>
      <c r="AL77" s="248" t="s">
        <v>620</v>
      </c>
      <c r="AM77" s="249" t="s">
        <v>621</v>
      </c>
      <c r="AN77" s="249" t="s">
        <v>877</v>
      </c>
    </row>
    <row r="78" spans="36:40" ht="12.75" customHeight="1">
      <c r="AJ78" s="247" t="s">
        <v>737</v>
      </c>
      <c r="AK78" s="248">
        <v>200</v>
      </c>
      <c r="AL78" s="248" t="s">
        <v>622</v>
      </c>
      <c r="AM78" s="249" t="s">
        <v>623</v>
      </c>
      <c r="AN78" s="249" t="s">
        <v>877</v>
      </c>
    </row>
    <row r="79" spans="36:40" ht="12.75" customHeight="1">
      <c r="AJ79" s="247" t="s">
        <v>738</v>
      </c>
      <c r="AK79" s="248">
        <v>3500</v>
      </c>
      <c r="AL79" s="248" t="s">
        <v>624</v>
      </c>
      <c r="AM79" s="249" t="s">
        <v>625</v>
      </c>
      <c r="AN79" s="249" t="s">
        <v>877</v>
      </c>
    </row>
    <row r="80" spans="36:40" ht="12.75" customHeight="1">
      <c r="AJ80" s="247" t="s">
        <v>739</v>
      </c>
      <c r="AK80" s="248">
        <v>200</v>
      </c>
      <c r="AL80" s="248" t="s">
        <v>626</v>
      </c>
      <c r="AM80" s="249" t="s">
        <v>627</v>
      </c>
      <c r="AN80" s="249" t="s">
        <v>877</v>
      </c>
    </row>
    <row r="81" spans="36:40" ht="12.75" customHeight="1">
      <c r="AJ81" s="247" t="s">
        <v>740</v>
      </c>
      <c r="AK81" s="248">
        <v>600</v>
      </c>
      <c r="AL81" s="248" t="s">
        <v>628</v>
      </c>
      <c r="AM81" s="249" t="s">
        <v>629</v>
      </c>
      <c r="AN81" s="249" t="s">
        <v>877</v>
      </c>
    </row>
    <row r="82" spans="36:40" ht="12.75" customHeight="1">
      <c r="AJ82" s="247" t="s">
        <v>741</v>
      </c>
      <c r="AK82" s="248">
        <v>4000</v>
      </c>
      <c r="AL82" s="248" t="s">
        <v>630</v>
      </c>
      <c r="AM82" s="249" t="s">
        <v>631</v>
      </c>
      <c r="AN82" s="249" t="s">
        <v>877</v>
      </c>
    </row>
    <row r="83" spans="36:40" ht="12.75" customHeight="1">
      <c r="AJ83" s="247" t="s">
        <v>742</v>
      </c>
      <c r="AK83" s="248">
        <v>3000</v>
      </c>
      <c r="AL83" s="248" t="s">
        <v>632</v>
      </c>
      <c r="AM83" s="249" t="s">
        <v>633</v>
      </c>
      <c r="AN83" s="249" t="s">
        <v>877</v>
      </c>
    </row>
    <row r="84" spans="36:40" ht="12.75" customHeight="1">
      <c r="AJ84" s="247" t="s">
        <v>743</v>
      </c>
      <c r="AK84" s="248">
        <v>25000</v>
      </c>
      <c r="AL84" s="248" t="s">
        <v>634</v>
      </c>
      <c r="AM84" s="249" t="s">
        <v>635</v>
      </c>
      <c r="AN84" s="249" t="s">
        <v>877</v>
      </c>
    </row>
    <row r="85" spans="36:40" ht="12.75" customHeight="1">
      <c r="AJ85" s="247" t="s">
        <v>744</v>
      </c>
      <c r="AK85" s="248">
        <v>200</v>
      </c>
      <c r="AL85" s="248" t="s">
        <v>636</v>
      </c>
      <c r="AM85" s="249" t="s">
        <v>637</v>
      </c>
      <c r="AN85" s="249" t="s">
        <v>877</v>
      </c>
    </row>
    <row r="86" spans="36:40" ht="12.75" customHeight="1">
      <c r="AJ86" s="247" t="s">
        <v>745</v>
      </c>
      <c r="AK86" s="248">
        <v>6000</v>
      </c>
      <c r="AL86" s="248" t="s">
        <v>638</v>
      </c>
      <c r="AM86" s="249" t="s">
        <v>639</v>
      </c>
      <c r="AN86" s="249" t="s">
        <v>877</v>
      </c>
    </row>
    <row r="87" spans="36:40" ht="12.75" customHeight="1">
      <c r="AJ87" s="247" t="s">
        <v>746</v>
      </c>
      <c r="AK87" s="248">
        <v>750</v>
      </c>
      <c r="AL87" s="248" t="s">
        <v>640</v>
      </c>
      <c r="AM87" s="249" t="s">
        <v>641</v>
      </c>
      <c r="AN87" s="249" t="s">
        <v>877</v>
      </c>
    </row>
    <row r="88" spans="36:40" ht="12.75" customHeight="1">
      <c r="AJ88" s="247" t="s">
        <v>747</v>
      </c>
      <c r="AK88" s="248">
        <v>15000</v>
      </c>
      <c r="AL88" s="248" t="s">
        <v>642</v>
      </c>
      <c r="AM88" s="249" t="s">
        <v>643</v>
      </c>
      <c r="AN88" s="249" t="s">
        <v>877</v>
      </c>
    </row>
    <row r="89" spans="36:40" ht="12.75" customHeight="1">
      <c r="AJ89" s="247" t="s">
        <v>748</v>
      </c>
      <c r="AK89" s="248">
        <v>2800</v>
      </c>
      <c r="AL89" s="248" t="s">
        <v>644</v>
      </c>
      <c r="AM89" s="249" t="s">
        <v>645</v>
      </c>
      <c r="AN89" s="249" t="s">
        <v>877</v>
      </c>
    </row>
    <row r="90" spans="36:40" ht="12.75" customHeight="1">
      <c r="AJ90" s="247" t="s">
        <v>749</v>
      </c>
      <c r="AK90" s="248">
        <v>1700</v>
      </c>
      <c r="AL90" s="248" t="s">
        <v>646</v>
      </c>
      <c r="AM90" s="249" t="s">
        <v>647</v>
      </c>
      <c r="AN90" s="249" t="s">
        <v>877</v>
      </c>
    </row>
    <row r="91" spans="36:40" ht="12.75" customHeight="1">
      <c r="AJ91" s="247" t="s">
        <v>750</v>
      </c>
      <c r="AK91" s="248">
        <v>1900</v>
      </c>
      <c r="AL91" s="248" t="s">
        <v>648</v>
      </c>
      <c r="AM91" s="249" t="s">
        <v>649</v>
      </c>
      <c r="AN91" s="249" t="s">
        <v>877</v>
      </c>
    </row>
    <row r="92" spans="36:40" ht="12.75" customHeight="1">
      <c r="AJ92" s="247" t="s">
        <v>751</v>
      </c>
      <c r="AK92" s="248">
        <v>200</v>
      </c>
      <c r="AL92" s="248" t="s">
        <v>650</v>
      </c>
      <c r="AM92" s="249" t="s">
        <v>651</v>
      </c>
      <c r="AN92" s="249" t="s">
        <v>877</v>
      </c>
    </row>
    <row r="93" spans="36:40" ht="12.75" customHeight="1">
      <c r="AJ93" s="247" t="s">
        <v>752</v>
      </c>
      <c r="AK93" s="248">
        <v>200</v>
      </c>
      <c r="AL93" s="248" t="s">
        <v>652</v>
      </c>
      <c r="AM93" s="249" t="s">
        <v>653</v>
      </c>
      <c r="AN93" s="249" t="s">
        <v>877</v>
      </c>
    </row>
    <row r="94" spans="36:40" ht="12.75" customHeight="1">
      <c r="AJ94" s="247" t="s">
        <v>753</v>
      </c>
      <c r="AK94" s="248">
        <v>200</v>
      </c>
      <c r="AL94" s="248" t="s">
        <v>654</v>
      </c>
      <c r="AM94" s="249" t="s">
        <v>655</v>
      </c>
      <c r="AN94" s="249" t="s">
        <v>877</v>
      </c>
    </row>
    <row r="95" spans="36:40" ht="12.75" customHeight="1">
      <c r="AJ95" s="247" t="s">
        <v>754</v>
      </c>
      <c r="AK95" s="248">
        <v>200</v>
      </c>
      <c r="AL95" s="248" t="s">
        <v>656</v>
      </c>
      <c r="AM95" s="249" t="s">
        <v>657</v>
      </c>
      <c r="AN95" s="249" t="s">
        <v>877</v>
      </c>
    </row>
    <row r="96" spans="36:40" ht="12.75" customHeight="1">
      <c r="AJ96" s="247" t="s">
        <v>755</v>
      </c>
      <c r="AK96" s="248">
        <v>5400</v>
      </c>
      <c r="AL96" s="248" t="s">
        <v>658</v>
      </c>
      <c r="AM96" s="249" t="s">
        <v>659</v>
      </c>
      <c r="AN96" s="249" t="s">
        <v>877</v>
      </c>
    </row>
    <row r="97" spans="36:40" ht="12.75" customHeight="1">
      <c r="AJ97" s="247" t="s">
        <v>960</v>
      </c>
      <c r="AK97" s="248">
        <v>75</v>
      </c>
      <c r="AL97" s="248" t="s">
        <v>958</v>
      </c>
      <c r="AM97" s="249" t="s">
        <v>959</v>
      </c>
      <c r="AN97" s="249" t="s">
        <v>877</v>
      </c>
    </row>
    <row r="98" spans="36:40" ht="12.75" customHeight="1">
      <c r="AJ98" s="504" t="s">
        <v>983</v>
      </c>
      <c r="AK98" s="252">
        <v>5000</v>
      </c>
      <c r="AN98" s="249" t="s">
        <v>877</v>
      </c>
    </row>
    <row r="99" spans="36:40" ht="12.75" customHeight="1">
      <c r="AJ99" s="504" t="s">
        <v>984</v>
      </c>
      <c r="AK99" s="506">
        <v>700000</v>
      </c>
      <c r="AN99" s="249" t="s">
        <v>877</v>
      </c>
    </row>
    <row r="100" spans="36:40" ht="12.75" customHeight="1">
      <c r="AN100" s="249" t="s">
        <v>877</v>
      </c>
    </row>
    <row r="101" spans="36:40" ht="12.75" customHeight="1">
      <c r="AN101" s="249" t="s">
        <v>877</v>
      </c>
    </row>
    <row r="102" spans="36:40" ht="12.75" customHeight="1">
      <c r="AN102" s="249" t="s">
        <v>877</v>
      </c>
    </row>
    <row r="103" spans="36:40" ht="12.75" customHeight="1">
      <c r="AN103" s="249" t="s">
        <v>877</v>
      </c>
    </row>
    <row r="104" spans="36:40" ht="12.75" customHeight="1">
      <c r="AN104" s="249" t="s">
        <v>877</v>
      </c>
    </row>
    <row r="105" spans="36:40" ht="12.75" customHeight="1">
      <c r="AN105" s="249" t="s">
        <v>877</v>
      </c>
    </row>
    <row r="106" spans="36:40" ht="12.75" customHeight="1">
      <c r="AN106" s="249" t="s">
        <v>877</v>
      </c>
    </row>
    <row r="107" spans="36:40" ht="12.75" customHeight="1">
      <c r="AN107" s="249" t="s">
        <v>877</v>
      </c>
    </row>
    <row r="108" spans="36:40" ht="12.75" customHeight="1">
      <c r="AN108" s="249" t="s">
        <v>877</v>
      </c>
    </row>
    <row r="109" spans="36:40" ht="12.75" customHeight="1">
      <c r="AN109" s="249" t="s">
        <v>877</v>
      </c>
    </row>
    <row r="110" spans="36:40" ht="12.75" customHeight="1">
      <c r="AN110" s="249" t="s">
        <v>877</v>
      </c>
    </row>
    <row r="111" spans="36:40" ht="12.75" customHeight="1">
      <c r="AN111" s="249" t="s">
        <v>877</v>
      </c>
    </row>
  </sheetData>
  <sheetProtection selectLockedCells="1" selectUnlockedCells="1"/>
  <sortState ref="BA2:BB19">
    <sortCondition ref="BB2:BB19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3"/>
  <sheetViews>
    <sheetView showGridLines="0"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9" sqref="D39"/>
    </sheetView>
  </sheetViews>
  <sheetFormatPr defaultRowHeight="12.75"/>
  <cols>
    <col min="1" max="1" width="25.5703125" customWidth="1"/>
    <col min="2" max="2" width="24.85546875" customWidth="1"/>
    <col min="3" max="3" width="12.5703125" customWidth="1"/>
    <col min="4" max="9" width="14.28515625" customWidth="1"/>
    <col min="10" max="10" width="7.7109375" customWidth="1"/>
    <col min="11" max="11" width="11" bestFit="1" customWidth="1"/>
    <col min="12" max="12" width="9.85546875" bestFit="1" customWidth="1"/>
    <col min="13" max="13" width="9.85546875" customWidth="1"/>
    <col min="14" max="14" width="10.28515625" customWidth="1"/>
    <col min="15" max="15" width="11.85546875" customWidth="1"/>
    <col min="16" max="16" width="12.5703125" customWidth="1"/>
  </cols>
  <sheetData>
    <row r="1" spans="1:20" ht="45">
      <c r="A1" s="2" t="s">
        <v>18</v>
      </c>
      <c r="B1" s="1519" t="s">
        <v>19</v>
      </c>
      <c r="C1" s="1517" t="s">
        <v>0</v>
      </c>
      <c r="D1" s="1517" t="s">
        <v>20</v>
      </c>
      <c r="E1" s="2" t="s">
        <v>21</v>
      </c>
      <c r="F1" s="1517" t="s">
        <v>22</v>
      </c>
      <c r="G1" s="1517" t="s">
        <v>23</v>
      </c>
      <c r="H1" s="2" t="s">
        <v>24</v>
      </c>
      <c r="I1" s="1517" t="s">
        <v>25</v>
      </c>
      <c r="J1" s="2" t="s">
        <v>26</v>
      </c>
      <c r="K1" s="2" t="s">
        <v>27</v>
      </c>
      <c r="L1" s="1517" t="s">
        <v>28</v>
      </c>
      <c r="M1" s="2" t="s">
        <v>29</v>
      </c>
      <c r="N1" s="1517" t="s">
        <v>30</v>
      </c>
      <c r="O1" s="1517" t="s">
        <v>31</v>
      </c>
      <c r="P1" s="1517" t="s">
        <v>32</v>
      </c>
      <c r="Q1" s="1517" t="s">
        <v>33</v>
      </c>
      <c r="R1" s="2" t="s">
        <v>34</v>
      </c>
      <c r="S1" s="1517" t="s">
        <v>16</v>
      </c>
      <c r="T1" s="1517" t="s">
        <v>35</v>
      </c>
    </row>
    <row r="2" spans="1:20" ht="15.75" thickBot="1">
      <c r="A2" s="3" t="s">
        <v>36</v>
      </c>
      <c r="B2" s="1520"/>
      <c r="C2" s="1518"/>
      <c r="D2" s="1518"/>
      <c r="E2" s="3"/>
      <c r="F2" s="1518"/>
      <c r="G2" s="1518"/>
      <c r="H2" s="3"/>
      <c r="I2" s="1518"/>
      <c r="J2" s="3"/>
      <c r="K2" s="3"/>
      <c r="L2" s="1518"/>
      <c r="M2" s="3"/>
      <c r="N2" s="1518"/>
      <c r="O2" s="1518"/>
      <c r="P2" s="1518"/>
      <c r="Q2" s="1518"/>
      <c r="R2" s="3"/>
      <c r="S2" s="1518"/>
      <c r="T2" s="1518"/>
    </row>
    <row r="3" spans="1:20" ht="15.75" thickBot="1">
      <c r="A3" s="4" t="s">
        <v>11</v>
      </c>
      <c r="B3" s="4" t="s">
        <v>84</v>
      </c>
      <c r="C3" s="5" t="s">
        <v>37</v>
      </c>
      <c r="D3" s="5" t="s">
        <v>37</v>
      </c>
      <c r="E3" s="5" t="s">
        <v>37</v>
      </c>
      <c r="F3" s="6" t="s">
        <v>38</v>
      </c>
      <c r="G3" s="6" t="s">
        <v>39</v>
      </c>
      <c r="H3" s="6" t="s">
        <v>38</v>
      </c>
      <c r="I3" s="6" t="s">
        <v>38</v>
      </c>
      <c r="J3" s="6" t="s">
        <v>40</v>
      </c>
      <c r="K3" s="6" t="s">
        <v>38</v>
      </c>
      <c r="L3" s="6" t="s">
        <v>37</v>
      </c>
      <c r="M3" s="6" t="s">
        <v>38</v>
      </c>
      <c r="N3" s="6" t="s">
        <v>37</v>
      </c>
      <c r="O3" s="6" t="s">
        <v>38</v>
      </c>
      <c r="P3" s="6" t="s">
        <v>37</v>
      </c>
      <c r="Q3" s="6" t="s">
        <v>41</v>
      </c>
      <c r="R3" s="6" t="s">
        <v>38</v>
      </c>
      <c r="S3" s="6" t="s">
        <v>37</v>
      </c>
      <c r="T3" s="6" t="s">
        <v>41</v>
      </c>
    </row>
    <row r="4" spans="1:20" ht="15.75" thickBot="1">
      <c r="A4" s="4" t="s">
        <v>42</v>
      </c>
      <c r="B4" s="4" t="s">
        <v>84</v>
      </c>
      <c r="C4" s="5" t="s">
        <v>37</v>
      </c>
      <c r="D4" s="5" t="s">
        <v>37</v>
      </c>
      <c r="E4" s="5" t="s">
        <v>37</v>
      </c>
      <c r="F4" s="6" t="s">
        <v>43</v>
      </c>
      <c r="G4" s="6" t="s">
        <v>37</v>
      </c>
      <c r="H4" s="6" t="s">
        <v>37</v>
      </c>
      <c r="I4" s="6" t="s">
        <v>39</v>
      </c>
      <c r="J4" s="6" t="s">
        <v>37</v>
      </c>
      <c r="K4" s="6" t="s">
        <v>37</v>
      </c>
      <c r="L4" s="6" t="s">
        <v>37</v>
      </c>
      <c r="M4" s="6" t="s">
        <v>37</v>
      </c>
      <c r="N4" s="6" t="s">
        <v>37</v>
      </c>
      <c r="O4" s="6" t="s">
        <v>38</v>
      </c>
      <c r="P4" s="6" t="s">
        <v>37</v>
      </c>
      <c r="Q4" s="6" t="s">
        <v>40</v>
      </c>
      <c r="R4" s="6" t="s">
        <v>37</v>
      </c>
      <c r="S4" s="6" t="s">
        <v>37</v>
      </c>
      <c r="T4" s="6" t="s">
        <v>41</v>
      </c>
    </row>
    <row r="5" spans="1:20" ht="15.75" thickBot="1">
      <c r="A5" s="4" t="s">
        <v>13</v>
      </c>
      <c r="B5" s="4" t="s">
        <v>85</v>
      </c>
      <c r="C5" s="5"/>
      <c r="D5" s="5" t="s">
        <v>40</v>
      </c>
      <c r="E5" s="5" t="s">
        <v>37</v>
      </c>
      <c r="F5" s="5" t="s">
        <v>40</v>
      </c>
      <c r="G5" s="5" t="s">
        <v>40</v>
      </c>
      <c r="H5" s="5" t="s">
        <v>40</v>
      </c>
      <c r="I5" s="5" t="s">
        <v>40</v>
      </c>
      <c r="J5" s="5" t="s">
        <v>37</v>
      </c>
      <c r="K5" s="5" t="s">
        <v>40</v>
      </c>
      <c r="L5" s="5" t="s">
        <v>40</v>
      </c>
      <c r="M5" s="5"/>
      <c r="N5" s="5" t="s">
        <v>40</v>
      </c>
      <c r="O5" s="6" t="s">
        <v>37</v>
      </c>
      <c r="P5" s="5" t="s">
        <v>40</v>
      </c>
      <c r="Q5" s="5" t="s">
        <v>40</v>
      </c>
      <c r="R5" s="5"/>
      <c r="S5" s="6" t="s">
        <v>38</v>
      </c>
      <c r="T5" s="6" t="s">
        <v>41</v>
      </c>
    </row>
    <row r="6" spans="1:20" ht="15.75" thickBot="1">
      <c r="A6" s="4" t="s">
        <v>44</v>
      </c>
      <c r="B6" s="4" t="s">
        <v>86</v>
      </c>
      <c r="C6" s="5" t="s">
        <v>37</v>
      </c>
      <c r="D6" s="5" t="s">
        <v>40</v>
      </c>
      <c r="E6" s="5" t="s">
        <v>37</v>
      </c>
      <c r="F6" s="6" t="s">
        <v>37</v>
      </c>
      <c r="G6" s="6" t="s">
        <v>41</v>
      </c>
      <c r="H6" s="6" t="s">
        <v>37</v>
      </c>
      <c r="I6" s="6" t="s">
        <v>40</v>
      </c>
      <c r="J6" s="6" t="s">
        <v>45</v>
      </c>
      <c r="K6" s="6" t="s">
        <v>40</v>
      </c>
      <c r="L6" s="6" t="s">
        <v>37</v>
      </c>
      <c r="M6" s="6"/>
      <c r="N6" s="6" t="s">
        <v>43</v>
      </c>
      <c r="O6" s="6" t="s">
        <v>43</v>
      </c>
      <c r="P6" s="6" t="s">
        <v>40</v>
      </c>
      <c r="Q6" s="6" t="s">
        <v>40</v>
      </c>
      <c r="R6" s="6"/>
      <c r="S6" s="6" t="s">
        <v>38</v>
      </c>
      <c r="T6" s="6" t="s">
        <v>41</v>
      </c>
    </row>
    <row r="7" spans="1:20" ht="15.75" thickBot="1">
      <c r="A7" s="4" t="s">
        <v>46</v>
      </c>
      <c r="B7" s="4" t="s">
        <v>84</v>
      </c>
      <c r="C7" s="5" t="s">
        <v>37</v>
      </c>
      <c r="D7" s="5" t="s">
        <v>40</v>
      </c>
      <c r="E7" s="5" t="s">
        <v>37</v>
      </c>
      <c r="F7" s="6" t="s">
        <v>43</v>
      </c>
      <c r="G7" s="6" t="s">
        <v>41</v>
      </c>
      <c r="H7" s="6" t="s">
        <v>41</v>
      </c>
      <c r="I7" s="6" t="s">
        <v>41</v>
      </c>
      <c r="J7" s="6" t="s">
        <v>38</v>
      </c>
      <c r="K7" s="6" t="s">
        <v>38</v>
      </c>
      <c r="L7" s="6" t="s">
        <v>38</v>
      </c>
      <c r="M7" s="6" t="s">
        <v>41</v>
      </c>
      <c r="N7" s="6" t="s">
        <v>38</v>
      </c>
      <c r="O7" s="6" t="s">
        <v>38</v>
      </c>
      <c r="P7" s="6" t="s">
        <v>38</v>
      </c>
      <c r="Q7" s="6" t="s">
        <v>40</v>
      </c>
      <c r="R7" s="6" t="s">
        <v>41</v>
      </c>
      <c r="S7" s="6" t="s">
        <v>38</v>
      </c>
      <c r="T7" s="6" t="s">
        <v>41</v>
      </c>
    </row>
    <row r="8" spans="1:20" ht="15.75" thickBot="1">
      <c r="A8" s="4" t="s">
        <v>47</v>
      </c>
      <c r="B8" s="4" t="s">
        <v>87</v>
      </c>
      <c r="C8" s="5" t="s">
        <v>37</v>
      </c>
      <c r="D8" s="5" t="s">
        <v>48</v>
      </c>
      <c r="E8" s="5" t="s">
        <v>37</v>
      </c>
      <c r="F8" s="6" t="s">
        <v>49</v>
      </c>
      <c r="G8" s="6" t="s">
        <v>41</v>
      </c>
      <c r="H8" s="6" t="s">
        <v>41</v>
      </c>
      <c r="I8" s="6" t="s">
        <v>40</v>
      </c>
      <c r="J8" s="6"/>
      <c r="K8" s="6" t="s">
        <v>40</v>
      </c>
      <c r="L8" s="6" t="s">
        <v>41</v>
      </c>
      <c r="M8" s="6"/>
      <c r="N8" s="6" t="s">
        <v>40</v>
      </c>
      <c r="O8" s="6" t="s">
        <v>40</v>
      </c>
      <c r="P8" s="6" t="s">
        <v>41</v>
      </c>
      <c r="Q8" s="6" t="s">
        <v>40</v>
      </c>
      <c r="R8" s="6"/>
      <c r="S8" s="6" t="s">
        <v>37</v>
      </c>
      <c r="T8" s="6" t="s">
        <v>41</v>
      </c>
    </row>
    <row r="9" spans="1:20" ht="15.75" thickBot="1">
      <c r="A9" s="4" t="s">
        <v>50</v>
      </c>
      <c r="B9" s="4" t="s">
        <v>51</v>
      </c>
      <c r="C9" s="5" t="s">
        <v>37</v>
      </c>
      <c r="D9" s="5" t="s">
        <v>38</v>
      </c>
      <c r="E9" s="5" t="s">
        <v>37</v>
      </c>
      <c r="F9" s="6" t="s">
        <v>43</v>
      </c>
      <c r="G9" s="6" t="s">
        <v>41</v>
      </c>
      <c r="H9" s="6" t="s">
        <v>41</v>
      </c>
      <c r="I9" s="6" t="s">
        <v>41</v>
      </c>
      <c r="J9" s="6"/>
      <c r="K9" s="6" t="s">
        <v>40</v>
      </c>
      <c r="L9" s="6" t="s">
        <v>41</v>
      </c>
      <c r="M9" s="6" t="s">
        <v>37</v>
      </c>
      <c r="N9" s="6" t="s">
        <v>38</v>
      </c>
      <c r="O9" s="6" t="s">
        <v>41</v>
      </c>
      <c r="P9" s="6" t="s">
        <v>41</v>
      </c>
      <c r="Q9" s="6" t="s">
        <v>41</v>
      </c>
      <c r="R9" s="6" t="s">
        <v>37</v>
      </c>
      <c r="S9" s="6" t="s">
        <v>37</v>
      </c>
      <c r="T9" s="6" t="s">
        <v>41</v>
      </c>
    </row>
    <row r="10" spans="1:20" ht="15.75" thickBot="1">
      <c r="A10" s="4" t="s">
        <v>52</v>
      </c>
      <c r="B10" s="4" t="s">
        <v>88</v>
      </c>
      <c r="C10" s="5" t="s">
        <v>40</v>
      </c>
      <c r="D10" s="5" t="s">
        <v>40</v>
      </c>
      <c r="E10" s="5" t="s">
        <v>37</v>
      </c>
      <c r="F10" s="6" t="s">
        <v>41</v>
      </c>
      <c r="G10" s="6" t="s">
        <v>38</v>
      </c>
      <c r="H10" s="6"/>
      <c r="I10" s="6" t="s">
        <v>40</v>
      </c>
      <c r="J10" s="6"/>
      <c r="K10" s="6"/>
      <c r="L10" s="6" t="s">
        <v>38</v>
      </c>
      <c r="M10" s="6"/>
      <c r="N10" s="6"/>
      <c r="O10" s="6"/>
      <c r="P10" s="6" t="s">
        <v>38</v>
      </c>
      <c r="Q10" s="6"/>
      <c r="R10" s="6"/>
      <c r="S10" s="6" t="s">
        <v>40</v>
      </c>
      <c r="T10" s="6" t="s">
        <v>41</v>
      </c>
    </row>
    <row r="11" spans="1:20" ht="15.75" thickBot="1">
      <c r="A11" s="4" t="s">
        <v>53</v>
      </c>
      <c r="B11" s="4" t="s">
        <v>89</v>
      </c>
      <c r="C11" s="5" t="s">
        <v>40</v>
      </c>
      <c r="D11" s="5"/>
      <c r="E11" s="5" t="s">
        <v>37</v>
      </c>
      <c r="F11" s="6" t="s">
        <v>40</v>
      </c>
      <c r="G11" s="6" t="s">
        <v>41</v>
      </c>
      <c r="H11" s="6"/>
      <c r="I11" s="6"/>
      <c r="J11" s="6"/>
      <c r="K11" s="6" t="s">
        <v>37</v>
      </c>
      <c r="L11" s="6" t="s">
        <v>37</v>
      </c>
      <c r="M11" s="6"/>
      <c r="N11" s="6"/>
      <c r="O11" s="6" t="s">
        <v>40</v>
      </c>
      <c r="P11" s="6" t="s">
        <v>37</v>
      </c>
      <c r="Q11" s="6" t="s">
        <v>40</v>
      </c>
      <c r="R11" s="6"/>
      <c r="S11" s="6" t="s">
        <v>38</v>
      </c>
      <c r="T11" s="6" t="s">
        <v>41</v>
      </c>
    </row>
    <row r="12" spans="1:20" ht="15.75" thickBot="1">
      <c r="A12" s="4" t="s">
        <v>12</v>
      </c>
      <c r="B12" s="4" t="s">
        <v>91</v>
      </c>
      <c r="C12" s="5" t="s">
        <v>40</v>
      </c>
      <c r="D12" s="5" t="s">
        <v>37</v>
      </c>
      <c r="E12" s="5" t="s">
        <v>37</v>
      </c>
      <c r="F12" s="6"/>
      <c r="G12" s="6" t="s">
        <v>40</v>
      </c>
      <c r="H12" s="6" t="s">
        <v>40</v>
      </c>
      <c r="I12" s="6"/>
      <c r="J12" s="6"/>
      <c r="K12" s="6"/>
      <c r="L12" s="6"/>
      <c r="M12" s="6" t="s">
        <v>37</v>
      </c>
      <c r="N12" s="6"/>
      <c r="O12" s="6"/>
      <c r="P12" s="6" t="s">
        <v>40</v>
      </c>
      <c r="Q12" s="6" t="s">
        <v>40</v>
      </c>
      <c r="R12" s="6" t="s">
        <v>37</v>
      </c>
      <c r="S12" s="6" t="s">
        <v>41</v>
      </c>
      <c r="T12" s="6" t="s">
        <v>41</v>
      </c>
    </row>
    <row r="13" spans="1:20" ht="15.75" thickBot="1">
      <c r="A13" s="4" t="s">
        <v>54</v>
      </c>
      <c r="B13" s="4" t="s">
        <v>92</v>
      </c>
      <c r="C13" s="5" t="s">
        <v>40</v>
      </c>
      <c r="D13" s="5"/>
      <c r="E13" s="5" t="s">
        <v>41</v>
      </c>
      <c r="F13" s="6" t="s">
        <v>40</v>
      </c>
      <c r="G13" s="6" t="s">
        <v>40</v>
      </c>
      <c r="H13" s="6"/>
      <c r="I13" s="6"/>
      <c r="J13" s="6"/>
      <c r="K13" s="6" t="s">
        <v>38</v>
      </c>
      <c r="L13" s="6" t="s">
        <v>41</v>
      </c>
      <c r="M13" s="6"/>
      <c r="N13" s="6" t="s">
        <v>40</v>
      </c>
      <c r="O13" s="6" t="s">
        <v>38</v>
      </c>
      <c r="P13" s="6" t="s">
        <v>39</v>
      </c>
      <c r="Q13" s="6" t="s">
        <v>38</v>
      </c>
      <c r="R13" s="6" t="s">
        <v>38</v>
      </c>
      <c r="S13" s="6" t="s">
        <v>37</v>
      </c>
      <c r="T13" s="6" t="s">
        <v>41</v>
      </c>
    </row>
    <row r="14" spans="1:20" ht="15.75" thickBot="1">
      <c r="A14" s="4" t="s">
        <v>55</v>
      </c>
      <c r="B14" s="4" t="s">
        <v>92</v>
      </c>
      <c r="C14" s="5" t="s">
        <v>40</v>
      </c>
      <c r="D14" s="5"/>
      <c r="E14" s="5" t="s">
        <v>41</v>
      </c>
      <c r="F14" s="6" t="s">
        <v>40</v>
      </c>
      <c r="G14" s="6" t="s">
        <v>40</v>
      </c>
      <c r="H14" s="6"/>
      <c r="I14" s="6" t="s">
        <v>40</v>
      </c>
      <c r="J14" s="6"/>
      <c r="K14" s="6" t="s">
        <v>37</v>
      </c>
      <c r="L14" s="6" t="s">
        <v>41</v>
      </c>
      <c r="M14" s="6"/>
      <c r="N14" s="6" t="s">
        <v>41</v>
      </c>
      <c r="O14" s="6" t="s">
        <v>37</v>
      </c>
      <c r="P14" s="6" t="s">
        <v>37</v>
      </c>
      <c r="Q14" s="6" t="s">
        <v>37</v>
      </c>
      <c r="R14" s="6" t="s">
        <v>37</v>
      </c>
      <c r="S14" s="6" t="s">
        <v>38</v>
      </c>
      <c r="T14" s="6" t="s">
        <v>41</v>
      </c>
    </row>
    <row r="15" spans="1:20" ht="15.75" thickBot="1">
      <c r="A15" s="4" t="s">
        <v>56</v>
      </c>
      <c r="B15" s="4" t="s">
        <v>93</v>
      </c>
      <c r="C15" s="5" t="s">
        <v>40</v>
      </c>
      <c r="D15" s="5"/>
      <c r="E15" s="5" t="s">
        <v>41</v>
      </c>
      <c r="F15" s="6" t="s">
        <v>40</v>
      </c>
      <c r="G15" s="6" t="s">
        <v>40</v>
      </c>
      <c r="H15" s="6"/>
      <c r="I15" s="6"/>
      <c r="J15" s="6"/>
      <c r="K15" s="6" t="s">
        <v>38</v>
      </c>
      <c r="L15" s="6" t="s">
        <v>37</v>
      </c>
      <c r="M15" s="6"/>
      <c r="N15" s="6" t="s">
        <v>41</v>
      </c>
      <c r="O15" s="6" t="s">
        <v>40</v>
      </c>
      <c r="P15" s="6" t="s">
        <v>37</v>
      </c>
      <c r="Q15" s="6" t="s">
        <v>40</v>
      </c>
      <c r="R15" s="6" t="s">
        <v>40</v>
      </c>
      <c r="S15" s="6" t="s">
        <v>38</v>
      </c>
      <c r="T15" s="6" t="s">
        <v>41</v>
      </c>
    </row>
    <row r="16" spans="1:20" ht="15.75" thickBot="1">
      <c r="A16" s="4" t="s">
        <v>57</v>
      </c>
      <c r="B16" s="4" t="s">
        <v>94</v>
      </c>
      <c r="C16" s="5" t="s">
        <v>40</v>
      </c>
      <c r="D16" s="5"/>
      <c r="E16" s="5" t="s">
        <v>41</v>
      </c>
      <c r="F16" s="6" t="s">
        <v>41</v>
      </c>
      <c r="G16" s="6" t="s">
        <v>40</v>
      </c>
      <c r="H16" s="6"/>
      <c r="I16" s="6"/>
      <c r="J16" s="6"/>
      <c r="K16" s="6" t="s">
        <v>40</v>
      </c>
      <c r="L16" s="6" t="s">
        <v>41</v>
      </c>
      <c r="M16" s="6"/>
      <c r="N16" s="6" t="s">
        <v>40</v>
      </c>
      <c r="O16" s="6" t="s">
        <v>40</v>
      </c>
      <c r="P16" s="6" t="s">
        <v>38</v>
      </c>
      <c r="Q16" s="6" t="s">
        <v>40</v>
      </c>
      <c r="R16" s="6"/>
      <c r="S16" s="6" t="s">
        <v>38</v>
      </c>
      <c r="T16" s="6" t="s">
        <v>41</v>
      </c>
    </row>
    <row r="17" spans="1:20" ht="15.75" thickBot="1">
      <c r="A17" s="4" t="s">
        <v>58</v>
      </c>
      <c r="B17" s="4" t="s">
        <v>90</v>
      </c>
      <c r="C17" s="5" t="s">
        <v>38</v>
      </c>
      <c r="D17" s="5" t="s">
        <v>38</v>
      </c>
      <c r="E17" s="5" t="s">
        <v>38</v>
      </c>
      <c r="F17" s="6" t="s">
        <v>38</v>
      </c>
      <c r="G17" s="6" t="s">
        <v>38</v>
      </c>
      <c r="H17" s="6" t="s">
        <v>38</v>
      </c>
      <c r="I17" s="6" t="s">
        <v>38</v>
      </c>
      <c r="J17" s="6" t="s">
        <v>38</v>
      </c>
      <c r="K17" s="6" t="s">
        <v>38</v>
      </c>
      <c r="L17" s="6" t="s">
        <v>38</v>
      </c>
      <c r="M17" s="6" t="s">
        <v>38</v>
      </c>
      <c r="N17" s="6" t="s">
        <v>38</v>
      </c>
      <c r="O17" s="6" t="s">
        <v>38</v>
      </c>
      <c r="P17" s="6" t="s">
        <v>38</v>
      </c>
      <c r="Q17" s="6" t="s">
        <v>38</v>
      </c>
      <c r="R17" s="6" t="s">
        <v>38</v>
      </c>
      <c r="S17" s="6" t="s">
        <v>38</v>
      </c>
      <c r="T17" s="6" t="s">
        <v>39</v>
      </c>
    </row>
    <row r="18" spans="1:20" ht="14.25">
      <c r="A18" s="7"/>
    </row>
    <row r="19" spans="1:20" ht="14.25">
      <c r="A19" s="7"/>
    </row>
    <row r="20" spans="1:20" ht="14.25">
      <c r="A20" s="7"/>
    </row>
    <row r="21" spans="1:20">
      <c r="A21" s="8" t="s">
        <v>59</v>
      </c>
      <c r="B21" s="9" t="s">
        <v>37</v>
      </c>
      <c r="C21" t="s">
        <v>17</v>
      </c>
    </row>
    <row r="22" spans="1:20">
      <c r="B22" s="9" t="s">
        <v>38</v>
      </c>
      <c r="C22" t="s">
        <v>60</v>
      </c>
    </row>
    <row r="23" spans="1:20">
      <c r="B23" s="9" t="s">
        <v>41</v>
      </c>
      <c r="C23" t="s">
        <v>61</v>
      </c>
    </row>
    <row r="24" spans="1:20">
      <c r="B24" s="9" t="s">
        <v>40</v>
      </c>
      <c r="C24" t="s">
        <v>62</v>
      </c>
    </row>
    <row r="25" spans="1:20">
      <c r="B25" s="9" t="s">
        <v>51</v>
      </c>
      <c r="C25" t="s">
        <v>63</v>
      </c>
    </row>
    <row r="31" spans="1:20">
      <c r="A31" s="8" t="s">
        <v>64</v>
      </c>
      <c r="B31" t="s">
        <v>65</v>
      </c>
    </row>
    <row r="32" spans="1:20">
      <c r="B32" t="s">
        <v>66</v>
      </c>
    </row>
    <row r="33" spans="1:2">
      <c r="B33" t="s">
        <v>67</v>
      </c>
    </row>
    <row r="34" spans="1:2">
      <c r="B34" t="s">
        <v>68</v>
      </c>
    </row>
    <row r="36" spans="1:2">
      <c r="A36" t="s">
        <v>69</v>
      </c>
    </row>
    <row r="37" spans="1:2">
      <c r="A37" s="1" t="s">
        <v>70</v>
      </c>
      <c r="B37" t="s">
        <v>71</v>
      </c>
    </row>
    <row r="38" spans="1:2">
      <c r="A38" s="1" t="s">
        <v>72</v>
      </c>
      <c r="B38" t="s">
        <v>73</v>
      </c>
    </row>
    <row r="39" spans="1:2">
      <c r="A39" s="1" t="s">
        <v>74</v>
      </c>
      <c r="B39" t="s">
        <v>75</v>
      </c>
    </row>
    <row r="40" spans="1:2">
      <c r="A40" s="1" t="s">
        <v>76</v>
      </c>
      <c r="B40" t="s">
        <v>77</v>
      </c>
    </row>
    <row r="41" spans="1:2">
      <c r="A41" s="1" t="s">
        <v>78</v>
      </c>
      <c r="B41" t="s">
        <v>79</v>
      </c>
    </row>
    <row r="42" spans="1:2">
      <c r="A42" s="1" t="s">
        <v>80</v>
      </c>
      <c r="B42" t="s">
        <v>81</v>
      </c>
    </row>
    <row r="43" spans="1:2">
      <c r="A43" s="1" t="s">
        <v>82</v>
      </c>
      <c r="B43" t="s">
        <v>83</v>
      </c>
    </row>
  </sheetData>
  <mergeCells count="13">
    <mergeCell ref="I1:I2"/>
    <mergeCell ref="B1:B2"/>
    <mergeCell ref="C1:C2"/>
    <mergeCell ref="D1:D2"/>
    <mergeCell ref="F1:F2"/>
    <mergeCell ref="G1:G2"/>
    <mergeCell ref="T1:T2"/>
    <mergeCell ref="L1:L2"/>
    <mergeCell ref="N1:N2"/>
    <mergeCell ref="O1:O2"/>
    <mergeCell ref="P1:P2"/>
    <mergeCell ref="Q1:Q2"/>
    <mergeCell ref="S1:S2"/>
  </mergeCells>
  <conditionalFormatting sqref="C3:T17">
    <cfRule type="containsText" dxfId="3" priority="1" operator="containsText" text="R">
      <formula>NOT(ISERROR(SEARCH("R",C3)))</formula>
    </cfRule>
    <cfRule type="containsText" dxfId="2" priority="2" operator="containsText" text="A">
      <formula>NOT(ISERROR(SEARCH("A",C3)))</formula>
    </cfRule>
    <cfRule type="containsText" dxfId="1" priority="3" operator="containsText" text="C">
      <formula>NOT(ISERROR(SEARCH("C",C3)))</formula>
    </cfRule>
    <cfRule type="containsText" dxfId="0" priority="4" operator="containsText" text="I">
      <formula>NOT(ISERROR(SEARCH("I",C3)))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3" tint="-0.499984740745262"/>
    <outlinePr summaryBelow="0" summaryRight="0"/>
    <pageSetUpPr fitToPage="1"/>
  </sheetPr>
  <dimension ref="B1:AB470"/>
  <sheetViews>
    <sheetView showGridLines="0" showZeros="0" tabSelected="1" zoomScale="80" zoomScaleNormal="80" zoomScalePageLayoutView="10" workbookViewId="0">
      <pane ySplit="11" topLeftCell="A338" activePane="bottomLeft" state="frozen"/>
      <selection activeCell="T11" sqref="T11"/>
      <selection pane="bottomLeft" activeCell="D341" sqref="D341"/>
    </sheetView>
  </sheetViews>
  <sheetFormatPr defaultColWidth="12.7109375" defaultRowHeight="12.75"/>
  <cols>
    <col min="1" max="1" width="1.140625" style="372" customWidth="1"/>
    <col min="2" max="2" width="8.85546875" style="503" customWidth="1"/>
    <col min="3" max="3" width="48.7109375" style="503" customWidth="1"/>
    <col min="4" max="5" width="17.5703125" style="474" customWidth="1"/>
    <col min="6" max="7" width="12.7109375" style="474"/>
    <col min="8" max="8" width="15.28515625" style="474" customWidth="1"/>
    <col min="9" max="9" width="20.28515625" style="474" customWidth="1"/>
    <col min="10" max="10" width="12.7109375" style="474"/>
    <col min="11" max="11" width="12.7109375" style="474" customWidth="1"/>
    <col min="12" max="15" width="12.7109375" style="474"/>
    <col min="16" max="19" width="12.7109375" style="474" customWidth="1"/>
    <col min="20" max="23" width="12.7109375" style="474"/>
    <col min="24" max="24" width="13.85546875" style="503" bestFit="1" customWidth="1"/>
    <col min="25" max="25" width="15.28515625" style="503" bestFit="1" customWidth="1"/>
    <col min="26" max="16384" width="12.7109375" style="372"/>
  </cols>
  <sheetData>
    <row r="1" spans="2:28" ht="4.5" customHeight="1" thickBot="1">
      <c r="B1" s="372"/>
      <c r="C1" s="372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73"/>
      <c r="V1" s="373"/>
      <c r="W1" s="373"/>
      <c r="X1" s="372"/>
      <c r="Y1" s="372"/>
    </row>
    <row r="2" spans="2:28" s="376" customFormat="1" ht="15" customHeight="1" thickTop="1">
      <c r="B2" s="966" t="s">
        <v>95</v>
      </c>
      <c r="C2" s="967"/>
      <c r="D2" s="967"/>
      <c r="E2" s="967"/>
      <c r="F2" s="967"/>
      <c r="G2" s="967"/>
      <c r="H2" s="967"/>
      <c r="I2" s="967"/>
      <c r="J2" s="967"/>
      <c r="K2" s="967"/>
      <c r="L2" s="967"/>
      <c r="M2" s="967"/>
      <c r="N2" s="967"/>
      <c r="O2" s="968"/>
      <c r="P2" s="949" t="s">
        <v>467</v>
      </c>
      <c r="Q2" s="199" t="s">
        <v>802</v>
      </c>
      <c r="R2" s="197" t="s">
        <v>804</v>
      </c>
      <c r="S2" s="197" t="s">
        <v>803</v>
      </c>
      <c r="T2" s="374"/>
      <c r="U2" s="374"/>
      <c r="V2" s="374"/>
      <c r="W2" s="374"/>
      <c r="X2" s="375"/>
      <c r="Y2" s="375"/>
      <c r="Z2" s="375"/>
      <c r="AA2" s="375"/>
      <c r="AB2" s="375"/>
    </row>
    <row r="3" spans="2:28" s="376" customFormat="1" ht="15" customHeight="1">
      <c r="B3" s="969" t="s">
        <v>96</v>
      </c>
      <c r="C3" s="970"/>
      <c r="D3" s="973" t="str">
        <f>'1.PM'!C3</f>
        <v>Levetiracetam Tablets</v>
      </c>
      <c r="E3" s="973"/>
      <c r="F3" s="973"/>
      <c r="G3" s="973"/>
      <c r="H3" s="973"/>
      <c r="I3" s="973"/>
      <c r="J3" s="973"/>
      <c r="K3" s="973"/>
      <c r="L3" s="973"/>
      <c r="M3" s="973"/>
      <c r="N3" s="973"/>
      <c r="O3" s="974"/>
      <c r="P3" s="950"/>
      <c r="Q3" s="200" t="str">
        <f>IF(ISBLANK('1.PM'!R13),"NEW","TRANSFERED")</f>
        <v>NEW</v>
      </c>
      <c r="R3" s="198" t="str">
        <f>IF(ISBLANK('1.PM'!R13),"",('1.PM'!R13))</f>
        <v/>
      </c>
      <c r="S3" s="198" t="str">
        <f>IF(ISBLANK('1.PM'!R13),"",('1.PM'!R14))</f>
        <v/>
      </c>
      <c r="T3" s="374"/>
      <c r="U3" s="374"/>
      <c r="V3" s="374"/>
      <c r="W3" s="374"/>
      <c r="X3" s="375"/>
      <c r="Y3" s="375"/>
      <c r="Z3" s="375"/>
      <c r="AA3" s="375"/>
      <c r="AB3" s="375"/>
    </row>
    <row r="4" spans="2:28" s="378" customFormat="1" ht="15" customHeight="1">
      <c r="B4" s="969" t="s">
        <v>924</v>
      </c>
      <c r="C4" s="970"/>
      <c r="D4" s="72" t="str">
        <f>IF(ISBLANK('1.PM'!C$4),"",'1.PM'!C$4 &amp;" " &amp; '1.PM'!$O$4)</f>
        <v>250 mg</v>
      </c>
      <c r="E4" s="72" t="str">
        <f>IF(ISBLANK('1.PM'!D$4),"",'1.PM'!D$4 &amp;" " &amp; '1.PM'!$O$4)</f>
        <v>500 mg</v>
      </c>
      <c r="F4" s="72" t="str">
        <f>IF(ISBLANK('1.PM'!E$4),"",'1.PM'!E$4 &amp;" " &amp; '1.PM'!$O$4)</f>
        <v>750 mg</v>
      </c>
      <c r="G4" s="72" t="str">
        <f>IF(ISBLANK('1.PM'!F$4),"",'1.PM'!F$4 &amp;" " &amp; '1.PM'!$O$4)</f>
        <v>1000 mg</v>
      </c>
      <c r="H4" s="72" t="str">
        <f>IF(ISBLANK('1.PM'!G$4),"",'1.PM'!G$4 &amp;" " &amp; '1.PM'!$O$4)</f>
        <v/>
      </c>
      <c r="I4" s="72" t="str">
        <f>IF(ISBLANK('1.PM'!H$4),"",'1.PM'!H$4 &amp;" " &amp; '1.PM'!$O$4)</f>
        <v/>
      </c>
      <c r="J4" s="72" t="str">
        <f>IF(ISBLANK('1.PM'!I$4),"",'1.PM'!I$4 &amp;" " &amp; '1.PM'!$O$4)</f>
        <v/>
      </c>
      <c r="K4" s="72" t="str">
        <f>IF(ISBLANK('1.PM'!J$4),"",'1.PM'!J$4 &amp;" " &amp; '1.PM'!$O$4)</f>
        <v/>
      </c>
      <c r="L4" s="72" t="str">
        <f>IF(ISBLANK('1.PM'!K$4),"",'1.PM'!K$4 &amp;" " &amp; '1.PM'!$O$4)</f>
        <v/>
      </c>
      <c r="M4" s="72" t="str">
        <f>IF(ISBLANK('1.PM'!L$4),"",'1.PM'!L$4 &amp;" " &amp; '1.PM'!$O$4)</f>
        <v/>
      </c>
      <c r="N4" s="72" t="str">
        <f>IF(ISBLANK('1.PM'!M$4),"",'1.PM'!M$4 &amp;" " &amp; '1.PM'!$O$4)</f>
        <v/>
      </c>
      <c r="O4" s="104" t="str">
        <f>IF(ISBLANK('1.PM'!N$4),"",'1.PM'!N$4 &amp;" " &amp; '1.PM'!$O$4)</f>
        <v/>
      </c>
      <c r="P4" s="950"/>
      <c r="Q4" s="952" t="s">
        <v>805</v>
      </c>
      <c r="R4" s="952"/>
      <c r="S4" s="952"/>
      <c r="T4" s="377"/>
      <c r="U4" s="377"/>
      <c r="V4" s="377"/>
      <c r="W4" s="377"/>
    </row>
    <row r="5" spans="2:28" s="378" customFormat="1" ht="15" customHeight="1" thickBot="1">
      <c r="B5" s="348" t="s">
        <v>402</v>
      </c>
      <c r="C5" s="349"/>
      <c r="D5" s="113" t="str">
        <f>IF(ISBLANK('1.PM'!C$6),"",'1.PM'!C$6)</f>
        <v/>
      </c>
      <c r="E5" s="113" t="str">
        <f>IF(ISBLANK('1.PM'!D$6),"",'1.PM'!D$6)</f>
        <v/>
      </c>
      <c r="F5" s="113" t="str">
        <f>IF(ISBLANK('1.PM'!E$6),"",'1.PM'!E$6)</f>
        <v/>
      </c>
      <c r="G5" s="113" t="str">
        <f>IF(ISBLANK('1.PM'!F$6),"",'1.PM'!F$6)</f>
        <v/>
      </c>
      <c r="H5" s="113" t="str">
        <f>IF(ISBLANK('1.PM'!G$6),"",'1.PM'!G$6)</f>
        <v/>
      </c>
      <c r="I5" s="113" t="str">
        <f>IF(ISBLANK('1.PM'!H$6),"",'1.PM'!H$6)</f>
        <v/>
      </c>
      <c r="J5" s="113" t="str">
        <f>IF(ISBLANK('1.PM'!I$6),"",'1.PM'!I$6)</f>
        <v/>
      </c>
      <c r="K5" s="113" t="str">
        <f>IF(ISBLANK('1.PM'!J$6),"",'1.PM'!J$6)</f>
        <v/>
      </c>
      <c r="L5" s="113" t="str">
        <f>IF(ISBLANK('1.PM'!K$6),"",'1.PM'!K$6)</f>
        <v/>
      </c>
      <c r="M5" s="113" t="str">
        <f>IF(ISBLANK('1.PM'!L$6),"",'1.PM'!L$6)</f>
        <v/>
      </c>
      <c r="N5" s="113" t="str">
        <f>IF(ISBLANK('1.PM'!M$6),"",'1.PM'!M$6)</f>
        <v/>
      </c>
      <c r="O5" s="114" t="str">
        <f>IF(ISBLANK('1.PM'!N$6),"",'1.PM'!N$6)</f>
        <v/>
      </c>
      <c r="P5" s="951"/>
      <c r="Q5" s="964">
        <f>'1.PM'!Q15</f>
        <v>0</v>
      </c>
      <c r="R5" s="964"/>
      <c r="S5" s="964"/>
      <c r="T5" s="377"/>
      <c r="U5" s="377"/>
      <c r="V5" s="377"/>
      <c r="W5" s="377"/>
    </row>
    <row r="6" spans="2:28" s="378" customFormat="1" ht="15" customHeight="1" thickTop="1">
      <c r="B6" s="348" t="s">
        <v>401</v>
      </c>
      <c r="C6" s="349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2"/>
      <c r="P6" s="984">
        <f>SUM(D7:O7)</f>
        <v>194.86095344999998</v>
      </c>
      <c r="Q6" s="961" t="s">
        <v>806</v>
      </c>
      <c r="R6" s="953">
        <f>P6+S5+'3.IPD'!I6</f>
        <v>194.86095344999998</v>
      </c>
      <c r="S6" s="954"/>
      <c r="T6" s="377"/>
      <c r="U6" s="377"/>
      <c r="V6" s="377"/>
      <c r="W6" s="377"/>
    </row>
    <row r="7" spans="2:28" ht="13.5" customHeight="1" thickBot="1">
      <c r="B7" s="975" t="s">
        <v>919</v>
      </c>
      <c r="C7" s="976"/>
      <c r="D7" s="574">
        <f>D391/100000</f>
        <v>44.604799179999993</v>
      </c>
      <c r="E7" s="574">
        <f t="shared" ref="E7:O7" si="0">E391/100000</f>
        <v>39.311609249999997</v>
      </c>
      <c r="F7" s="574">
        <f t="shared" si="0"/>
        <v>42.878814460000008</v>
      </c>
      <c r="G7" s="574">
        <f t="shared" si="0"/>
        <v>68.065730559999992</v>
      </c>
      <c r="H7" s="574">
        <f t="shared" si="0"/>
        <v>0</v>
      </c>
      <c r="I7" s="574">
        <f t="shared" si="0"/>
        <v>0</v>
      </c>
      <c r="J7" s="574">
        <f t="shared" si="0"/>
        <v>0</v>
      </c>
      <c r="K7" s="574">
        <f t="shared" si="0"/>
        <v>0</v>
      </c>
      <c r="L7" s="574">
        <f t="shared" si="0"/>
        <v>0</v>
      </c>
      <c r="M7" s="574">
        <f t="shared" si="0"/>
        <v>0</v>
      </c>
      <c r="N7" s="574">
        <f t="shared" si="0"/>
        <v>0</v>
      </c>
      <c r="O7" s="575">
        <f t="shared" si="0"/>
        <v>0</v>
      </c>
      <c r="P7" s="985"/>
      <c r="Q7" s="962"/>
      <c r="R7" s="955"/>
      <c r="S7" s="956"/>
      <c r="T7" s="373"/>
      <c r="U7" s="373"/>
      <c r="V7" s="373"/>
      <c r="W7" s="373"/>
      <c r="X7" s="372"/>
      <c r="Y7" s="372"/>
    </row>
    <row r="8" spans="2:28" s="376" customFormat="1" ht="20.25" customHeight="1" thickTop="1" thickBot="1">
      <c r="B8" s="969" t="s">
        <v>130</v>
      </c>
      <c r="C8" s="970"/>
      <c r="D8" s="573">
        <v>3</v>
      </c>
      <c r="E8" s="977" t="s">
        <v>976</v>
      </c>
      <c r="F8" s="977"/>
      <c r="G8" s="977"/>
      <c r="H8" s="980" t="s">
        <v>1005</v>
      </c>
      <c r="I8" s="978" t="s">
        <v>199</v>
      </c>
      <c r="J8" s="982">
        <f>'1.PM'!O14</f>
        <v>44404</v>
      </c>
      <c r="K8" s="1011" t="s">
        <v>197</v>
      </c>
      <c r="L8" s="1012"/>
      <c r="M8" s="986" t="s">
        <v>1071</v>
      </c>
      <c r="N8" s="987"/>
      <c r="O8" s="988"/>
      <c r="P8" s="965" t="str">
        <f>'1.PM'!O13</f>
        <v>EP20-AHD</v>
      </c>
      <c r="Q8" s="962"/>
      <c r="R8" s="957" t="s">
        <v>807</v>
      </c>
      <c r="S8" s="958"/>
      <c r="T8" s="374"/>
      <c r="U8" s="374"/>
      <c r="V8" s="374"/>
      <c r="W8" s="374"/>
      <c r="X8" s="375"/>
      <c r="Y8" s="375"/>
      <c r="Z8" s="375"/>
      <c r="AA8" s="375"/>
      <c r="AB8" s="375"/>
    </row>
    <row r="9" spans="2:28" s="376" customFormat="1" ht="21.75" customHeight="1" thickTop="1" thickBot="1">
      <c r="B9" s="971" t="s">
        <v>108</v>
      </c>
      <c r="C9" s="972"/>
      <c r="D9" s="283" t="s">
        <v>908</v>
      </c>
      <c r="E9" s="73" t="s">
        <v>403</v>
      </c>
      <c r="F9" s="73" t="s">
        <v>404</v>
      </c>
      <c r="G9" s="74" t="s">
        <v>409</v>
      </c>
      <c r="H9" s="981"/>
      <c r="I9" s="979"/>
      <c r="J9" s="983"/>
      <c r="K9" s="1011" t="s">
        <v>198</v>
      </c>
      <c r="L9" s="1012"/>
      <c r="M9" s="986" t="s">
        <v>966</v>
      </c>
      <c r="N9" s="987"/>
      <c r="O9" s="988"/>
      <c r="P9" s="965"/>
      <c r="Q9" s="963"/>
      <c r="R9" s="959"/>
      <c r="S9" s="960"/>
      <c r="T9" s="374"/>
      <c r="U9" s="374"/>
      <c r="V9" s="374"/>
      <c r="W9" s="374"/>
      <c r="X9" s="375"/>
      <c r="Y9" s="375"/>
      <c r="Z9" s="375"/>
      <c r="AA9" s="375"/>
      <c r="AB9" s="375"/>
    </row>
    <row r="10" spans="2:28" s="376" customFormat="1" ht="15.75" hidden="1" customHeight="1">
      <c r="B10" s="22"/>
      <c r="C10" s="22"/>
      <c r="D10" s="33"/>
      <c r="E10" s="34" t="b">
        <v>1</v>
      </c>
      <c r="F10" s="34" t="b">
        <v>0</v>
      </c>
      <c r="G10" s="35" t="b">
        <v>0</v>
      </c>
      <c r="H10" s="35" t="b">
        <v>0</v>
      </c>
      <c r="I10" s="37"/>
      <c r="J10" s="36"/>
      <c r="K10" s="37"/>
      <c r="L10" s="37"/>
      <c r="M10" s="33"/>
      <c r="N10" s="33"/>
      <c r="O10" s="33"/>
      <c r="P10" s="31"/>
      <c r="Q10" s="379"/>
      <c r="R10" s="379"/>
      <c r="S10" s="374"/>
      <c r="T10" s="374"/>
      <c r="U10" s="374"/>
      <c r="V10" s="374"/>
      <c r="W10" s="374"/>
      <c r="X10" s="375"/>
      <c r="Y10" s="375"/>
      <c r="Z10" s="375"/>
      <c r="AA10" s="375"/>
      <c r="AB10" s="375"/>
    </row>
    <row r="11" spans="2:28" s="384" customFormat="1" ht="7.5" customHeight="1">
      <c r="B11" s="24"/>
      <c r="C11" s="24"/>
      <c r="D11" s="38"/>
      <c r="E11" s="39"/>
      <c r="F11" s="39"/>
      <c r="G11" s="40"/>
      <c r="H11" s="39"/>
      <c r="I11" s="39"/>
      <c r="J11" s="380"/>
      <c r="K11" s="39"/>
      <c r="L11" s="39"/>
      <c r="M11" s="43"/>
      <c r="N11" s="43"/>
      <c r="O11" s="43"/>
      <c r="P11" s="31"/>
      <c r="Q11" s="381"/>
      <c r="R11" s="381"/>
      <c r="S11" s="382"/>
      <c r="T11" s="382"/>
      <c r="U11" s="382"/>
      <c r="V11" s="382"/>
      <c r="W11" s="382"/>
      <c r="X11" s="383"/>
      <c r="Y11" s="383"/>
      <c r="Z11" s="383"/>
      <c r="AA11" s="383"/>
      <c r="AB11" s="383"/>
    </row>
    <row r="12" spans="2:28" s="384" customFormat="1" ht="7.5" customHeight="1" thickBot="1">
      <c r="B12" s="24"/>
      <c r="C12" s="24"/>
      <c r="D12" s="38"/>
      <c r="E12" s="39"/>
      <c r="F12" s="39"/>
      <c r="G12" s="40"/>
      <c r="H12" s="39"/>
      <c r="I12" s="39"/>
      <c r="J12" s="380"/>
      <c r="K12" s="39"/>
      <c r="L12" s="39"/>
      <c r="M12" s="43"/>
      <c r="N12" s="43"/>
      <c r="O12" s="43"/>
      <c r="P12" s="31"/>
      <c r="Q12" s="381"/>
      <c r="R12" s="381"/>
      <c r="S12" s="382"/>
      <c r="T12" s="382"/>
      <c r="U12" s="382"/>
      <c r="V12" s="382"/>
      <c r="W12" s="382"/>
      <c r="X12" s="383"/>
      <c r="Y12" s="383"/>
      <c r="Z12" s="383"/>
      <c r="AA12" s="383"/>
      <c r="AB12" s="383"/>
    </row>
    <row r="13" spans="2:28" ht="15">
      <c r="B13" s="346" t="s">
        <v>833</v>
      </c>
      <c r="C13" s="347"/>
      <c r="D13" s="347" t="s">
        <v>834</v>
      </c>
      <c r="E13" s="222" t="s">
        <v>835</v>
      </c>
      <c r="F13" s="968"/>
      <c r="G13" s="1001"/>
      <c r="H13" s="1001"/>
      <c r="I13" s="1001"/>
      <c r="J13" s="1001"/>
      <c r="K13" s="1001"/>
      <c r="L13" s="1001"/>
      <c r="M13" s="1001"/>
      <c r="N13" s="1001"/>
      <c r="O13" s="1002"/>
      <c r="P13" s="385">
        <f>INDEX(List!M2:M4,MATCH(E13,List!L2:L4,0))</f>
        <v>2</v>
      </c>
      <c r="Q13" s="373"/>
      <c r="R13" s="373"/>
      <c r="S13" s="373"/>
      <c r="T13" s="373"/>
      <c r="U13" s="373"/>
      <c r="V13" s="373"/>
      <c r="W13" s="373"/>
      <c r="X13" s="372"/>
      <c r="Y13" s="372"/>
    </row>
    <row r="14" spans="2:28" s="376" customFormat="1" ht="15">
      <c r="B14" s="348" t="str">
        <f>'1.PM'!B18</f>
        <v xml:space="preserve">Strength (API 1) </v>
      </c>
      <c r="C14" s="349"/>
      <c r="D14" s="75">
        <v>250</v>
      </c>
      <c r="E14" s="75">
        <v>500</v>
      </c>
      <c r="F14" s="75">
        <f>'1.PM'!E18</f>
        <v>750</v>
      </c>
      <c r="G14" s="75">
        <f>'1.PM'!F18</f>
        <v>1000</v>
      </c>
      <c r="H14" s="75">
        <f>'1.PM'!G18</f>
        <v>0</v>
      </c>
      <c r="I14" s="75">
        <f>'1.PM'!H18</f>
        <v>0</v>
      </c>
      <c r="J14" s="75">
        <f>'1.PM'!I18</f>
        <v>0</v>
      </c>
      <c r="K14" s="75">
        <f>'1.PM'!J18</f>
        <v>0</v>
      </c>
      <c r="L14" s="75">
        <f>'1.PM'!K18</f>
        <v>0</v>
      </c>
      <c r="M14" s="75">
        <f>'1.PM'!L18</f>
        <v>0</v>
      </c>
      <c r="N14" s="75">
        <f>'1.PM'!M18</f>
        <v>0</v>
      </c>
      <c r="O14" s="76">
        <f>'1.PM'!N18</f>
        <v>0</v>
      </c>
      <c r="Q14" s="386"/>
      <c r="R14" s="379"/>
      <c r="S14" s="379"/>
      <c r="T14" s="374"/>
      <c r="U14" s="374"/>
      <c r="V14" s="374"/>
      <c r="W14" s="374"/>
      <c r="X14" s="375"/>
      <c r="Y14" s="375"/>
      <c r="Z14" s="375"/>
      <c r="AA14" s="375"/>
      <c r="AB14" s="375"/>
    </row>
    <row r="15" spans="2:28" ht="15" customHeight="1">
      <c r="B15" s="348" t="str">
        <f>'1.PM'!B19</f>
        <v xml:space="preserve">Strength (API 2) </v>
      </c>
      <c r="C15" s="349"/>
      <c r="D15" s="75">
        <f>'1.PM'!C19</f>
        <v>0</v>
      </c>
      <c r="E15" s="75">
        <f>'1.PM'!D19</f>
        <v>0</v>
      </c>
      <c r="F15" s="75">
        <f>'1.PM'!E19</f>
        <v>0</v>
      </c>
      <c r="G15" s="75">
        <f>'1.PM'!F19</f>
        <v>0</v>
      </c>
      <c r="H15" s="75">
        <f>'1.PM'!G19</f>
        <v>0</v>
      </c>
      <c r="I15" s="75">
        <f>'1.PM'!H19</f>
        <v>0</v>
      </c>
      <c r="J15" s="75">
        <f>'1.PM'!I19</f>
        <v>0</v>
      </c>
      <c r="K15" s="75">
        <f>'1.PM'!J19</f>
        <v>0</v>
      </c>
      <c r="L15" s="75">
        <f>'1.PM'!K19</f>
        <v>0</v>
      </c>
      <c r="M15" s="75">
        <f>'1.PM'!L19</f>
        <v>0</v>
      </c>
      <c r="N15" s="75">
        <f>'1.PM'!M19</f>
        <v>0</v>
      </c>
      <c r="O15" s="76">
        <f>'1.PM'!N19</f>
        <v>0</v>
      </c>
      <c r="P15" s="373"/>
      <c r="Q15" s="373"/>
      <c r="R15" s="373"/>
      <c r="S15" s="373"/>
      <c r="T15" s="373"/>
      <c r="U15" s="373"/>
      <c r="V15" s="373"/>
      <c r="W15" s="373"/>
      <c r="X15" s="372"/>
      <c r="Y15" s="372"/>
    </row>
    <row r="16" spans="2:28" ht="15" customHeight="1">
      <c r="B16" s="348" t="str">
        <f>'1.PM'!B20</f>
        <v xml:space="preserve">Strength (API 3) </v>
      </c>
      <c r="C16" s="349"/>
      <c r="D16" s="75">
        <f>'1.PM'!C20</f>
        <v>0</v>
      </c>
      <c r="E16" s="75">
        <f>'1.PM'!D20</f>
        <v>0</v>
      </c>
      <c r="F16" s="75">
        <f>'1.PM'!E20</f>
        <v>0</v>
      </c>
      <c r="G16" s="75">
        <f>'1.PM'!F20</f>
        <v>0</v>
      </c>
      <c r="H16" s="75">
        <f>'1.PM'!G20</f>
        <v>0</v>
      </c>
      <c r="I16" s="75">
        <f>'1.PM'!H20</f>
        <v>0</v>
      </c>
      <c r="J16" s="75">
        <f>'1.PM'!I20</f>
        <v>0</v>
      </c>
      <c r="K16" s="75">
        <f>'1.PM'!J20</f>
        <v>0</v>
      </c>
      <c r="L16" s="75">
        <f>'1.PM'!K20</f>
        <v>0</v>
      </c>
      <c r="M16" s="75">
        <f>'1.PM'!L20</f>
        <v>0</v>
      </c>
      <c r="N16" s="75">
        <f>'1.PM'!M20</f>
        <v>0</v>
      </c>
      <c r="O16" s="76">
        <f>'1.PM'!N20</f>
        <v>0</v>
      </c>
      <c r="P16" s="373"/>
      <c r="Q16" s="373"/>
      <c r="R16" s="373"/>
      <c r="S16" s="373"/>
      <c r="T16" s="373"/>
      <c r="U16" s="373"/>
      <c r="V16" s="373"/>
      <c r="W16" s="373"/>
      <c r="X16" s="372"/>
      <c r="Y16" s="372"/>
    </row>
    <row r="17" spans="2:25" ht="15" customHeight="1">
      <c r="B17" s="348" t="str">
        <f>'1.PM'!B21</f>
        <v xml:space="preserve">Strength (API 4) </v>
      </c>
      <c r="C17" s="349"/>
      <c r="D17" s="75">
        <f>'1.PM'!C21</f>
        <v>0</v>
      </c>
      <c r="E17" s="75">
        <f>'1.PM'!D21</f>
        <v>0</v>
      </c>
      <c r="F17" s="75">
        <f>'1.PM'!E21</f>
        <v>0</v>
      </c>
      <c r="G17" s="75">
        <f>'1.PM'!F21</f>
        <v>0</v>
      </c>
      <c r="H17" s="75">
        <f>'1.PM'!G21</f>
        <v>0</v>
      </c>
      <c r="I17" s="75">
        <f>'1.PM'!H21</f>
        <v>0</v>
      </c>
      <c r="J17" s="75">
        <f>'1.PM'!I21</f>
        <v>0</v>
      </c>
      <c r="K17" s="75">
        <f>'1.PM'!J21</f>
        <v>0</v>
      </c>
      <c r="L17" s="75">
        <f>'1.PM'!K21</f>
        <v>0</v>
      </c>
      <c r="M17" s="75">
        <f>'1.PM'!L21</f>
        <v>0</v>
      </c>
      <c r="N17" s="75">
        <f>'1.PM'!M21</f>
        <v>0</v>
      </c>
      <c r="O17" s="76">
        <f>'1.PM'!N21</f>
        <v>0</v>
      </c>
      <c r="P17" s="373"/>
      <c r="Q17" s="373"/>
      <c r="R17" s="373"/>
      <c r="S17" s="373"/>
      <c r="T17" s="373"/>
      <c r="U17" s="373"/>
      <c r="V17" s="373"/>
      <c r="W17" s="373"/>
      <c r="X17" s="372"/>
      <c r="Y17" s="372"/>
    </row>
    <row r="18" spans="2:25" ht="15" customHeight="1">
      <c r="B18" s="348" t="s">
        <v>200</v>
      </c>
      <c r="C18" s="349"/>
      <c r="D18" s="576">
        <v>50000</v>
      </c>
      <c r="E18" s="576">
        <v>50000</v>
      </c>
      <c r="F18" s="576">
        <v>50000</v>
      </c>
      <c r="G18" s="576">
        <v>50000</v>
      </c>
      <c r="H18" s="576"/>
      <c r="I18" s="576"/>
      <c r="J18" s="576"/>
      <c r="K18" s="576"/>
      <c r="L18" s="576"/>
      <c r="M18" s="576"/>
      <c r="N18" s="576"/>
      <c r="O18" s="578"/>
      <c r="P18" s="373"/>
      <c r="Q18" s="373"/>
      <c r="R18" s="373"/>
      <c r="S18" s="373"/>
      <c r="T18" s="373"/>
      <c r="U18" s="373"/>
      <c r="V18" s="373"/>
      <c r="W18" s="373"/>
      <c r="X18" s="372"/>
      <c r="Y18" s="372"/>
    </row>
    <row r="19" spans="2:25" ht="15">
      <c r="B19" s="348" t="s">
        <v>201</v>
      </c>
      <c r="C19" s="349"/>
      <c r="D19" s="576">
        <v>100000</v>
      </c>
      <c r="E19" s="576">
        <v>100000</v>
      </c>
      <c r="F19" s="576">
        <v>100000</v>
      </c>
      <c r="G19" s="576">
        <v>100000</v>
      </c>
      <c r="H19" s="576"/>
      <c r="I19" s="576"/>
      <c r="J19" s="576"/>
      <c r="K19" s="576"/>
      <c r="L19" s="576"/>
      <c r="M19" s="576"/>
      <c r="N19" s="576"/>
      <c r="O19" s="578"/>
      <c r="P19" s="373"/>
      <c r="Q19" s="373"/>
      <c r="R19" s="373"/>
      <c r="S19" s="373"/>
      <c r="T19" s="373"/>
      <c r="U19" s="373"/>
      <c r="V19" s="373"/>
      <c r="W19" s="373"/>
      <c r="X19" s="372"/>
      <c r="Y19" s="372"/>
    </row>
    <row r="20" spans="2:25" ht="15">
      <c r="B20" s="348" t="s">
        <v>202</v>
      </c>
      <c r="C20" s="349"/>
      <c r="D20" s="576">
        <v>100000</v>
      </c>
      <c r="E20" s="576">
        <v>100000</v>
      </c>
      <c r="F20" s="576">
        <v>100000</v>
      </c>
      <c r="G20" s="576">
        <v>100000</v>
      </c>
      <c r="H20" s="576"/>
      <c r="I20" s="576"/>
      <c r="J20" s="576"/>
      <c r="K20" s="576"/>
      <c r="L20" s="576"/>
      <c r="M20" s="576"/>
      <c r="N20" s="576"/>
      <c r="O20" s="578"/>
      <c r="P20" s="196"/>
      <c r="Q20" s="373"/>
      <c r="R20" s="373"/>
      <c r="S20" s="373"/>
      <c r="T20" s="373"/>
      <c r="U20" s="373"/>
      <c r="V20" s="373"/>
      <c r="W20" s="373"/>
      <c r="X20" s="372"/>
      <c r="Y20" s="372"/>
    </row>
    <row r="21" spans="2:25" ht="15">
      <c r="B21" s="348" t="s">
        <v>203</v>
      </c>
      <c r="C21" s="349"/>
      <c r="D21" s="576">
        <v>100000</v>
      </c>
      <c r="E21" s="576">
        <v>100000</v>
      </c>
      <c r="F21" s="576">
        <v>100000</v>
      </c>
      <c r="G21" s="576">
        <v>100000</v>
      </c>
      <c r="H21" s="576"/>
      <c r="I21" s="576"/>
      <c r="J21" s="576"/>
      <c r="K21" s="576"/>
      <c r="L21" s="576"/>
      <c r="M21" s="576"/>
      <c r="N21" s="576"/>
      <c r="O21" s="578"/>
      <c r="P21" s="373"/>
      <c r="Q21" s="373"/>
      <c r="R21" s="373"/>
      <c r="S21" s="373"/>
      <c r="T21" s="373"/>
      <c r="U21" s="373"/>
      <c r="V21" s="373"/>
      <c r="W21" s="373"/>
      <c r="X21" s="372"/>
      <c r="Y21" s="372"/>
    </row>
    <row r="22" spans="2:25" ht="15.75" thickBot="1">
      <c r="B22" s="350" t="s">
        <v>204</v>
      </c>
      <c r="C22" s="351"/>
      <c r="D22" s="576">
        <v>110000</v>
      </c>
      <c r="E22" s="576">
        <v>110000</v>
      </c>
      <c r="F22" s="576">
        <v>110000</v>
      </c>
      <c r="G22" s="577">
        <v>110000</v>
      </c>
      <c r="H22" s="577"/>
      <c r="I22" s="577"/>
      <c r="J22" s="577"/>
      <c r="K22" s="577"/>
      <c r="L22" s="577"/>
      <c r="M22" s="577"/>
      <c r="N22" s="577"/>
      <c r="O22" s="579"/>
      <c r="P22" s="373"/>
      <c r="Q22" s="373"/>
      <c r="R22" s="373"/>
      <c r="S22" s="373"/>
      <c r="T22" s="373"/>
      <c r="U22" s="373"/>
      <c r="V22" s="373"/>
      <c r="W22" s="373"/>
      <c r="X22" s="372"/>
      <c r="Y22" s="372"/>
    </row>
    <row r="23" spans="2:25" ht="15" hidden="1">
      <c r="B23" s="211"/>
      <c r="C23" s="211"/>
      <c r="D23" s="387">
        <f>SUM(D20:D22)</f>
        <v>310000</v>
      </c>
      <c r="E23" s="387">
        <f t="shared" ref="E23:O23" si="1">SUM(E20:E22)</f>
        <v>310000</v>
      </c>
      <c r="F23" s="387">
        <f t="shared" si="1"/>
        <v>310000</v>
      </c>
      <c r="G23" s="387">
        <f t="shared" si="1"/>
        <v>310000</v>
      </c>
      <c r="H23" s="387">
        <f t="shared" si="1"/>
        <v>0</v>
      </c>
      <c r="I23" s="387">
        <f t="shared" si="1"/>
        <v>0</v>
      </c>
      <c r="J23" s="387">
        <f t="shared" si="1"/>
        <v>0</v>
      </c>
      <c r="K23" s="387">
        <f t="shared" si="1"/>
        <v>0</v>
      </c>
      <c r="L23" s="387">
        <f t="shared" si="1"/>
        <v>0</v>
      </c>
      <c r="M23" s="387">
        <f t="shared" si="1"/>
        <v>0</v>
      </c>
      <c r="N23" s="387">
        <f t="shared" si="1"/>
        <v>0</v>
      </c>
      <c r="O23" s="387">
        <f t="shared" si="1"/>
        <v>0</v>
      </c>
      <c r="P23" s="373"/>
      <c r="Q23" s="373"/>
      <c r="R23" s="373"/>
      <c r="S23" s="373"/>
      <c r="T23" s="373"/>
      <c r="U23" s="373"/>
      <c r="V23" s="373"/>
      <c r="W23" s="373"/>
      <c r="X23" s="372"/>
      <c r="Y23" s="372"/>
    </row>
    <row r="24" spans="2:25" ht="15.75" thickBot="1">
      <c r="B24" s="28"/>
      <c r="C24" s="24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8"/>
      <c r="O24" s="388"/>
      <c r="P24" s="31"/>
      <c r="Q24" s="373"/>
      <c r="R24" s="373"/>
      <c r="S24" s="373"/>
      <c r="T24" s="373"/>
      <c r="U24" s="373"/>
      <c r="V24" s="373"/>
      <c r="W24" s="373"/>
      <c r="X24" s="372"/>
      <c r="Y24" s="372"/>
    </row>
    <row r="25" spans="2:25" ht="16.5" thickTop="1" thickBot="1">
      <c r="B25" s="1008" t="s">
        <v>465</v>
      </c>
      <c r="C25" s="1009"/>
      <c r="D25" s="1084" t="str">
        <f>'1.PM'!L10:L10</f>
        <v>Levetiracetam Tablets</v>
      </c>
      <c r="E25" s="1085"/>
      <c r="F25" s="1085"/>
      <c r="G25" s="1085"/>
      <c r="H25" s="1085"/>
      <c r="I25" s="1085"/>
      <c r="J25" s="1085"/>
      <c r="K25" s="1085"/>
      <c r="L25" s="1085"/>
      <c r="M25" s="1082" t="str">
        <f>IF($E$13="Liters","Market Price (₹/gm)","Market Price (₹/kg)")</f>
        <v>Market Price (₹/kg)</v>
      </c>
      <c r="N25" s="1083"/>
      <c r="O25" s="567">
        <v>3600</v>
      </c>
      <c r="P25" s="53" t="s">
        <v>205</v>
      </c>
      <c r="Q25" s="373"/>
      <c r="R25" s="373"/>
      <c r="S25" s="373"/>
      <c r="T25" s="373"/>
      <c r="U25" s="373"/>
      <c r="V25" s="373"/>
      <c r="W25" s="373"/>
      <c r="X25" s="372"/>
      <c r="Y25" s="372"/>
    </row>
    <row r="26" spans="2:25" ht="15.75" thickTop="1">
      <c r="B26" s="77" t="s">
        <v>154</v>
      </c>
      <c r="C26" s="349"/>
      <c r="D26" s="389">
        <f t="shared" ref="D26:O26" si="2">IF($E$13="Liters",((D$14*D18)/1000),((D$14*D18)/1000000))</f>
        <v>12.5</v>
      </c>
      <c r="E26" s="389">
        <f t="shared" si="2"/>
        <v>25</v>
      </c>
      <c r="F26" s="389">
        <f t="shared" si="2"/>
        <v>37.5</v>
      </c>
      <c r="G26" s="389">
        <f t="shared" si="2"/>
        <v>50</v>
      </c>
      <c r="H26" s="389">
        <f t="shared" si="2"/>
        <v>0</v>
      </c>
      <c r="I26" s="389">
        <f t="shared" si="2"/>
        <v>0</v>
      </c>
      <c r="J26" s="389">
        <f t="shared" si="2"/>
        <v>0</v>
      </c>
      <c r="K26" s="389">
        <f t="shared" si="2"/>
        <v>0</v>
      </c>
      <c r="L26" s="389">
        <f t="shared" si="2"/>
        <v>0</v>
      </c>
      <c r="M26" s="389">
        <f t="shared" si="2"/>
        <v>0</v>
      </c>
      <c r="N26" s="389">
        <f t="shared" si="2"/>
        <v>0</v>
      </c>
      <c r="O26" s="389">
        <f t="shared" si="2"/>
        <v>0</v>
      </c>
      <c r="P26" s="390">
        <f t="shared" ref="P26:P34" si="3">SUM(D26:O26)</f>
        <v>125</v>
      </c>
      <c r="Q26" s="373"/>
      <c r="R26" s="373"/>
      <c r="S26" s="373"/>
      <c r="T26" s="373"/>
      <c r="U26" s="373"/>
      <c r="V26" s="373"/>
      <c r="W26" s="373"/>
      <c r="X26" s="372"/>
      <c r="Y26" s="372"/>
    </row>
    <row r="27" spans="2:25" ht="15">
      <c r="B27" s="77" t="s">
        <v>155</v>
      </c>
      <c r="C27" s="349"/>
      <c r="D27" s="389">
        <f>IF($E$13="Liters",((D$14*D19)/1000),((D$14*D19)/1000000))</f>
        <v>25</v>
      </c>
      <c r="E27" s="389">
        <f t="shared" ref="E27:N27" si="4">IF($E$13="Liters",((E$14*E19)/1000),((E$14*E19)/1000000))</f>
        <v>50</v>
      </c>
      <c r="F27" s="389">
        <f t="shared" si="4"/>
        <v>75</v>
      </c>
      <c r="G27" s="389">
        <f t="shared" si="4"/>
        <v>100</v>
      </c>
      <c r="H27" s="389">
        <f t="shared" si="4"/>
        <v>0</v>
      </c>
      <c r="I27" s="389">
        <f t="shared" si="4"/>
        <v>0</v>
      </c>
      <c r="J27" s="389">
        <f t="shared" si="4"/>
        <v>0</v>
      </c>
      <c r="K27" s="389">
        <f t="shared" si="4"/>
        <v>0</v>
      </c>
      <c r="L27" s="389">
        <f t="shared" si="4"/>
        <v>0</v>
      </c>
      <c r="M27" s="389">
        <f t="shared" si="4"/>
        <v>0</v>
      </c>
      <c r="N27" s="389">
        <f t="shared" si="4"/>
        <v>0</v>
      </c>
      <c r="O27" s="389">
        <f>IF($E$13="Liters",((O$14*O19)/1000),((O$14*O19)/1000000))</f>
        <v>0</v>
      </c>
      <c r="P27" s="390">
        <f t="shared" si="3"/>
        <v>250</v>
      </c>
      <c r="Q27" s="373"/>
      <c r="R27" s="373"/>
      <c r="S27" s="373"/>
      <c r="T27" s="373"/>
      <c r="U27" s="373"/>
      <c r="V27" s="373"/>
      <c r="W27" s="373"/>
      <c r="X27" s="372"/>
      <c r="Y27" s="372"/>
    </row>
    <row r="28" spans="2:25" ht="15">
      <c r="B28" s="77" t="s">
        <v>462</v>
      </c>
      <c r="C28" s="349"/>
      <c r="D28" s="389">
        <f>IF($E$13="Liters",((D$14*D20)/1000),((D$14*D20)/1000000))</f>
        <v>25</v>
      </c>
      <c r="E28" s="389">
        <f t="shared" ref="E28:N28" si="5">IF($E$13="Liters",((E$14*E20)/1000),((E$14*E20)/1000000))</f>
        <v>50</v>
      </c>
      <c r="F28" s="389">
        <f t="shared" si="5"/>
        <v>75</v>
      </c>
      <c r="G28" s="389">
        <f t="shared" si="5"/>
        <v>100</v>
      </c>
      <c r="H28" s="389">
        <f t="shared" si="5"/>
        <v>0</v>
      </c>
      <c r="I28" s="389">
        <f t="shared" si="5"/>
        <v>0</v>
      </c>
      <c r="J28" s="389">
        <f t="shared" si="5"/>
        <v>0</v>
      </c>
      <c r="K28" s="389">
        <f t="shared" si="5"/>
        <v>0</v>
      </c>
      <c r="L28" s="389">
        <f t="shared" si="5"/>
        <v>0</v>
      </c>
      <c r="M28" s="389">
        <f t="shared" si="5"/>
        <v>0</v>
      </c>
      <c r="N28" s="389">
        <f t="shared" si="5"/>
        <v>0</v>
      </c>
      <c r="O28" s="389">
        <f>IF($E$13="Liters",((O$14*O20)/1000),((O$14*O20)/1000000))</f>
        <v>0</v>
      </c>
      <c r="P28" s="390">
        <f t="shared" si="3"/>
        <v>250</v>
      </c>
      <c r="Q28" s="373"/>
      <c r="R28" s="373"/>
      <c r="S28" s="373"/>
      <c r="T28" s="373"/>
      <c r="U28" s="373"/>
      <c r="V28" s="373"/>
      <c r="W28" s="373"/>
      <c r="X28" s="372"/>
      <c r="Y28" s="372"/>
    </row>
    <row r="29" spans="2:25" ht="15">
      <c r="B29" s="77" t="s">
        <v>463</v>
      </c>
      <c r="C29" s="349"/>
      <c r="D29" s="389">
        <f>IF($E$13="Liters",((D$14*D21)/1000),((D$14*D21)/1000000))</f>
        <v>25</v>
      </c>
      <c r="E29" s="389">
        <f t="shared" ref="E29:N29" si="6">IF($E$13="Liters",((E$14*E21)/1000),((E$14*E21)/1000000))</f>
        <v>50</v>
      </c>
      <c r="F29" s="389">
        <f t="shared" si="6"/>
        <v>75</v>
      </c>
      <c r="G29" s="389">
        <f t="shared" si="6"/>
        <v>100</v>
      </c>
      <c r="H29" s="389">
        <f t="shared" si="6"/>
        <v>0</v>
      </c>
      <c r="I29" s="389">
        <f t="shared" si="6"/>
        <v>0</v>
      </c>
      <c r="J29" s="389">
        <f t="shared" si="6"/>
        <v>0</v>
      </c>
      <c r="K29" s="389">
        <f t="shared" si="6"/>
        <v>0</v>
      </c>
      <c r="L29" s="389">
        <f t="shared" si="6"/>
        <v>0</v>
      </c>
      <c r="M29" s="389">
        <f t="shared" si="6"/>
        <v>0</v>
      </c>
      <c r="N29" s="389">
        <f t="shared" si="6"/>
        <v>0</v>
      </c>
      <c r="O29" s="389">
        <f>IF($E$13="Liters",((O$14*O21)/1000),((O$14*O21)/1000000))</f>
        <v>0</v>
      </c>
      <c r="P29" s="390">
        <f t="shared" si="3"/>
        <v>250</v>
      </c>
      <c r="Q29" s="373"/>
      <c r="R29" s="373"/>
      <c r="S29" s="373"/>
      <c r="T29" s="373"/>
      <c r="U29" s="373"/>
      <c r="V29" s="373"/>
      <c r="W29" s="373"/>
      <c r="X29" s="372"/>
      <c r="Y29" s="372"/>
    </row>
    <row r="30" spans="2:25" ht="15.75" thickBot="1">
      <c r="B30" s="78" t="s">
        <v>464</v>
      </c>
      <c r="C30" s="79"/>
      <c r="D30" s="389">
        <f>IF($E$13="Liters",((D$14*D22)/1000),((D$14*D22)/1000000))</f>
        <v>27.5</v>
      </c>
      <c r="E30" s="389">
        <f t="shared" ref="E30:N30" si="7">IF($E$13="Liters",((E$14*E22)/1000),((E$14*E22)/1000000))</f>
        <v>55</v>
      </c>
      <c r="F30" s="389">
        <f t="shared" si="7"/>
        <v>82.5</v>
      </c>
      <c r="G30" s="389">
        <f t="shared" si="7"/>
        <v>110</v>
      </c>
      <c r="H30" s="389">
        <f t="shared" si="7"/>
        <v>0</v>
      </c>
      <c r="I30" s="389">
        <f t="shared" si="7"/>
        <v>0</v>
      </c>
      <c r="J30" s="389">
        <f t="shared" si="7"/>
        <v>0</v>
      </c>
      <c r="K30" s="389">
        <f t="shared" si="7"/>
        <v>0</v>
      </c>
      <c r="L30" s="389">
        <f t="shared" si="7"/>
        <v>0</v>
      </c>
      <c r="M30" s="389">
        <f t="shared" si="7"/>
        <v>0</v>
      </c>
      <c r="N30" s="389">
        <f t="shared" si="7"/>
        <v>0</v>
      </c>
      <c r="O30" s="389">
        <f>IF($E$13="Liters",((O$14*O22)/1000),((O$14*O22)/1000000))</f>
        <v>0</v>
      </c>
      <c r="P30" s="392">
        <f t="shared" si="3"/>
        <v>275</v>
      </c>
      <c r="Q30" s="373"/>
      <c r="R30" s="373"/>
      <c r="S30" s="373"/>
      <c r="T30" s="373"/>
      <c r="U30" s="373"/>
      <c r="V30" s="373"/>
      <c r="W30" s="373"/>
      <c r="X30" s="372"/>
      <c r="Y30" s="372"/>
    </row>
    <row r="31" spans="2:25" ht="15">
      <c r="B31" s="80" t="s">
        <v>217</v>
      </c>
      <c r="C31" s="81" t="s">
        <v>154</v>
      </c>
      <c r="D31" s="393">
        <f t="shared" ref="D31:O31" si="8">D26*$O$25</f>
        <v>45000</v>
      </c>
      <c r="E31" s="393">
        <f t="shared" si="8"/>
        <v>90000</v>
      </c>
      <c r="F31" s="393">
        <f t="shared" si="8"/>
        <v>135000</v>
      </c>
      <c r="G31" s="393">
        <f t="shared" si="8"/>
        <v>180000</v>
      </c>
      <c r="H31" s="393">
        <f t="shared" si="8"/>
        <v>0</v>
      </c>
      <c r="I31" s="393">
        <f t="shared" si="8"/>
        <v>0</v>
      </c>
      <c r="J31" s="393">
        <f t="shared" si="8"/>
        <v>0</v>
      </c>
      <c r="K31" s="393">
        <f t="shared" si="8"/>
        <v>0</v>
      </c>
      <c r="L31" s="393">
        <f t="shared" si="8"/>
        <v>0</v>
      </c>
      <c r="M31" s="393">
        <f t="shared" si="8"/>
        <v>0</v>
      </c>
      <c r="N31" s="393">
        <f t="shared" si="8"/>
        <v>0</v>
      </c>
      <c r="O31" s="393">
        <f t="shared" si="8"/>
        <v>0</v>
      </c>
      <c r="P31" s="394">
        <f t="shared" si="3"/>
        <v>450000</v>
      </c>
      <c r="Q31" s="373"/>
      <c r="R31" s="373"/>
      <c r="S31" s="373"/>
      <c r="T31" s="373"/>
      <c r="U31" s="373"/>
      <c r="V31" s="373"/>
      <c r="W31" s="373"/>
      <c r="X31" s="372"/>
      <c r="Y31" s="372"/>
    </row>
    <row r="32" spans="2:25" ht="15">
      <c r="B32" s="82"/>
      <c r="C32" s="83" t="s">
        <v>218</v>
      </c>
      <c r="D32" s="395">
        <f>D27*$O$25</f>
        <v>90000</v>
      </c>
      <c r="E32" s="395">
        <f>E27*$O$25</f>
        <v>180000</v>
      </c>
      <c r="F32" s="395">
        <f t="shared" ref="F32:O32" si="9">F27*$O$25</f>
        <v>270000</v>
      </c>
      <c r="G32" s="395">
        <f t="shared" si="9"/>
        <v>360000</v>
      </c>
      <c r="H32" s="395">
        <f t="shared" si="9"/>
        <v>0</v>
      </c>
      <c r="I32" s="395">
        <f t="shared" si="9"/>
        <v>0</v>
      </c>
      <c r="J32" s="395">
        <f t="shared" si="9"/>
        <v>0</v>
      </c>
      <c r="K32" s="395">
        <f t="shared" si="9"/>
        <v>0</v>
      </c>
      <c r="L32" s="395">
        <f t="shared" si="9"/>
        <v>0</v>
      </c>
      <c r="M32" s="395">
        <f t="shared" si="9"/>
        <v>0</v>
      </c>
      <c r="N32" s="395">
        <f t="shared" si="9"/>
        <v>0</v>
      </c>
      <c r="O32" s="395">
        <f t="shared" si="9"/>
        <v>0</v>
      </c>
      <c r="P32" s="396">
        <f t="shared" si="3"/>
        <v>900000</v>
      </c>
      <c r="Q32" s="373"/>
      <c r="R32" s="373"/>
      <c r="S32" s="373"/>
      <c r="T32" s="373"/>
      <c r="U32" s="373"/>
      <c r="V32" s="373"/>
      <c r="W32" s="373"/>
      <c r="X32" s="372"/>
      <c r="Y32" s="372"/>
    </row>
    <row r="33" spans="2:25" ht="15">
      <c r="B33" s="82"/>
      <c r="C33" s="83" t="s">
        <v>219</v>
      </c>
      <c r="D33" s="395">
        <f>SUM(D28:D30)*$O$25</f>
        <v>279000</v>
      </c>
      <c r="E33" s="395">
        <f t="shared" ref="E33:O33" si="10">SUM(E28:E30)*$O$25</f>
        <v>558000</v>
      </c>
      <c r="F33" s="395">
        <f t="shared" si="10"/>
        <v>837000</v>
      </c>
      <c r="G33" s="395">
        <f t="shared" si="10"/>
        <v>1116000</v>
      </c>
      <c r="H33" s="395">
        <f t="shared" si="10"/>
        <v>0</v>
      </c>
      <c r="I33" s="395">
        <f t="shared" si="10"/>
        <v>0</v>
      </c>
      <c r="J33" s="395">
        <f t="shared" si="10"/>
        <v>0</v>
      </c>
      <c r="K33" s="395">
        <f t="shared" si="10"/>
        <v>0</v>
      </c>
      <c r="L33" s="395">
        <f t="shared" si="10"/>
        <v>0</v>
      </c>
      <c r="M33" s="395">
        <f t="shared" si="10"/>
        <v>0</v>
      </c>
      <c r="N33" s="395">
        <f t="shared" si="10"/>
        <v>0</v>
      </c>
      <c r="O33" s="395">
        <f t="shared" si="10"/>
        <v>0</v>
      </c>
      <c r="P33" s="396">
        <f t="shared" si="3"/>
        <v>2790000</v>
      </c>
      <c r="Q33" s="373"/>
      <c r="R33" s="373"/>
      <c r="S33" s="373"/>
      <c r="T33" s="373"/>
      <c r="U33" s="373"/>
      <c r="V33" s="373"/>
      <c r="W33" s="373"/>
      <c r="X33" s="372"/>
      <c r="Y33" s="372"/>
    </row>
    <row r="34" spans="2:25" ht="15.75" thickBot="1">
      <c r="B34" s="84" t="s">
        <v>226</v>
      </c>
      <c r="C34" s="85"/>
      <c r="D34" s="397">
        <f>SUM(D31:D33)</f>
        <v>414000</v>
      </c>
      <c r="E34" s="397">
        <f t="shared" ref="E34:O34" si="11">SUM(E31:E33)</f>
        <v>828000</v>
      </c>
      <c r="F34" s="397">
        <f t="shared" si="11"/>
        <v>1242000</v>
      </c>
      <c r="G34" s="397">
        <f t="shared" si="11"/>
        <v>1656000</v>
      </c>
      <c r="H34" s="397">
        <f t="shared" si="11"/>
        <v>0</v>
      </c>
      <c r="I34" s="397">
        <f t="shared" si="11"/>
        <v>0</v>
      </c>
      <c r="J34" s="397">
        <f t="shared" si="11"/>
        <v>0</v>
      </c>
      <c r="K34" s="397">
        <f t="shared" si="11"/>
        <v>0</v>
      </c>
      <c r="L34" s="397">
        <f t="shared" si="11"/>
        <v>0</v>
      </c>
      <c r="M34" s="397">
        <f t="shared" si="11"/>
        <v>0</v>
      </c>
      <c r="N34" s="397">
        <f t="shared" si="11"/>
        <v>0</v>
      </c>
      <c r="O34" s="398">
        <f t="shared" si="11"/>
        <v>0</v>
      </c>
      <c r="P34" s="399">
        <f t="shared" si="3"/>
        <v>4140000</v>
      </c>
      <c r="Q34" s="373"/>
      <c r="R34" s="373"/>
      <c r="S34" s="373"/>
      <c r="T34" s="373"/>
      <c r="U34" s="373"/>
      <c r="V34" s="373"/>
      <c r="W34" s="373"/>
      <c r="X34" s="372"/>
      <c r="Y34" s="372"/>
    </row>
    <row r="35" spans="2:25" ht="15.75" thickBot="1">
      <c r="B35" s="28"/>
      <c r="C35" s="24"/>
      <c r="D35" s="400"/>
      <c r="E35" s="400"/>
      <c r="F35" s="400"/>
      <c r="G35" s="400"/>
      <c r="H35" s="400"/>
      <c r="I35" s="400"/>
      <c r="J35" s="400"/>
      <c r="K35" s="373"/>
      <c r="L35" s="400"/>
      <c r="M35" s="400"/>
      <c r="N35" s="400"/>
      <c r="O35" s="400"/>
      <c r="P35" s="400"/>
      <c r="Q35" s="373"/>
      <c r="R35" s="373"/>
      <c r="S35" s="373"/>
      <c r="T35" s="373"/>
      <c r="U35" s="373"/>
      <c r="V35" s="373"/>
      <c r="W35" s="373"/>
      <c r="X35" s="372"/>
      <c r="Y35" s="372"/>
    </row>
    <row r="36" spans="2:25" ht="16.5" thickTop="1" thickBot="1">
      <c r="B36" s="1015" t="s">
        <v>466</v>
      </c>
      <c r="C36" s="1016"/>
      <c r="D36" s="1080" t="str">
        <f>IF(ISBLANK('1.PM'!M10),"NOT APPLICABLE",('1.PM'!M10))</f>
        <v>NOT APPLICABLE</v>
      </c>
      <c r="E36" s="1080"/>
      <c r="F36" s="1080"/>
      <c r="G36" s="1080"/>
      <c r="H36" s="1080"/>
      <c r="I36" s="1080"/>
      <c r="J36" s="1080"/>
      <c r="K36" s="1080"/>
      <c r="L36" s="1081"/>
      <c r="M36" s="1013" t="str">
        <f>IF($E$13="Liters","Market Price (₹/gm)","Market Price (₹/kg)")</f>
        <v>Market Price (₹/kg)</v>
      </c>
      <c r="N36" s="1014"/>
      <c r="O36" s="203"/>
      <c r="P36" s="53" t="s">
        <v>205</v>
      </c>
      <c r="Q36" s="373"/>
      <c r="R36" s="373"/>
      <c r="S36" s="373"/>
      <c r="T36" s="373"/>
      <c r="U36" s="373"/>
      <c r="V36" s="373"/>
      <c r="W36" s="373"/>
      <c r="X36" s="372"/>
      <c r="Y36" s="372"/>
    </row>
    <row r="37" spans="2:25" ht="15.75" thickTop="1">
      <c r="B37" s="348" t="s">
        <v>154</v>
      </c>
      <c r="C37" s="349"/>
      <c r="D37" s="389">
        <f t="shared" ref="D37:O37" si="12">(D$15*D18)/1000000</f>
        <v>0</v>
      </c>
      <c r="E37" s="389">
        <f t="shared" si="12"/>
        <v>0</v>
      </c>
      <c r="F37" s="389">
        <f t="shared" si="12"/>
        <v>0</v>
      </c>
      <c r="G37" s="389">
        <f t="shared" si="12"/>
        <v>0</v>
      </c>
      <c r="H37" s="389">
        <f t="shared" si="12"/>
        <v>0</v>
      </c>
      <c r="I37" s="389">
        <f t="shared" si="12"/>
        <v>0</v>
      </c>
      <c r="J37" s="389">
        <f t="shared" si="12"/>
        <v>0</v>
      </c>
      <c r="K37" s="389">
        <f t="shared" si="12"/>
        <v>0</v>
      </c>
      <c r="L37" s="389">
        <f t="shared" si="12"/>
        <v>0</v>
      </c>
      <c r="M37" s="401">
        <f t="shared" si="12"/>
        <v>0</v>
      </c>
      <c r="N37" s="401">
        <f t="shared" si="12"/>
        <v>0</v>
      </c>
      <c r="O37" s="402">
        <f t="shared" si="12"/>
        <v>0</v>
      </c>
      <c r="P37" s="390">
        <f t="shared" ref="P37:P45" si="13">SUM(D37:O37)</f>
        <v>0</v>
      </c>
      <c r="Q37" s="373"/>
      <c r="R37" s="373"/>
      <c r="S37" s="373"/>
      <c r="T37" s="373"/>
      <c r="U37" s="373"/>
      <c r="V37" s="373"/>
      <c r="W37" s="373"/>
      <c r="X37" s="372"/>
      <c r="Y37" s="372"/>
    </row>
    <row r="38" spans="2:25" ht="15">
      <c r="B38" s="348" t="s">
        <v>155</v>
      </c>
      <c r="C38" s="349"/>
      <c r="D38" s="389">
        <f t="shared" ref="D38:O38" si="14">(D$15*D19)/1000000</f>
        <v>0</v>
      </c>
      <c r="E38" s="389">
        <f t="shared" si="14"/>
        <v>0</v>
      </c>
      <c r="F38" s="389">
        <f t="shared" si="14"/>
        <v>0</v>
      </c>
      <c r="G38" s="389">
        <f t="shared" si="14"/>
        <v>0</v>
      </c>
      <c r="H38" s="389">
        <f t="shared" si="14"/>
        <v>0</v>
      </c>
      <c r="I38" s="389">
        <f t="shared" si="14"/>
        <v>0</v>
      </c>
      <c r="J38" s="389">
        <f t="shared" si="14"/>
        <v>0</v>
      </c>
      <c r="K38" s="389">
        <f t="shared" si="14"/>
        <v>0</v>
      </c>
      <c r="L38" s="389">
        <f t="shared" si="14"/>
        <v>0</v>
      </c>
      <c r="M38" s="389">
        <f t="shared" si="14"/>
        <v>0</v>
      </c>
      <c r="N38" s="389">
        <f t="shared" si="14"/>
        <v>0</v>
      </c>
      <c r="O38" s="403">
        <f t="shared" si="14"/>
        <v>0</v>
      </c>
      <c r="P38" s="390">
        <f t="shared" si="13"/>
        <v>0</v>
      </c>
      <c r="Q38" s="373"/>
      <c r="R38" s="373"/>
      <c r="S38" s="373"/>
      <c r="T38" s="373"/>
      <c r="U38" s="373"/>
      <c r="V38" s="373"/>
      <c r="W38" s="373"/>
      <c r="X38" s="372"/>
      <c r="Y38" s="372"/>
    </row>
    <row r="39" spans="2:25" ht="15">
      <c r="B39" s="77" t="s">
        <v>462</v>
      </c>
      <c r="C39" s="349"/>
      <c r="D39" s="389">
        <f t="shared" ref="D39:O39" si="15">(D$15*D20)/1000000</f>
        <v>0</v>
      </c>
      <c r="E39" s="389">
        <f t="shared" si="15"/>
        <v>0</v>
      </c>
      <c r="F39" s="389">
        <f t="shared" si="15"/>
        <v>0</v>
      </c>
      <c r="G39" s="389">
        <f t="shared" si="15"/>
        <v>0</v>
      </c>
      <c r="H39" s="389">
        <f t="shared" si="15"/>
        <v>0</v>
      </c>
      <c r="I39" s="389">
        <f t="shared" si="15"/>
        <v>0</v>
      </c>
      <c r="J39" s="389">
        <f t="shared" si="15"/>
        <v>0</v>
      </c>
      <c r="K39" s="389">
        <f t="shared" si="15"/>
        <v>0</v>
      </c>
      <c r="L39" s="389">
        <f t="shared" si="15"/>
        <v>0</v>
      </c>
      <c r="M39" s="389">
        <f t="shared" si="15"/>
        <v>0</v>
      </c>
      <c r="N39" s="389">
        <f t="shared" si="15"/>
        <v>0</v>
      </c>
      <c r="O39" s="403">
        <f t="shared" si="15"/>
        <v>0</v>
      </c>
      <c r="P39" s="390">
        <f t="shared" si="13"/>
        <v>0</v>
      </c>
      <c r="Q39" s="373"/>
      <c r="R39" s="373"/>
      <c r="S39" s="373"/>
      <c r="T39" s="373"/>
      <c r="U39" s="373"/>
      <c r="V39" s="373"/>
      <c r="W39" s="373"/>
      <c r="X39" s="372"/>
      <c r="Y39" s="372"/>
    </row>
    <row r="40" spans="2:25" ht="15">
      <c r="B40" s="77" t="s">
        <v>463</v>
      </c>
      <c r="C40" s="349"/>
      <c r="D40" s="389">
        <f t="shared" ref="D40:O40" si="16">(D$15*D21)/1000000</f>
        <v>0</v>
      </c>
      <c r="E40" s="389">
        <f t="shared" si="16"/>
        <v>0</v>
      </c>
      <c r="F40" s="389">
        <f t="shared" si="16"/>
        <v>0</v>
      </c>
      <c r="G40" s="389">
        <f t="shared" si="16"/>
        <v>0</v>
      </c>
      <c r="H40" s="389">
        <f t="shared" si="16"/>
        <v>0</v>
      </c>
      <c r="I40" s="389">
        <f t="shared" si="16"/>
        <v>0</v>
      </c>
      <c r="J40" s="389">
        <f t="shared" si="16"/>
        <v>0</v>
      </c>
      <c r="K40" s="389">
        <f t="shared" si="16"/>
        <v>0</v>
      </c>
      <c r="L40" s="389">
        <f t="shared" si="16"/>
        <v>0</v>
      </c>
      <c r="M40" s="389">
        <f t="shared" si="16"/>
        <v>0</v>
      </c>
      <c r="N40" s="389">
        <f t="shared" si="16"/>
        <v>0</v>
      </c>
      <c r="O40" s="403">
        <f t="shared" si="16"/>
        <v>0</v>
      </c>
      <c r="P40" s="390">
        <f t="shared" si="13"/>
        <v>0</v>
      </c>
      <c r="Q40" s="373"/>
      <c r="R40" s="373"/>
      <c r="S40" s="373"/>
      <c r="T40" s="373"/>
      <c r="U40" s="373"/>
      <c r="V40" s="373"/>
      <c r="W40" s="373"/>
      <c r="X40" s="372"/>
      <c r="Y40" s="372"/>
    </row>
    <row r="41" spans="2:25" ht="15.75" thickBot="1">
      <c r="B41" s="78" t="s">
        <v>464</v>
      </c>
      <c r="C41" s="79"/>
      <c r="D41" s="391">
        <f t="shared" ref="D41:O41" si="17">(D$15*D22)/1000000</f>
        <v>0</v>
      </c>
      <c r="E41" s="391">
        <f t="shared" si="17"/>
        <v>0</v>
      </c>
      <c r="F41" s="391">
        <f t="shared" si="17"/>
        <v>0</v>
      </c>
      <c r="G41" s="391">
        <f t="shared" si="17"/>
        <v>0</v>
      </c>
      <c r="H41" s="391">
        <f t="shared" si="17"/>
        <v>0</v>
      </c>
      <c r="I41" s="391">
        <f t="shared" si="17"/>
        <v>0</v>
      </c>
      <c r="J41" s="391">
        <f t="shared" si="17"/>
        <v>0</v>
      </c>
      <c r="K41" s="391">
        <f t="shared" si="17"/>
        <v>0</v>
      </c>
      <c r="L41" s="391">
        <f t="shared" si="17"/>
        <v>0</v>
      </c>
      <c r="M41" s="391">
        <f t="shared" si="17"/>
        <v>0</v>
      </c>
      <c r="N41" s="391">
        <f t="shared" si="17"/>
        <v>0</v>
      </c>
      <c r="O41" s="404">
        <f t="shared" si="17"/>
        <v>0</v>
      </c>
      <c r="P41" s="392">
        <f t="shared" si="13"/>
        <v>0</v>
      </c>
      <c r="Q41" s="373"/>
      <c r="R41" s="373"/>
      <c r="S41" s="373"/>
      <c r="T41" s="373"/>
      <c r="U41" s="373"/>
      <c r="V41" s="373"/>
      <c r="W41" s="373"/>
      <c r="X41" s="372"/>
      <c r="Y41" s="372"/>
    </row>
    <row r="42" spans="2:25" ht="15">
      <c r="B42" s="86" t="s">
        <v>217</v>
      </c>
      <c r="C42" s="81" t="s">
        <v>154</v>
      </c>
      <c r="D42" s="393">
        <f>D37*$O$36</f>
        <v>0</v>
      </c>
      <c r="E42" s="393">
        <f t="shared" ref="E42:O42" si="18">E37*$O$36</f>
        <v>0</v>
      </c>
      <c r="F42" s="393">
        <f t="shared" si="18"/>
        <v>0</v>
      </c>
      <c r="G42" s="393">
        <f t="shared" si="18"/>
        <v>0</v>
      </c>
      <c r="H42" s="393">
        <f t="shared" si="18"/>
        <v>0</v>
      </c>
      <c r="I42" s="393">
        <f t="shared" si="18"/>
        <v>0</v>
      </c>
      <c r="J42" s="393">
        <f t="shared" si="18"/>
        <v>0</v>
      </c>
      <c r="K42" s="393">
        <f t="shared" si="18"/>
        <v>0</v>
      </c>
      <c r="L42" s="393">
        <f t="shared" si="18"/>
        <v>0</v>
      </c>
      <c r="M42" s="393">
        <f t="shared" si="18"/>
        <v>0</v>
      </c>
      <c r="N42" s="393">
        <f t="shared" si="18"/>
        <v>0</v>
      </c>
      <c r="O42" s="405">
        <f t="shared" si="18"/>
        <v>0</v>
      </c>
      <c r="P42" s="394">
        <f t="shared" si="13"/>
        <v>0</v>
      </c>
      <c r="Q42" s="373"/>
      <c r="R42" s="373"/>
      <c r="S42" s="373"/>
      <c r="T42" s="373"/>
      <c r="U42" s="373"/>
      <c r="V42" s="373"/>
      <c r="W42" s="373"/>
      <c r="X42" s="372"/>
      <c r="Y42" s="372"/>
    </row>
    <row r="43" spans="2:25" ht="15">
      <c r="B43" s="87"/>
      <c r="C43" s="83" t="s">
        <v>218</v>
      </c>
      <c r="D43" s="395">
        <f>D38*$O$36</f>
        <v>0</v>
      </c>
      <c r="E43" s="395">
        <f t="shared" ref="E43:O43" si="19">E38*$O$36</f>
        <v>0</v>
      </c>
      <c r="F43" s="395">
        <f t="shared" si="19"/>
        <v>0</v>
      </c>
      <c r="G43" s="395">
        <f t="shared" si="19"/>
        <v>0</v>
      </c>
      <c r="H43" s="395">
        <f t="shared" si="19"/>
        <v>0</v>
      </c>
      <c r="I43" s="395">
        <f t="shared" si="19"/>
        <v>0</v>
      </c>
      <c r="J43" s="395">
        <f t="shared" si="19"/>
        <v>0</v>
      </c>
      <c r="K43" s="395">
        <f t="shared" si="19"/>
        <v>0</v>
      </c>
      <c r="L43" s="395">
        <f t="shared" si="19"/>
        <v>0</v>
      </c>
      <c r="M43" s="395">
        <f t="shared" si="19"/>
        <v>0</v>
      </c>
      <c r="N43" s="395">
        <f t="shared" si="19"/>
        <v>0</v>
      </c>
      <c r="O43" s="406">
        <f t="shared" si="19"/>
        <v>0</v>
      </c>
      <c r="P43" s="396">
        <f t="shared" si="13"/>
        <v>0</v>
      </c>
      <c r="Q43" s="373"/>
      <c r="R43" s="373"/>
      <c r="S43" s="373"/>
      <c r="T43" s="373"/>
      <c r="U43" s="373"/>
      <c r="V43" s="373"/>
      <c r="W43" s="373"/>
      <c r="X43" s="372"/>
      <c r="Y43" s="372"/>
    </row>
    <row r="44" spans="2:25" ht="15">
      <c r="B44" s="87"/>
      <c r="C44" s="83" t="s">
        <v>219</v>
      </c>
      <c r="D44" s="395">
        <f>SUM(D39:D41)*$O$36</f>
        <v>0</v>
      </c>
      <c r="E44" s="395">
        <f t="shared" ref="E44:O44" si="20">SUM(E39:E41)*$O$36</f>
        <v>0</v>
      </c>
      <c r="F44" s="395">
        <f t="shared" si="20"/>
        <v>0</v>
      </c>
      <c r="G44" s="395">
        <f t="shared" si="20"/>
        <v>0</v>
      </c>
      <c r="H44" s="395">
        <f t="shared" si="20"/>
        <v>0</v>
      </c>
      <c r="I44" s="395">
        <f t="shared" si="20"/>
        <v>0</v>
      </c>
      <c r="J44" s="395">
        <f t="shared" si="20"/>
        <v>0</v>
      </c>
      <c r="K44" s="395">
        <f t="shared" si="20"/>
        <v>0</v>
      </c>
      <c r="L44" s="395">
        <f t="shared" si="20"/>
        <v>0</v>
      </c>
      <c r="M44" s="395">
        <f t="shared" si="20"/>
        <v>0</v>
      </c>
      <c r="N44" s="395">
        <f t="shared" si="20"/>
        <v>0</v>
      </c>
      <c r="O44" s="406">
        <f t="shared" si="20"/>
        <v>0</v>
      </c>
      <c r="P44" s="396">
        <f t="shared" si="13"/>
        <v>0</v>
      </c>
      <c r="Q44" s="373"/>
      <c r="R44" s="373"/>
      <c r="S44" s="373"/>
      <c r="T44" s="373"/>
      <c r="U44" s="373"/>
      <c r="V44" s="373"/>
      <c r="W44" s="373"/>
      <c r="X44" s="372"/>
      <c r="Y44" s="372"/>
    </row>
    <row r="45" spans="2:25" ht="15.75" thickBot="1">
      <c r="B45" s="88" t="s">
        <v>226</v>
      </c>
      <c r="C45" s="89"/>
      <c r="D45" s="407">
        <f t="shared" ref="D45:O45" si="21">SUM(D42:D44)</f>
        <v>0</v>
      </c>
      <c r="E45" s="407">
        <f t="shared" si="21"/>
        <v>0</v>
      </c>
      <c r="F45" s="407">
        <f t="shared" si="21"/>
        <v>0</v>
      </c>
      <c r="G45" s="407">
        <f t="shared" si="21"/>
        <v>0</v>
      </c>
      <c r="H45" s="407">
        <f t="shared" si="21"/>
        <v>0</v>
      </c>
      <c r="I45" s="407">
        <f t="shared" si="21"/>
        <v>0</v>
      </c>
      <c r="J45" s="407">
        <f t="shared" si="21"/>
        <v>0</v>
      </c>
      <c r="K45" s="407">
        <f t="shared" si="21"/>
        <v>0</v>
      </c>
      <c r="L45" s="407">
        <f t="shared" si="21"/>
        <v>0</v>
      </c>
      <c r="M45" s="407">
        <f t="shared" si="21"/>
        <v>0</v>
      </c>
      <c r="N45" s="407">
        <f t="shared" si="21"/>
        <v>0</v>
      </c>
      <c r="O45" s="408">
        <f t="shared" si="21"/>
        <v>0</v>
      </c>
      <c r="P45" s="399">
        <f t="shared" si="13"/>
        <v>0</v>
      </c>
      <c r="Q45" s="373"/>
      <c r="R45" s="373"/>
      <c r="S45" s="373"/>
      <c r="T45" s="373"/>
      <c r="U45" s="373"/>
      <c r="V45" s="373"/>
      <c r="W45" s="373"/>
      <c r="X45" s="372"/>
      <c r="Y45" s="372"/>
    </row>
    <row r="46" spans="2:25" ht="15.75" thickBot="1">
      <c r="B46" s="28"/>
      <c r="C46" s="24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373"/>
      <c r="R46" s="373"/>
      <c r="S46" s="373"/>
      <c r="T46" s="373"/>
      <c r="U46" s="373"/>
      <c r="V46" s="373"/>
      <c r="W46" s="373"/>
      <c r="X46" s="372"/>
      <c r="Y46" s="372"/>
    </row>
    <row r="47" spans="2:25" ht="16.5" thickTop="1" thickBot="1">
      <c r="B47" s="1015" t="s">
        <v>980</v>
      </c>
      <c r="C47" s="1016"/>
      <c r="D47" s="1080" t="str">
        <f>IF(ISBLANK('1.PM'!N10),"NOT APPLICABLE",('1.PM'!N10))</f>
        <v>NOT APPLICABLE</v>
      </c>
      <c r="E47" s="1080"/>
      <c r="F47" s="1080"/>
      <c r="G47" s="1080"/>
      <c r="H47" s="1080"/>
      <c r="I47" s="1080"/>
      <c r="J47" s="1080"/>
      <c r="K47" s="1080"/>
      <c r="L47" s="1081"/>
      <c r="M47" s="1013" t="str">
        <f>IF($E$13="Liters","Market Price (₹/gm)","Market Price (₹/kg)")</f>
        <v>Market Price (₹/kg)</v>
      </c>
      <c r="N47" s="1014"/>
      <c r="O47" s="203"/>
      <c r="P47" s="53" t="s">
        <v>205</v>
      </c>
      <c r="Q47" s="373"/>
      <c r="R47" s="373"/>
      <c r="S47" s="373"/>
      <c r="T47" s="373"/>
      <c r="U47" s="373"/>
      <c r="V47" s="373"/>
      <c r="W47" s="373"/>
      <c r="X47" s="372"/>
      <c r="Y47" s="372"/>
    </row>
    <row r="48" spans="2:25" ht="15.75" thickTop="1">
      <c r="B48" s="348" t="s">
        <v>154</v>
      </c>
      <c r="C48" s="349"/>
      <c r="D48" s="389">
        <f>(D$16*D18)/1000000</f>
        <v>0</v>
      </c>
      <c r="E48" s="389">
        <f t="shared" ref="E48:O48" si="22">(E$16*E18)/1000000</f>
        <v>0</v>
      </c>
      <c r="F48" s="389">
        <f t="shared" si="22"/>
        <v>0</v>
      </c>
      <c r="G48" s="389">
        <f t="shared" si="22"/>
        <v>0</v>
      </c>
      <c r="H48" s="389">
        <f t="shared" si="22"/>
        <v>0</v>
      </c>
      <c r="I48" s="389">
        <f t="shared" si="22"/>
        <v>0</v>
      </c>
      <c r="J48" s="389">
        <f t="shared" si="22"/>
        <v>0</v>
      </c>
      <c r="K48" s="389">
        <f t="shared" si="22"/>
        <v>0</v>
      </c>
      <c r="L48" s="389">
        <f t="shared" si="22"/>
        <v>0</v>
      </c>
      <c r="M48" s="389">
        <f t="shared" si="22"/>
        <v>0</v>
      </c>
      <c r="N48" s="389">
        <f t="shared" si="22"/>
        <v>0</v>
      </c>
      <c r="O48" s="389">
        <f t="shared" si="22"/>
        <v>0</v>
      </c>
      <c r="P48" s="390">
        <f t="shared" ref="P48:P56" si="23">SUM(D48:O48)</f>
        <v>0</v>
      </c>
      <c r="Q48" s="373"/>
      <c r="R48" s="373"/>
      <c r="S48" s="373"/>
      <c r="T48" s="373"/>
      <c r="U48" s="373"/>
      <c r="V48" s="373"/>
      <c r="W48" s="373"/>
      <c r="X48" s="372"/>
      <c r="Y48" s="372"/>
    </row>
    <row r="49" spans="2:25" ht="15">
      <c r="B49" s="348" t="s">
        <v>155</v>
      </c>
      <c r="C49" s="349"/>
      <c r="D49" s="389">
        <f t="shared" ref="D49:E52" si="24">(D$16*D19)/1000000</f>
        <v>0</v>
      </c>
      <c r="E49" s="389">
        <f t="shared" si="24"/>
        <v>0</v>
      </c>
      <c r="F49" s="389">
        <f t="shared" ref="F49:O49" si="25">(F$16*F19)/1000000</f>
        <v>0</v>
      </c>
      <c r="G49" s="389">
        <f t="shared" si="25"/>
        <v>0</v>
      </c>
      <c r="H49" s="389">
        <f t="shared" si="25"/>
        <v>0</v>
      </c>
      <c r="I49" s="389">
        <f t="shared" si="25"/>
        <v>0</v>
      </c>
      <c r="J49" s="389">
        <f t="shared" si="25"/>
        <v>0</v>
      </c>
      <c r="K49" s="389">
        <f t="shared" si="25"/>
        <v>0</v>
      </c>
      <c r="L49" s="389">
        <f t="shared" si="25"/>
        <v>0</v>
      </c>
      <c r="M49" s="389">
        <f t="shared" si="25"/>
        <v>0</v>
      </c>
      <c r="N49" s="389">
        <f t="shared" si="25"/>
        <v>0</v>
      </c>
      <c r="O49" s="389">
        <f t="shared" si="25"/>
        <v>0</v>
      </c>
      <c r="P49" s="390">
        <f t="shared" si="23"/>
        <v>0</v>
      </c>
      <c r="Q49" s="373"/>
      <c r="R49" s="373"/>
      <c r="S49" s="373"/>
      <c r="T49" s="373"/>
      <c r="U49" s="373"/>
      <c r="V49" s="373"/>
      <c r="W49" s="373"/>
      <c r="X49" s="372"/>
      <c r="Y49" s="372"/>
    </row>
    <row r="50" spans="2:25" ht="15">
      <c r="B50" s="77" t="s">
        <v>462</v>
      </c>
      <c r="C50" s="349"/>
      <c r="D50" s="389">
        <f t="shared" si="24"/>
        <v>0</v>
      </c>
      <c r="E50" s="389">
        <f t="shared" si="24"/>
        <v>0</v>
      </c>
      <c r="F50" s="389">
        <f t="shared" ref="F50:O50" si="26">(F$16*F20)/1000000</f>
        <v>0</v>
      </c>
      <c r="G50" s="389">
        <f t="shared" si="26"/>
        <v>0</v>
      </c>
      <c r="H50" s="389">
        <f t="shared" si="26"/>
        <v>0</v>
      </c>
      <c r="I50" s="389">
        <f t="shared" si="26"/>
        <v>0</v>
      </c>
      <c r="J50" s="389">
        <f t="shared" si="26"/>
        <v>0</v>
      </c>
      <c r="K50" s="389">
        <f t="shared" si="26"/>
        <v>0</v>
      </c>
      <c r="L50" s="389">
        <f t="shared" si="26"/>
        <v>0</v>
      </c>
      <c r="M50" s="389">
        <f t="shared" si="26"/>
        <v>0</v>
      </c>
      <c r="N50" s="389">
        <f t="shared" si="26"/>
        <v>0</v>
      </c>
      <c r="O50" s="389">
        <f t="shared" si="26"/>
        <v>0</v>
      </c>
      <c r="P50" s="390">
        <f t="shared" si="23"/>
        <v>0</v>
      </c>
      <c r="Q50" s="373"/>
      <c r="R50" s="373"/>
      <c r="S50" s="373"/>
      <c r="T50" s="373"/>
      <c r="U50" s="373"/>
      <c r="V50" s="373"/>
      <c r="W50" s="373"/>
      <c r="X50" s="372"/>
      <c r="Y50" s="372"/>
    </row>
    <row r="51" spans="2:25" ht="15">
      <c r="B51" s="77" t="s">
        <v>463</v>
      </c>
      <c r="C51" s="349"/>
      <c r="D51" s="389">
        <f t="shared" si="24"/>
        <v>0</v>
      </c>
      <c r="E51" s="389">
        <f t="shared" si="24"/>
        <v>0</v>
      </c>
      <c r="F51" s="389">
        <f t="shared" ref="F51:O51" si="27">(F$16*F21)/1000000</f>
        <v>0</v>
      </c>
      <c r="G51" s="389">
        <f t="shared" si="27"/>
        <v>0</v>
      </c>
      <c r="H51" s="389">
        <f t="shared" si="27"/>
        <v>0</v>
      </c>
      <c r="I51" s="389">
        <f t="shared" si="27"/>
        <v>0</v>
      </c>
      <c r="J51" s="389">
        <f t="shared" si="27"/>
        <v>0</v>
      </c>
      <c r="K51" s="389">
        <f t="shared" si="27"/>
        <v>0</v>
      </c>
      <c r="L51" s="389">
        <f t="shared" si="27"/>
        <v>0</v>
      </c>
      <c r="M51" s="389">
        <f t="shared" si="27"/>
        <v>0</v>
      </c>
      <c r="N51" s="389">
        <f t="shared" si="27"/>
        <v>0</v>
      </c>
      <c r="O51" s="389">
        <f t="shared" si="27"/>
        <v>0</v>
      </c>
      <c r="P51" s="390">
        <f t="shared" si="23"/>
        <v>0</v>
      </c>
      <c r="Q51" s="373"/>
      <c r="R51" s="373"/>
      <c r="S51" s="373"/>
      <c r="T51" s="373"/>
      <c r="U51" s="373"/>
      <c r="V51" s="373"/>
      <c r="W51" s="373"/>
      <c r="X51" s="372"/>
      <c r="Y51" s="372"/>
    </row>
    <row r="52" spans="2:25" ht="15.75" thickBot="1">
      <c r="B52" s="78" t="s">
        <v>464</v>
      </c>
      <c r="C52" s="79"/>
      <c r="D52" s="389">
        <f t="shared" si="24"/>
        <v>0</v>
      </c>
      <c r="E52" s="389">
        <f t="shared" si="24"/>
        <v>0</v>
      </c>
      <c r="F52" s="389">
        <f t="shared" ref="F52:O52" si="28">(F$16*F22)/1000000</f>
        <v>0</v>
      </c>
      <c r="G52" s="389">
        <f t="shared" si="28"/>
        <v>0</v>
      </c>
      <c r="H52" s="389">
        <f t="shared" si="28"/>
        <v>0</v>
      </c>
      <c r="I52" s="389">
        <f t="shared" si="28"/>
        <v>0</v>
      </c>
      <c r="J52" s="389">
        <f t="shared" si="28"/>
        <v>0</v>
      </c>
      <c r="K52" s="389">
        <f t="shared" si="28"/>
        <v>0</v>
      </c>
      <c r="L52" s="389">
        <f t="shared" si="28"/>
        <v>0</v>
      </c>
      <c r="M52" s="389">
        <f t="shared" si="28"/>
        <v>0</v>
      </c>
      <c r="N52" s="389">
        <f t="shared" si="28"/>
        <v>0</v>
      </c>
      <c r="O52" s="389">
        <f t="shared" si="28"/>
        <v>0</v>
      </c>
      <c r="P52" s="392">
        <f t="shared" si="23"/>
        <v>0</v>
      </c>
      <c r="Q52" s="373"/>
      <c r="R52" s="373"/>
      <c r="S52" s="373"/>
      <c r="T52" s="373"/>
      <c r="U52" s="373"/>
      <c r="V52" s="373"/>
      <c r="W52" s="373"/>
      <c r="X52" s="372"/>
      <c r="Y52" s="372"/>
    </row>
    <row r="53" spans="2:25" ht="15">
      <c r="B53" s="86" t="s">
        <v>217</v>
      </c>
      <c r="C53" s="81" t="s">
        <v>154</v>
      </c>
      <c r="D53" s="393">
        <f>D48*$O$47</f>
        <v>0</v>
      </c>
      <c r="E53" s="393">
        <f>E48*$O$47</f>
        <v>0</v>
      </c>
      <c r="F53" s="393">
        <f t="shared" ref="F53:O53" si="29">F48*$O$47</f>
        <v>0</v>
      </c>
      <c r="G53" s="393">
        <f t="shared" si="29"/>
        <v>0</v>
      </c>
      <c r="H53" s="393">
        <f t="shared" si="29"/>
        <v>0</v>
      </c>
      <c r="I53" s="393">
        <f t="shared" si="29"/>
        <v>0</v>
      </c>
      <c r="J53" s="393">
        <f t="shared" si="29"/>
        <v>0</v>
      </c>
      <c r="K53" s="393">
        <f t="shared" si="29"/>
        <v>0</v>
      </c>
      <c r="L53" s="393">
        <f t="shared" si="29"/>
        <v>0</v>
      </c>
      <c r="M53" s="393">
        <f t="shared" si="29"/>
        <v>0</v>
      </c>
      <c r="N53" s="393">
        <f t="shared" si="29"/>
        <v>0</v>
      </c>
      <c r="O53" s="393">
        <f t="shared" si="29"/>
        <v>0</v>
      </c>
      <c r="P53" s="394">
        <f t="shared" si="23"/>
        <v>0</v>
      </c>
      <c r="Q53" s="373"/>
      <c r="R53" s="373"/>
      <c r="S53" s="373"/>
      <c r="T53" s="373"/>
      <c r="U53" s="373"/>
      <c r="V53" s="373"/>
      <c r="W53" s="373"/>
      <c r="X53" s="372"/>
      <c r="Y53" s="372"/>
    </row>
    <row r="54" spans="2:25" ht="15">
      <c r="B54" s="87"/>
      <c r="C54" s="83" t="s">
        <v>218</v>
      </c>
      <c r="D54" s="395">
        <f>D49*$O$47</f>
        <v>0</v>
      </c>
      <c r="E54" s="395">
        <f>E49*$O$47</f>
        <v>0</v>
      </c>
      <c r="F54" s="395">
        <f t="shared" ref="F54:O54" si="30">F49*$O$47</f>
        <v>0</v>
      </c>
      <c r="G54" s="395">
        <f t="shared" si="30"/>
        <v>0</v>
      </c>
      <c r="H54" s="395">
        <f t="shared" si="30"/>
        <v>0</v>
      </c>
      <c r="I54" s="395">
        <f t="shared" si="30"/>
        <v>0</v>
      </c>
      <c r="J54" s="395">
        <f t="shared" si="30"/>
        <v>0</v>
      </c>
      <c r="K54" s="395">
        <f t="shared" si="30"/>
        <v>0</v>
      </c>
      <c r="L54" s="395">
        <f t="shared" si="30"/>
        <v>0</v>
      </c>
      <c r="M54" s="395">
        <f t="shared" si="30"/>
        <v>0</v>
      </c>
      <c r="N54" s="395">
        <f t="shared" si="30"/>
        <v>0</v>
      </c>
      <c r="O54" s="395">
        <f t="shared" si="30"/>
        <v>0</v>
      </c>
      <c r="P54" s="396">
        <f t="shared" si="23"/>
        <v>0</v>
      </c>
      <c r="Q54" s="373"/>
      <c r="R54" s="373"/>
      <c r="S54" s="373"/>
      <c r="T54" s="373"/>
      <c r="U54" s="373"/>
      <c r="V54" s="373"/>
      <c r="W54" s="373"/>
      <c r="X54" s="372"/>
      <c r="Y54" s="372"/>
    </row>
    <row r="55" spans="2:25" ht="15">
      <c r="B55" s="87"/>
      <c r="C55" s="83" t="s">
        <v>219</v>
      </c>
      <c r="D55" s="395">
        <f>SUM(D50:D52)*$O$47</f>
        <v>0</v>
      </c>
      <c r="E55" s="395">
        <f>SUM(E50:E52)*$O$47</f>
        <v>0</v>
      </c>
      <c r="F55" s="395">
        <f t="shared" ref="F55:O55" si="31">SUM(F50:F52)*$O$47</f>
        <v>0</v>
      </c>
      <c r="G55" s="395">
        <f t="shared" si="31"/>
        <v>0</v>
      </c>
      <c r="H55" s="395">
        <f t="shared" si="31"/>
        <v>0</v>
      </c>
      <c r="I55" s="395">
        <f t="shared" si="31"/>
        <v>0</v>
      </c>
      <c r="J55" s="395">
        <f t="shared" si="31"/>
        <v>0</v>
      </c>
      <c r="K55" s="395">
        <f t="shared" si="31"/>
        <v>0</v>
      </c>
      <c r="L55" s="395">
        <f t="shared" si="31"/>
        <v>0</v>
      </c>
      <c r="M55" s="395">
        <f t="shared" si="31"/>
        <v>0</v>
      </c>
      <c r="N55" s="395">
        <f t="shared" si="31"/>
        <v>0</v>
      </c>
      <c r="O55" s="395">
        <f t="shared" si="31"/>
        <v>0</v>
      </c>
      <c r="P55" s="396">
        <f t="shared" si="23"/>
        <v>0</v>
      </c>
      <c r="Q55" s="373"/>
      <c r="R55" s="373"/>
      <c r="S55" s="373"/>
      <c r="T55" s="373"/>
      <c r="U55" s="373"/>
      <c r="V55" s="373"/>
      <c r="W55" s="373"/>
      <c r="X55" s="372"/>
      <c r="Y55" s="372"/>
    </row>
    <row r="56" spans="2:25" ht="15.75" thickBot="1">
      <c r="B56" s="88" t="s">
        <v>226</v>
      </c>
      <c r="C56" s="89"/>
      <c r="D56" s="407">
        <f t="shared" ref="D56:O56" si="32">SUM(D53:D55)</f>
        <v>0</v>
      </c>
      <c r="E56" s="407">
        <f t="shared" si="32"/>
        <v>0</v>
      </c>
      <c r="F56" s="407">
        <f t="shared" si="32"/>
        <v>0</v>
      </c>
      <c r="G56" s="407">
        <f t="shared" si="32"/>
        <v>0</v>
      </c>
      <c r="H56" s="407">
        <f t="shared" si="32"/>
        <v>0</v>
      </c>
      <c r="I56" s="407">
        <f t="shared" si="32"/>
        <v>0</v>
      </c>
      <c r="J56" s="407">
        <f t="shared" si="32"/>
        <v>0</v>
      </c>
      <c r="K56" s="407">
        <f t="shared" si="32"/>
        <v>0</v>
      </c>
      <c r="L56" s="407">
        <f t="shared" si="32"/>
        <v>0</v>
      </c>
      <c r="M56" s="407">
        <f t="shared" si="32"/>
        <v>0</v>
      </c>
      <c r="N56" s="407">
        <f t="shared" si="32"/>
        <v>0</v>
      </c>
      <c r="O56" s="407">
        <f t="shared" si="32"/>
        <v>0</v>
      </c>
      <c r="P56" s="399">
        <f t="shared" si="23"/>
        <v>0</v>
      </c>
      <c r="Q56" s="373"/>
      <c r="R56" s="373"/>
      <c r="S56" s="373"/>
      <c r="T56" s="373"/>
      <c r="U56" s="373"/>
      <c r="V56" s="373"/>
      <c r="W56" s="373"/>
      <c r="X56" s="372"/>
      <c r="Y56" s="372"/>
    </row>
    <row r="57" spans="2:25" ht="15.75" thickBot="1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373"/>
      <c r="S57" s="373"/>
      <c r="T57" s="373"/>
      <c r="U57" s="373"/>
      <c r="V57" s="373"/>
      <c r="W57" s="373"/>
      <c r="X57" s="372"/>
      <c r="Y57" s="372"/>
    </row>
    <row r="58" spans="2:25" ht="16.5" thickTop="1" thickBot="1">
      <c r="B58" s="1015" t="s">
        <v>981</v>
      </c>
      <c r="C58" s="1016"/>
      <c r="D58" s="1080" t="str">
        <f>IF(ISBLANK('1.PM'!O10),"NOT APPLICABLE",('1.PM'!O10))</f>
        <v>NOT APPLICABLE</v>
      </c>
      <c r="E58" s="1080"/>
      <c r="F58" s="1080"/>
      <c r="G58" s="1080"/>
      <c r="H58" s="1080"/>
      <c r="I58" s="1080"/>
      <c r="J58" s="1080"/>
      <c r="K58" s="1080"/>
      <c r="L58" s="1081"/>
      <c r="M58" s="1013" t="str">
        <f>IF($E$13="Liters","Market Price (₹/gm)","Market Price (₹/kg)")</f>
        <v>Market Price (₹/kg)</v>
      </c>
      <c r="N58" s="1014"/>
      <c r="O58" s="203"/>
      <c r="P58" s="53" t="s">
        <v>205</v>
      </c>
      <c r="Q58" s="373"/>
      <c r="R58" s="373"/>
      <c r="S58" s="373"/>
      <c r="T58" s="373"/>
      <c r="U58" s="373"/>
      <c r="V58" s="373"/>
      <c r="W58" s="373"/>
      <c r="X58" s="372"/>
      <c r="Y58" s="372"/>
    </row>
    <row r="59" spans="2:25" ht="15.75" thickTop="1">
      <c r="B59" s="348" t="s">
        <v>154</v>
      </c>
      <c r="C59" s="349"/>
      <c r="D59" s="389">
        <f t="shared" ref="D59:E63" si="33">(D$17*D18)/1000000</f>
        <v>0</v>
      </c>
      <c r="E59" s="389">
        <f t="shared" si="33"/>
        <v>0</v>
      </c>
      <c r="F59" s="389">
        <f t="shared" ref="F59:O59" si="34">(F$17*F18)/1000000</f>
        <v>0</v>
      </c>
      <c r="G59" s="389">
        <f t="shared" si="34"/>
        <v>0</v>
      </c>
      <c r="H59" s="389">
        <f t="shared" si="34"/>
        <v>0</v>
      </c>
      <c r="I59" s="389">
        <f t="shared" si="34"/>
        <v>0</v>
      </c>
      <c r="J59" s="389">
        <f t="shared" si="34"/>
        <v>0</v>
      </c>
      <c r="K59" s="389">
        <f t="shared" si="34"/>
        <v>0</v>
      </c>
      <c r="L59" s="389">
        <f t="shared" si="34"/>
        <v>0</v>
      </c>
      <c r="M59" s="389">
        <f t="shared" si="34"/>
        <v>0</v>
      </c>
      <c r="N59" s="389">
        <f t="shared" si="34"/>
        <v>0</v>
      </c>
      <c r="O59" s="389">
        <f t="shared" si="34"/>
        <v>0</v>
      </c>
      <c r="P59" s="390">
        <f t="shared" ref="P59:P67" si="35">SUM(D59:O59)</f>
        <v>0</v>
      </c>
      <c r="Q59" s="373"/>
      <c r="R59" s="373"/>
      <c r="S59" s="373"/>
      <c r="T59" s="373"/>
      <c r="U59" s="373"/>
      <c r="V59" s="373"/>
      <c r="W59" s="373"/>
      <c r="X59" s="372"/>
      <c r="Y59" s="372"/>
    </row>
    <row r="60" spans="2:25" ht="15">
      <c r="B60" s="348" t="s">
        <v>155</v>
      </c>
      <c r="C60" s="349"/>
      <c r="D60" s="389">
        <f t="shared" si="33"/>
        <v>0</v>
      </c>
      <c r="E60" s="389">
        <f t="shared" si="33"/>
        <v>0</v>
      </c>
      <c r="F60" s="389">
        <f t="shared" ref="F60:O60" si="36">(F$15*F41)/1000000</f>
        <v>0</v>
      </c>
      <c r="G60" s="389">
        <f t="shared" si="36"/>
        <v>0</v>
      </c>
      <c r="H60" s="389">
        <f t="shared" si="36"/>
        <v>0</v>
      </c>
      <c r="I60" s="389">
        <f t="shared" si="36"/>
        <v>0</v>
      </c>
      <c r="J60" s="389">
        <f t="shared" si="36"/>
        <v>0</v>
      </c>
      <c r="K60" s="389">
        <f t="shared" si="36"/>
        <v>0</v>
      </c>
      <c r="L60" s="389">
        <f t="shared" si="36"/>
        <v>0</v>
      </c>
      <c r="M60" s="389">
        <f t="shared" si="36"/>
        <v>0</v>
      </c>
      <c r="N60" s="389">
        <f t="shared" si="36"/>
        <v>0</v>
      </c>
      <c r="O60" s="403">
        <f t="shared" si="36"/>
        <v>0</v>
      </c>
      <c r="P60" s="390">
        <f t="shared" si="35"/>
        <v>0</v>
      </c>
      <c r="Q60" s="373"/>
      <c r="R60" s="373"/>
      <c r="S60" s="373"/>
      <c r="T60" s="373"/>
      <c r="U60" s="373"/>
      <c r="V60" s="373"/>
      <c r="W60" s="373"/>
      <c r="X60" s="372"/>
      <c r="Y60" s="372"/>
    </row>
    <row r="61" spans="2:25" ht="15">
      <c r="B61" s="77" t="s">
        <v>462</v>
      </c>
      <c r="C61" s="349"/>
      <c r="D61" s="389">
        <f t="shared" si="33"/>
        <v>0</v>
      </c>
      <c r="E61" s="389">
        <f t="shared" si="33"/>
        <v>0</v>
      </c>
      <c r="F61" s="389">
        <f t="shared" ref="F61:O61" si="37">(F$15*F42)/1000000</f>
        <v>0</v>
      </c>
      <c r="G61" s="389">
        <f t="shared" si="37"/>
        <v>0</v>
      </c>
      <c r="H61" s="389">
        <f t="shared" si="37"/>
        <v>0</v>
      </c>
      <c r="I61" s="389">
        <f t="shared" si="37"/>
        <v>0</v>
      </c>
      <c r="J61" s="389">
        <f t="shared" si="37"/>
        <v>0</v>
      </c>
      <c r="K61" s="389">
        <f t="shared" si="37"/>
        <v>0</v>
      </c>
      <c r="L61" s="389">
        <f t="shared" si="37"/>
        <v>0</v>
      </c>
      <c r="M61" s="389">
        <f t="shared" si="37"/>
        <v>0</v>
      </c>
      <c r="N61" s="389">
        <f t="shared" si="37"/>
        <v>0</v>
      </c>
      <c r="O61" s="403">
        <f t="shared" si="37"/>
        <v>0</v>
      </c>
      <c r="P61" s="390">
        <f t="shared" si="35"/>
        <v>0</v>
      </c>
      <c r="Q61" s="373"/>
      <c r="R61" s="373"/>
      <c r="S61" s="373"/>
      <c r="T61" s="373"/>
      <c r="U61" s="373"/>
      <c r="V61" s="373"/>
      <c r="W61" s="373"/>
      <c r="X61" s="372"/>
      <c r="Y61" s="372"/>
    </row>
    <row r="62" spans="2:25" ht="15">
      <c r="B62" s="77" t="s">
        <v>463</v>
      </c>
      <c r="C62" s="349"/>
      <c r="D62" s="389">
        <f t="shared" si="33"/>
        <v>0</v>
      </c>
      <c r="E62" s="389">
        <f t="shared" si="33"/>
        <v>0</v>
      </c>
      <c r="F62" s="389">
        <f t="shared" ref="F62:O62" si="38">(F$15*F43)/1000000</f>
        <v>0</v>
      </c>
      <c r="G62" s="389">
        <f t="shared" si="38"/>
        <v>0</v>
      </c>
      <c r="H62" s="389">
        <f t="shared" si="38"/>
        <v>0</v>
      </c>
      <c r="I62" s="389">
        <f t="shared" si="38"/>
        <v>0</v>
      </c>
      <c r="J62" s="389">
        <f t="shared" si="38"/>
        <v>0</v>
      </c>
      <c r="K62" s="389">
        <f t="shared" si="38"/>
        <v>0</v>
      </c>
      <c r="L62" s="389">
        <f t="shared" si="38"/>
        <v>0</v>
      </c>
      <c r="M62" s="389">
        <f t="shared" si="38"/>
        <v>0</v>
      </c>
      <c r="N62" s="389">
        <f t="shared" si="38"/>
        <v>0</v>
      </c>
      <c r="O62" s="403">
        <f t="shared" si="38"/>
        <v>0</v>
      </c>
      <c r="P62" s="390">
        <f t="shared" si="35"/>
        <v>0</v>
      </c>
      <c r="Q62" s="373"/>
      <c r="R62" s="373"/>
      <c r="S62" s="373"/>
      <c r="T62" s="373"/>
      <c r="U62" s="373"/>
      <c r="V62" s="373"/>
      <c r="W62" s="373"/>
      <c r="X62" s="372"/>
      <c r="Y62" s="372"/>
    </row>
    <row r="63" spans="2:25" ht="15.75" thickBot="1">
      <c r="B63" s="78" t="s">
        <v>464</v>
      </c>
      <c r="C63" s="79"/>
      <c r="D63" s="389">
        <f t="shared" si="33"/>
        <v>0</v>
      </c>
      <c r="E63" s="389">
        <f t="shared" si="33"/>
        <v>0</v>
      </c>
      <c r="F63" s="391">
        <f t="shared" ref="F63:O63" si="39">(F$15*F44)/1000000</f>
        <v>0</v>
      </c>
      <c r="G63" s="391">
        <f t="shared" si="39"/>
        <v>0</v>
      </c>
      <c r="H63" s="391">
        <f t="shared" si="39"/>
        <v>0</v>
      </c>
      <c r="I63" s="391">
        <f t="shared" si="39"/>
        <v>0</v>
      </c>
      <c r="J63" s="391">
        <f t="shared" si="39"/>
        <v>0</v>
      </c>
      <c r="K63" s="391">
        <f t="shared" si="39"/>
        <v>0</v>
      </c>
      <c r="L63" s="391">
        <f t="shared" si="39"/>
        <v>0</v>
      </c>
      <c r="M63" s="391">
        <f t="shared" si="39"/>
        <v>0</v>
      </c>
      <c r="N63" s="391">
        <f t="shared" si="39"/>
        <v>0</v>
      </c>
      <c r="O63" s="404">
        <f t="shared" si="39"/>
        <v>0</v>
      </c>
      <c r="P63" s="392">
        <f t="shared" si="35"/>
        <v>0</v>
      </c>
      <c r="Q63" s="373"/>
      <c r="R63" s="373"/>
      <c r="S63" s="373"/>
      <c r="T63" s="373"/>
      <c r="U63" s="373"/>
      <c r="V63" s="373"/>
      <c r="W63" s="373"/>
      <c r="X63" s="372"/>
      <c r="Y63" s="372"/>
    </row>
    <row r="64" spans="2:25" ht="15">
      <c r="B64" s="86" t="s">
        <v>217</v>
      </c>
      <c r="C64" s="81" t="s">
        <v>154</v>
      </c>
      <c r="D64" s="393">
        <f>D59*$O$58</f>
        <v>0</v>
      </c>
      <c r="E64" s="393">
        <f t="shared" ref="E64:O64" si="40">E59*$O$58</f>
        <v>0</v>
      </c>
      <c r="F64" s="393">
        <f t="shared" si="40"/>
        <v>0</v>
      </c>
      <c r="G64" s="393">
        <f t="shared" si="40"/>
        <v>0</v>
      </c>
      <c r="H64" s="393">
        <f t="shared" si="40"/>
        <v>0</v>
      </c>
      <c r="I64" s="393">
        <f t="shared" si="40"/>
        <v>0</v>
      </c>
      <c r="J64" s="393">
        <f t="shared" si="40"/>
        <v>0</v>
      </c>
      <c r="K64" s="393">
        <f t="shared" si="40"/>
        <v>0</v>
      </c>
      <c r="L64" s="393">
        <f t="shared" si="40"/>
        <v>0</v>
      </c>
      <c r="M64" s="393">
        <f t="shared" si="40"/>
        <v>0</v>
      </c>
      <c r="N64" s="393">
        <f t="shared" si="40"/>
        <v>0</v>
      </c>
      <c r="O64" s="393">
        <f t="shared" si="40"/>
        <v>0</v>
      </c>
      <c r="P64" s="394">
        <f t="shared" si="35"/>
        <v>0</v>
      </c>
      <c r="Q64" s="373"/>
      <c r="R64" s="373"/>
      <c r="S64" s="373"/>
      <c r="T64" s="373"/>
      <c r="U64" s="373"/>
      <c r="V64" s="373"/>
      <c r="W64" s="373"/>
      <c r="X64" s="372"/>
      <c r="Y64" s="372"/>
    </row>
    <row r="65" spans="2:25" ht="15">
      <c r="B65" s="87"/>
      <c r="C65" s="83" t="s">
        <v>218</v>
      </c>
      <c r="D65" s="395">
        <f>D60*$O$58</f>
        <v>0</v>
      </c>
      <c r="E65" s="395">
        <f t="shared" ref="E65:O65" si="41">E60*$O$58</f>
        <v>0</v>
      </c>
      <c r="F65" s="395">
        <f t="shared" si="41"/>
        <v>0</v>
      </c>
      <c r="G65" s="395">
        <f t="shared" si="41"/>
        <v>0</v>
      </c>
      <c r="H65" s="395">
        <f t="shared" si="41"/>
        <v>0</v>
      </c>
      <c r="I65" s="395">
        <f t="shared" si="41"/>
        <v>0</v>
      </c>
      <c r="J65" s="395">
        <f t="shared" si="41"/>
        <v>0</v>
      </c>
      <c r="K65" s="395">
        <f t="shared" si="41"/>
        <v>0</v>
      </c>
      <c r="L65" s="395">
        <f t="shared" si="41"/>
        <v>0</v>
      </c>
      <c r="M65" s="395">
        <f t="shared" si="41"/>
        <v>0</v>
      </c>
      <c r="N65" s="395">
        <f t="shared" si="41"/>
        <v>0</v>
      </c>
      <c r="O65" s="395">
        <f t="shared" si="41"/>
        <v>0</v>
      </c>
      <c r="P65" s="396">
        <f t="shared" si="35"/>
        <v>0</v>
      </c>
      <c r="Q65" s="373"/>
      <c r="R65" s="373"/>
      <c r="S65" s="373"/>
      <c r="T65" s="373"/>
      <c r="U65" s="373"/>
      <c r="V65" s="373"/>
      <c r="W65" s="373"/>
      <c r="X65" s="372"/>
      <c r="Y65" s="372"/>
    </row>
    <row r="66" spans="2:25" ht="15">
      <c r="B66" s="87"/>
      <c r="C66" s="83" t="s">
        <v>219</v>
      </c>
      <c r="D66" s="395">
        <f>SUM(D61:D63)*$O$58</f>
        <v>0</v>
      </c>
      <c r="E66" s="395">
        <f t="shared" ref="E66:O66" si="42">SUM(E61:E63)*$O$58</f>
        <v>0</v>
      </c>
      <c r="F66" s="395">
        <f t="shared" si="42"/>
        <v>0</v>
      </c>
      <c r="G66" s="395">
        <f t="shared" si="42"/>
        <v>0</v>
      </c>
      <c r="H66" s="395">
        <f t="shared" si="42"/>
        <v>0</v>
      </c>
      <c r="I66" s="395">
        <f t="shared" si="42"/>
        <v>0</v>
      </c>
      <c r="J66" s="395">
        <f t="shared" si="42"/>
        <v>0</v>
      </c>
      <c r="K66" s="395">
        <f t="shared" si="42"/>
        <v>0</v>
      </c>
      <c r="L66" s="395">
        <f t="shared" si="42"/>
        <v>0</v>
      </c>
      <c r="M66" s="395">
        <f t="shared" si="42"/>
        <v>0</v>
      </c>
      <c r="N66" s="395">
        <f t="shared" si="42"/>
        <v>0</v>
      </c>
      <c r="O66" s="395">
        <f t="shared" si="42"/>
        <v>0</v>
      </c>
      <c r="P66" s="396">
        <f t="shared" si="35"/>
        <v>0</v>
      </c>
      <c r="Q66" s="373"/>
      <c r="R66" s="373"/>
      <c r="S66" s="373"/>
      <c r="T66" s="373"/>
      <c r="U66" s="373"/>
      <c r="V66" s="373"/>
      <c r="W66" s="373"/>
      <c r="X66" s="372"/>
      <c r="Y66" s="372"/>
    </row>
    <row r="67" spans="2:25" ht="15.75" thickBot="1">
      <c r="B67" s="88" t="s">
        <v>226</v>
      </c>
      <c r="C67" s="89"/>
      <c r="D67" s="407">
        <f t="shared" ref="D67:O67" si="43">SUM(D64:D66)</f>
        <v>0</v>
      </c>
      <c r="E67" s="407">
        <f t="shared" si="43"/>
        <v>0</v>
      </c>
      <c r="F67" s="407">
        <f t="shared" si="43"/>
        <v>0</v>
      </c>
      <c r="G67" s="407">
        <f t="shared" si="43"/>
        <v>0</v>
      </c>
      <c r="H67" s="407">
        <f t="shared" si="43"/>
        <v>0</v>
      </c>
      <c r="I67" s="407">
        <f t="shared" si="43"/>
        <v>0</v>
      </c>
      <c r="J67" s="407">
        <f t="shared" si="43"/>
        <v>0</v>
      </c>
      <c r="K67" s="407">
        <f t="shared" si="43"/>
        <v>0</v>
      </c>
      <c r="L67" s="407">
        <f t="shared" si="43"/>
        <v>0</v>
      </c>
      <c r="M67" s="407">
        <f t="shared" si="43"/>
        <v>0</v>
      </c>
      <c r="N67" s="407">
        <f t="shared" si="43"/>
        <v>0</v>
      </c>
      <c r="O67" s="408">
        <f t="shared" si="43"/>
        <v>0</v>
      </c>
      <c r="P67" s="399">
        <f t="shared" si="35"/>
        <v>0</v>
      </c>
      <c r="Q67" s="373"/>
      <c r="R67" s="373"/>
      <c r="S67" s="373"/>
      <c r="T67" s="373"/>
      <c r="U67" s="373"/>
      <c r="V67" s="373"/>
      <c r="W67" s="373"/>
      <c r="X67" s="372"/>
      <c r="Y67" s="372"/>
    </row>
    <row r="68" spans="2:25" ht="15">
      <c r="B68" s="370"/>
      <c r="C68" s="371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10"/>
      <c r="Q68" s="373"/>
      <c r="R68" s="373"/>
      <c r="S68" s="373"/>
      <c r="T68" s="373"/>
      <c r="U68" s="373"/>
      <c r="V68" s="373"/>
      <c r="W68" s="373"/>
      <c r="X68" s="372"/>
      <c r="Y68" s="372"/>
    </row>
    <row r="69" spans="2:25" ht="15" hidden="1">
      <c r="B69" s="24"/>
      <c r="C69" s="411" t="s">
        <v>154</v>
      </c>
      <c r="D69" s="412">
        <f>D42+D31+D53+D64</f>
        <v>45000</v>
      </c>
      <c r="E69" s="412">
        <f>E42+E31+E53+E64</f>
        <v>90000</v>
      </c>
      <c r="F69" s="412">
        <f t="shared" ref="F69:O69" si="44">F42+F31+F53+F64</f>
        <v>135000</v>
      </c>
      <c r="G69" s="412">
        <f t="shared" si="44"/>
        <v>180000</v>
      </c>
      <c r="H69" s="412">
        <f t="shared" si="44"/>
        <v>0</v>
      </c>
      <c r="I69" s="412">
        <f t="shared" si="44"/>
        <v>0</v>
      </c>
      <c r="J69" s="412">
        <f t="shared" si="44"/>
        <v>0</v>
      </c>
      <c r="K69" s="412">
        <f t="shared" si="44"/>
        <v>0</v>
      </c>
      <c r="L69" s="412">
        <f t="shared" si="44"/>
        <v>0</v>
      </c>
      <c r="M69" s="412">
        <f t="shared" si="44"/>
        <v>0</v>
      </c>
      <c r="N69" s="412">
        <f t="shared" si="44"/>
        <v>0</v>
      </c>
      <c r="O69" s="412">
        <f t="shared" si="44"/>
        <v>0</v>
      </c>
      <c r="P69" s="400"/>
      <c r="Q69" s="373"/>
      <c r="R69" s="373"/>
      <c r="S69" s="373"/>
      <c r="T69" s="373"/>
      <c r="U69" s="373"/>
      <c r="V69" s="373"/>
      <c r="W69" s="373"/>
      <c r="X69" s="372"/>
      <c r="Y69" s="372"/>
    </row>
    <row r="70" spans="2:25" ht="15" hidden="1">
      <c r="B70" s="24"/>
      <c r="C70" s="411" t="s">
        <v>218</v>
      </c>
      <c r="D70" s="412">
        <f>D43+D32+D54+D65</f>
        <v>90000</v>
      </c>
      <c r="E70" s="412">
        <f t="shared" ref="E70:O70" si="45">E43+E32+E54+E65</f>
        <v>180000</v>
      </c>
      <c r="F70" s="412">
        <f t="shared" si="45"/>
        <v>270000</v>
      </c>
      <c r="G70" s="412">
        <f t="shared" si="45"/>
        <v>360000</v>
      </c>
      <c r="H70" s="412">
        <f t="shared" si="45"/>
        <v>0</v>
      </c>
      <c r="I70" s="412">
        <f t="shared" si="45"/>
        <v>0</v>
      </c>
      <c r="J70" s="412">
        <f t="shared" si="45"/>
        <v>0</v>
      </c>
      <c r="K70" s="412">
        <f t="shared" si="45"/>
        <v>0</v>
      </c>
      <c r="L70" s="412">
        <f t="shared" si="45"/>
        <v>0</v>
      </c>
      <c r="M70" s="412">
        <f t="shared" si="45"/>
        <v>0</v>
      </c>
      <c r="N70" s="412">
        <f t="shared" si="45"/>
        <v>0</v>
      </c>
      <c r="O70" s="412">
        <f t="shared" si="45"/>
        <v>0</v>
      </c>
      <c r="P70" s="400"/>
      <c r="Q70" s="373"/>
      <c r="R70" s="373"/>
      <c r="S70" s="373"/>
      <c r="T70" s="373"/>
      <c r="U70" s="373"/>
      <c r="V70" s="373"/>
      <c r="W70" s="373"/>
      <c r="X70" s="372"/>
      <c r="Y70" s="372"/>
    </row>
    <row r="71" spans="2:25" ht="15" hidden="1">
      <c r="B71" s="24"/>
      <c r="C71" s="411" t="s">
        <v>219</v>
      </c>
      <c r="D71" s="412">
        <f>D44+D33+D55+D66</f>
        <v>279000</v>
      </c>
      <c r="E71" s="412">
        <f t="shared" ref="E71:O71" si="46">E44+E33+E55+E66</f>
        <v>558000</v>
      </c>
      <c r="F71" s="412">
        <f t="shared" si="46"/>
        <v>837000</v>
      </c>
      <c r="G71" s="412">
        <f t="shared" si="46"/>
        <v>1116000</v>
      </c>
      <c r="H71" s="412">
        <f t="shared" si="46"/>
        <v>0</v>
      </c>
      <c r="I71" s="412">
        <f t="shared" si="46"/>
        <v>0</v>
      </c>
      <c r="J71" s="412">
        <f t="shared" si="46"/>
        <v>0</v>
      </c>
      <c r="K71" s="412">
        <f t="shared" si="46"/>
        <v>0</v>
      </c>
      <c r="L71" s="412">
        <f t="shared" si="46"/>
        <v>0</v>
      </c>
      <c r="M71" s="412">
        <f t="shared" si="46"/>
        <v>0</v>
      </c>
      <c r="N71" s="412">
        <f t="shared" si="46"/>
        <v>0</v>
      </c>
      <c r="O71" s="412">
        <f t="shared" si="46"/>
        <v>0</v>
      </c>
      <c r="P71" s="400"/>
      <c r="Q71" s="373"/>
      <c r="R71" s="373"/>
      <c r="S71" s="373"/>
      <c r="T71" s="373"/>
      <c r="U71" s="373"/>
      <c r="V71" s="373"/>
      <c r="W71" s="373"/>
      <c r="X71" s="372"/>
      <c r="Y71" s="372"/>
    </row>
    <row r="72" spans="2:25" ht="15.75" thickBot="1">
      <c r="B72" s="24"/>
      <c r="C72" s="24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373"/>
      <c r="R72" s="373"/>
      <c r="S72" s="373"/>
      <c r="T72" s="373"/>
      <c r="U72" s="373"/>
      <c r="V72" s="373"/>
      <c r="W72" s="373"/>
      <c r="X72" s="372"/>
      <c r="Y72" s="372"/>
    </row>
    <row r="73" spans="2:25" ht="15.75" thickTop="1">
      <c r="B73" s="1008" t="s">
        <v>977</v>
      </c>
      <c r="C73" s="1009"/>
      <c r="D73" s="1009"/>
      <c r="E73" s="1009"/>
      <c r="F73" s="1009"/>
      <c r="G73" s="1009"/>
      <c r="H73" s="1009"/>
      <c r="I73" s="1009"/>
      <c r="J73" s="1009"/>
      <c r="K73" s="1009"/>
      <c r="L73" s="1009"/>
      <c r="M73" s="1009"/>
      <c r="N73" s="1009"/>
      <c r="O73" s="1010"/>
      <c r="P73" s="1086" t="s">
        <v>205</v>
      </c>
      <c r="Q73" s="1087"/>
      <c r="R73" s="373"/>
      <c r="S73" s="373"/>
      <c r="T73" s="373"/>
      <c r="U73" s="373"/>
      <c r="V73" s="373"/>
      <c r="W73" s="373"/>
      <c r="X73" s="372"/>
      <c r="Y73" s="372"/>
    </row>
    <row r="74" spans="2:25" ht="15">
      <c r="B74" s="77" t="s">
        <v>903</v>
      </c>
      <c r="C74" s="505" t="s">
        <v>809</v>
      </c>
      <c r="D74" s="1006" t="s">
        <v>412</v>
      </c>
      <c r="E74" s="1006"/>
      <c r="F74" s="1006"/>
      <c r="G74" s="1006"/>
      <c r="H74" s="1006"/>
      <c r="I74" s="1006"/>
      <c r="J74" s="1006"/>
      <c r="K74" s="1006"/>
      <c r="L74" s="1006"/>
      <c r="M74" s="1006"/>
      <c r="N74" s="1006"/>
      <c r="O74" s="1007"/>
      <c r="P74" s="48" t="s">
        <v>217</v>
      </c>
      <c r="Q74" s="204" t="s">
        <v>413</v>
      </c>
      <c r="R74" s="373"/>
      <c r="S74" s="373"/>
      <c r="T74" s="373"/>
      <c r="U74" s="373"/>
      <c r="V74" s="373"/>
      <c r="W74" s="373"/>
      <c r="X74" s="372"/>
      <c r="Y74" s="372"/>
    </row>
    <row r="75" spans="2:25" ht="15">
      <c r="B75" s="233">
        <v>1500</v>
      </c>
      <c r="C75" s="221" t="s">
        <v>1080</v>
      </c>
      <c r="D75" s="413">
        <v>10.75</v>
      </c>
      <c r="E75" s="413">
        <v>21.5</v>
      </c>
      <c r="F75" s="413">
        <v>32.25</v>
      </c>
      <c r="G75" s="413">
        <v>43</v>
      </c>
      <c r="H75" s="413"/>
      <c r="I75" s="413"/>
      <c r="J75" s="413"/>
      <c r="K75" s="413"/>
      <c r="L75" s="413"/>
      <c r="M75" s="413"/>
      <c r="N75" s="413"/>
      <c r="O75" s="414"/>
      <c r="P75" s="415">
        <f>Q75*B75</f>
        <v>8062.5</v>
      </c>
      <c r="Q75" s="416">
        <f t="shared" ref="Q75:Q105" si="47">IF($E$13="Liters",(((SUMPRODUCT(D75:O75,$D$18:$O$18)/1000))),((SUMPRODUCT(D75:O75,$D$18:$O$18)/1000000)))</f>
        <v>5.375</v>
      </c>
      <c r="R75" s="373"/>
      <c r="S75" s="373"/>
      <c r="T75" s="373"/>
      <c r="U75" s="373"/>
      <c r="V75" s="373"/>
      <c r="W75" s="373"/>
      <c r="X75" s="372"/>
      <c r="Y75" s="372"/>
    </row>
    <row r="76" spans="2:25" ht="15">
      <c r="B76" s="233">
        <v>1500</v>
      </c>
      <c r="C76" s="221" t="s">
        <v>1081</v>
      </c>
      <c r="D76" s="413">
        <v>2.5</v>
      </c>
      <c r="E76" s="413">
        <v>5</v>
      </c>
      <c r="F76" s="413">
        <v>7.5</v>
      </c>
      <c r="G76" s="413">
        <v>10</v>
      </c>
      <c r="H76" s="413"/>
      <c r="I76" s="413"/>
      <c r="J76" s="413"/>
      <c r="K76" s="413"/>
      <c r="L76" s="413"/>
      <c r="M76" s="413"/>
      <c r="N76" s="413"/>
      <c r="O76" s="414"/>
      <c r="P76" s="415">
        <f t="shared" ref="P76:P105" si="48">Q76*B76</f>
        <v>1875</v>
      </c>
      <c r="Q76" s="416">
        <f t="shared" si="47"/>
        <v>1.25</v>
      </c>
      <c r="R76" s="373"/>
      <c r="S76" s="373"/>
      <c r="T76" s="373"/>
      <c r="U76" s="373"/>
      <c r="V76" s="373"/>
      <c r="W76" s="373"/>
      <c r="X76" s="372"/>
      <c r="Y76" s="372"/>
    </row>
    <row r="77" spans="2:25" ht="15">
      <c r="B77" s="233">
        <v>630</v>
      </c>
      <c r="C77" s="221" t="s">
        <v>1075</v>
      </c>
      <c r="D77" s="413">
        <v>5.19</v>
      </c>
      <c r="E77" s="413">
        <v>10.375</v>
      </c>
      <c r="F77" s="413">
        <v>15.57</v>
      </c>
      <c r="G77" s="413">
        <v>20.76</v>
      </c>
      <c r="H77" s="413"/>
      <c r="I77" s="413"/>
      <c r="J77" s="413"/>
      <c r="K77" s="413"/>
      <c r="L77" s="413"/>
      <c r="M77" s="413"/>
      <c r="N77" s="413"/>
      <c r="O77" s="414"/>
      <c r="P77" s="415">
        <f t="shared" si="48"/>
        <v>1634.6924999999999</v>
      </c>
      <c r="Q77" s="416">
        <f t="shared" si="47"/>
        <v>2.5947499999999999</v>
      </c>
      <c r="R77" s="373"/>
      <c r="S77" s="373"/>
      <c r="T77" s="373"/>
      <c r="U77" s="373"/>
      <c r="V77" s="373"/>
      <c r="W77" s="373"/>
      <c r="X77" s="372"/>
      <c r="Y77" s="372"/>
    </row>
    <row r="78" spans="2:25" ht="15">
      <c r="B78" s="233">
        <v>480</v>
      </c>
      <c r="C78" s="221" t="s">
        <v>1076</v>
      </c>
      <c r="D78" s="413">
        <v>0.32</v>
      </c>
      <c r="E78" s="413">
        <v>0.625</v>
      </c>
      <c r="F78" s="413">
        <v>0.95</v>
      </c>
      <c r="G78" s="413">
        <v>1.26</v>
      </c>
      <c r="H78" s="413"/>
      <c r="I78" s="413"/>
      <c r="J78" s="413"/>
      <c r="K78" s="413"/>
      <c r="L78" s="413"/>
      <c r="M78" s="413"/>
      <c r="N78" s="413"/>
      <c r="O78" s="414"/>
      <c r="P78" s="415">
        <f t="shared" si="48"/>
        <v>75.72</v>
      </c>
      <c r="Q78" s="416">
        <f t="shared" si="47"/>
        <v>0.15775</v>
      </c>
      <c r="R78" s="373"/>
      <c r="S78" s="373"/>
      <c r="T78" s="373"/>
      <c r="U78" s="373"/>
      <c r="V78" s="373"/>
      <c r="W78" s="373"/>
      <c r="X78" s="372"/>
      <c r="Y78" s="372"/>
    </row>
    <row r="79" spans="2:25" ht="15">
      <c r="B79" s="233">
        <v>3500</v>
      </c>
      <c r="C79" s="221" t="s">
        <v>1082</v>
      </c>
      <c r="D79" s="413">
        <v>8.07</v>
      </c>
      <c r="E79" s="413">
        <v>16.125</v>
      </c>
      <c r="F79" s="413">
        <v>24.2</v>
      </c>
      <c r="G79" s="413">
        <v>32.26</v>
      </c>
      <c r="H79" s="413"/>
      <c r="I79" s="413"/>
      <c r="J79" s="413"/>
      <c r="K79" s="413"/>
      <c r="L79" s="413"/>
      <c r="M79" s="413"/>
      <c r="N79" s="413"/>
      <c r="O79" s="414"/>
      <c r="P79" s="415">
        <f t="shared" si="48"/>
        <v>14114.625</v>
      </c>
      <c r="Q79" s="416">
        <f t="shared" si="47"/>
        <v>4.0327500000000001</v>
      </c>
      <c r="R79" s="373"/>
      <c r="S79" s="373"/>
      <c r="T79" s="373"/>
      <c r="U79" s="373"/>
      <c r="V79" s="373"/>
      <c r="W79" s="373"/>
      <c r="X79" s="372"/>
      <c r="Y79" s="372"/>
    </row>
    <row r="80" spans="2:25" ht="15">
      <c r="B80" s="233"/>
      <c r="C80" s="221"/>
      <c r="D80" s="413"/>
      <c r="E80" s="413"/>
      <c r="F80" s="413"/>
      <c r="G80" s="413"/>
      <c r="H80" s="413"/>
      <c r="I80" s="413"/>
      <c r="J80" s="413"/>
      <c r="K80" s="413"/>
      <c r="L80" s="413"/>
      <c r="M80" s="413"/>
      <c r="N80" s="413"/>
      <c r="O80" s="414"/>
      <c r="P80" s="415">
        <f t="shared" si="48"/>
        <v>0</v>
      </c>
      <c r="Q80" s="416">
        <f t="shared" si="47"/>
        <v>0</v>
      </c>
      <c r="R80" s="373"/>
      <c r="S80" s="373"/>
      <c r="T80" s="373"/>
      <c r="U80" s="373"/>
      <c r="V80" s="373"/>
      <c r="W80" s="373"/>
      <c r="X80" s="372"/>
      <c r="Y80" s="372"/>
    </row>
    <row r="81" spans="2:25" ht="15">
      <c r="B81" s="233"/>
      <c r="C81" s="221"/>
      <c r="D81" s="413"/>
      <c r="E81" s="413"/>
      <c r="F81" s="413"/>
      <c r="G81" s="413"/>
      <c r="H81" s="413"/>
      <c r="I81" s="413"/>
      <c r="J81" s="413"/>
      <c r="K81" s="413"/>
      <c r="L81" s="413"/>
      <c r="M81" s="413"/>
      <c r="N81" s="413"/>
      <c r="O81" s="414"/>
      <c r="P81" s="415">
        <f t="shared" si="48"/>
        <v>0</v>
      </c>
      <c r="Q81" s="416">
        <f t="shared" si="47"/>
        <v>0</v>
      </c>
      <c r="R81" s="373"/>
      <c r="S81" s="373"/>
      <c r="T81" s="373"/>
      <c r="U81" s="373"/>
      <c r="V81" s="373"/>
      <c r="W81" s="373"/>
      <c r="X81" s="372"/>
      <c r="Y81" s="372"/>
    </row>
    <row r="82" spans="2:25" ht="15">
      <c r="B82" s="233"/>
      <c r="C82" s="221"/>
      <c r="D82" s="413"/>
      <c r="E82" s="413"/>
      <c r="F82" s="413"/>
      <c r="G82" s="413"/>
      <c r="H82" s="413"/>
      <c r="I82" s="413"/>
      <c r="J82" s="413"/>
      <c r="K82" s="413"/>
      <c r="L82" s="413"/>
      <c r="M82" s="413"/>
      <c r="N82" s="413"/>
      <c r="O82" s="414"/>
      <c r="P82" s="415">
        <f t="shared" si="48"/>
        <v>0</v>
      </c>
      <c r="Q82" s="416">
        <f t="shared" si="47"/>
        <v>0</v>
      </c>
      <c r="R82" s="373"/>
      <c r="S82" s="373"/>
      <c r="T82" s="373"/>
      <c r="U82" s="373"/>
      <c r="V82" s="373"/>
      <c r="W82" s="373"/>
      <c r="X82" s="372"/>
      <c r="Y82" s="372"/>
    </row>
    <row r="83" spans="2:25" ht="15">
      <c r="B83" s="233"/>
      <c r="C83" s="221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4"/>
      <c r="P83" s="415">
        <f t="shared" si="48"/>
        <v>0</v>
      </c>
      <c r="Q83" s="416">
        <f t="shared" si="47"/>
        <v>0</v>
      </c>
      <c r="R83" s="373"/>
      <c r="S83" s="373"/>
      <c r="T83" s="373"/>
      <c r="U83" s="373"/>
      <c r="V83" s="373"/>
      <c r="W83" s="373"/>
      <c r="X83" s="372"/>
      <c r="Y83" s="372"/>
    </row>
    <row r="84" spans="2:25" ht="15">
      <c r="B84" s="233"/>
      <c r="C84" s="221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4"/>
      <c r="P84" s="415">
        <f t="shared" si="48"/>
        <v>0</v>
      </c>
      <c r="Q84" s="416">
        <f t="shared" si="47"/>
        <v>0</v>
      </c>
      <c r="R84" s="373"/>
      <c r="S84" s="373"/>
      <c r="T84" s="373"/>
      <c r="U84" s="373"/>
      <c r="V84" s="373"/>
      <c r="W84" s="373"/>
      <c r="X84" s="372"/>
      <c r="Y84" s="372"/>
    </row>
    <row r="85" spans="2:25" ht="15">
      <c r="B85" s="233"/>
      <c r="C85" s="221"/>
      <c r="D85" s="413"/>
      <c r="E85" s="413"/>
      <c r="F85" s="413"/>
      <c r="G85" s="413"/>
      <c r="H85" s="413"/>
      <c r="I85" s="413"/>
      <c r="J85" s="413"/>
      <c r="K85" s="413"/>
      <c r="L85" s="413"/>
      <c r="M85" s="413"/>
      <c r="N85" s="413"/>
      <c r="O85" s="414"/>
      <c r="P85" s="415">
        <f t="shared" si="48"/>
        <v>0</v>
      </c>
      <c r="Q85" s="416">
        <f t="shared" si="47"/>
        <v>0</v>
      </c>
      <c r="R85" s="373"/>
      <c r="S85" s="373"/>
      <c r="T85" s="373"/>
      <c r="U85" s="373"/>
      <c r="V85" s="373"/>
      <c r="W85" s="373"/>
      <c r="X85" s="372"/>
      <c r="Y85" s="372"/>
    </row>
    <row r="86" spans="2:25" ht="15">
      <c r="B86" s="233"/>
      <c r="C86" s="221"/>
      <c r="D86" s="413"/>
      <c r="E86" s="413"/>
      <c r="F86" s="413"/>
      <c r="G86" s="413"/>
      <c r="H86" s="413"/>
      <c r="I86" s="413"/>
      <c r="J86" s="413"/>
      <c r="K86" s="413"/>
      <c r="L86" s="413"/>
      <c r="M86" s="413"/>
      <c r="N86" s="413"/>
      <c r="O86" s="414"/>
      <c r="P86" s="415">
        <f t="shared" si="48"/>
        <v>0</v>
      </c>
      <c r="Q86" s="416">
        <f t="shared" si="47"/>
        <v>0</v>
      </c>
      <c r="R86" s="373"/>
      <c r="S86" s="373"/>
      <c r="T86" s="373"/>
      <c r="U86" s="373"/>
      <c r="V86" s="373"/>
      <c r="W86" s="373"/>
      <c r="X86" s="372"/>
      <c r="Y86" s="372"/>
    </row>
    <row r="87" spans="2:25" ht="15">
      <c r="B87" s="233"/>
      <c r="C87" s="221"/>
      <c r="D87" s="413"/>
      <c r="E87" s="413"/>
      <c r="F87" s="413"/>
      <c r="G87" s="413"/>
      <c r="I87" s="413"/>
      <c r="J87" s="413"/>
      <c r="K87" s="413"/>
      <c r="L87" s="413"/>
      <c r="M87" s="413"/>
      <c r="N87" s="413"/>
      <c r="O87" s="414"/>
      <c r="P87" s="415">
        <f t="shared" si="48"/>
        <v>0</v>
      </c>
      <c r="Q87" s="416">
        <f t="shared" si="47"/>
        <v>0</v>
      </c>
      <c r="R87" s="373"/>
      <c r="S87" s="373"/>
      <c r="T87" s="373"/>
      <c r="U87" s="373"/>
      <c r="V87" s="373"/>
      <c r="W87" s="373"/>
      <c r="X87" s="372"/>
      <c r="Y87" s="372"/>
    </row>
    <row r="88" spans="2:25" ht="15">
      <c r="B88" s="233"/>
      <c r="C88" s="221"/>
      <c r="D88" s="413"/>
      <c r="E88" s="413"/>
      <c r="F88" s="413"/>
      <c r="G88" s="413"/>
      <c r="I88" s="413"/>
      <c r="J88" s="413"/>
      <c r="K88" s="413"/>
      <c r="L88" s="413"/>
      <c r="M88" s="413"/>
      <c r="N88" s="413"/>
      <c r="O88" s="414"/>
      <c r="P88" s="415">
        <f t="shared" si="48"/>
        <v>0</v>
      </c>
      <c r="Q88" s="416">
        <f t="shared" si="47"/>
        <v>0</v>
      </c>
      <c r="R88" s="373"/>
      <c r="S88" s="373"/>
      <c r="T88" s="373"/>
      <c r="U88" s="373"/>
      <c r="V88" s="373"/>
      <c r="W88" s="373"/>
      <c r="X88" s="372"/>
      <c r="Y88" s="372"/>
    </row>
    <row r="89" spans="2:25" ht="15">
      <c r="B89" s="233"/>
      <c r="C89" s="105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4"/>
      <c r="P89" s="415">
        <f t="shared" si="48"/>
        <v>0</v>
      </c>
      <c r="Q89" s="416">
        <f t="shared" si="47"/>
        <v>0</v>
      </c>
      <c r="R89" s="373"/>
      <c r="S89" s="373"/>
      <c r="T89" s="373"/>
      <c r="U89" s="373"/>
      <c r="V89" s="373"/>
      <c r="W89" s="373"/>
      <c r="X89" s="372"/>
      <c r="Y89" s="372"/>
    </row>
    <row r="90" spans="2:25" ht="15">
      <c r="B90" s="233"/>
      <c r="C90" s="105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4"/>
      <c r="P90" s="415">
        <f t="shared" si="48"/>
        <v>0</v>
      </c>
      <c r="Q90" s="416">
        <f t="shared" si="47"/>
        <v>0</v>
      </c>
      <c r="R90" s="373"/>
      <c r="S90" s="373"/>
      <c r="T90" s="373"/>
      <c r="U90" s="373"/>
      <c r="V90" s="373"/>
      <c r="W90" s="373"/>
      <c r="X90" s="372"/>
      <c r="Y90" s="372"/>
    </row>
    <row r="91" spans="2:25" ht="15">
      <c r="B91" s="233"/>
      <c r="C91" s="105"/>
      <c r="D91" s="413"/>
      <c r="E91" s="413"/>
      <c r="F91" s="413"/>
      <c r="G91" s="413"/>
      <c r="H91" s="413"/>
      <c r="I91" s="413"/>
      <c r="J91" s="413"/>
      <c r="K91" s="413"/>
      <c r="L91" s="413"/>
      <c r="M91" s="413"/>
      <c r="N91" s="413"/>
      <c r="O91" s="414"/>
      <c r="P91" s="415">
        <f t="shared" si="48"/>
        <v>0</v>
      </c>
      <c r="Q91" s="416">
        <f t="shared" si="47"/>
        <v>0</v>
      </c>
      <c r="R91" s="373"/>
      <c r="S91" s="373"/>
      <c r="T91" s="373"/>
      <c r="U91" s="373"/>
      <c r="V91" s="373"/>
      <c r="W91" s="373"/>
      <c r="X91" s="372"/>
      <c r="Y91" s="372"/>
    </row>
    <row r="92" spans="2:25" ht="15">
      <c r="B92" s="233"/>
      <c r="C92" s="105"/>
      <c r="D92" s="413"/>
      <c r="E92" s="413"/>
      <c r="F92" s="413"/>
      <c r="G92" s="413"/>
      <c r="H92" s="413"/>
      <c r="I92" s="413"/>
      <c r="J92" s="413"/>
      <c r="K92" s="413"/>
      <c r="L92" s="413"/>
      <c r="M92" s="413"/>
      <c r="N92" s="413"/>
      <c r="O92" s="414"/>
      <c r="P92" s="415">
        <f t="shared" ref="P92:P102" si="49">Q92*B92</f>
        <v>0</v>
      </c>
      <c r="Q92" s="416">
        <f t="shared" si="47"/>
        <v>0</v>
      </c>
      <c r="R92" s="373"/>
      <c r="S92" s="373"/>
      <c r="T92" s="373"/>
      <c r="U92" s="373"/>
      <c r="V92" s="373"/>
      <c r="W92" s="373"/>
      <c r="X92" s="372"/>
      <c r="Y92" s="372"/>
    </row>
    <row r="93" spans="2:25" ht="15">
      <c r="B93" s="233"/>
      <c r="C93" s="105"/>
      <c r="D93" s="413"/>
      <c r="E93" s="413"/>
      <c r="F93" s="413"/>
      <c r="G93" s="413"/>
      <c r="H93" s="413"/>
      <c r="I93" s="413"/>
      <c r="J93" s="413"/>
      <c r="K93" s="413"/>
      <c r="L93" s="413"/>
      <c r="M93" s="413"/>
      <c r="N93" s="413"/>
      <c r="O93" s="414"/>
      <c r="P93" s="415">
        <f t="shared" si="49"/>
        <v>0</v>
      </c>
      <c r="Q93" s="416">
        <f t="shared" si="47"/>
        <v>0</v>
      </c>
      <c r="R93" s="373"/>
      <c r="S93" s="373"/>
      <c r="T93" s="373"/>
      <c r="U93" s="373"/>
      <c r="V93" s="373"/>
      <c r="W93" s="373"/>
      <c r="X93" s="372"/>
      <c r="Y93" s="372"/>
    </row>
    <row r="94" spans="2:25" ht="15">
      <c r="B94" s="233"/>
      <c r="C94" s="105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4"/>
      <c r="P94" s="415">
        <f t="shared" si="49"/>
        <v>0</v>
      </c>
      <c r="Q94" s="416">
        <f t="shared" si="47"/>
        <v>0</v>
      </c>
      <c r="R94" s="373"/>
      <c r="S94" s="373"/>
      <c r="T94" s="373"/>
      <c r="U94" s="373"/>
      <c r="V94" s="373"/>
      <c r="W94" s="373"/>
      <c r="X94" s="372"/>
      <c r="Y94" s="372"/>
    </row>
    <row r="95" spans="2:25" ht="15">
      <c r="B95" s="233"/>
      <c r="C95" s="105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3"/>
      <c r="O95" s="414"/>
      <c r="P95" s="415">
        <f t="shared" si="49"/>
        <v>0</v>
      </c>
      <c r="Q95" s="416">
        <f t="shared" si="47"/>
        <v>0</v>
      </c>
      <c r="R95" s="373"/>
      <c r="S95" s="373"/>
      <c r="T95" s="373"/>
      <c r="U95" s="373"/>
      <c r="V95" s="373"/>
      <c r="W95" s="373"/>
      <c r="X95" s="372"/>
      <c r="Y95" s="372"/>
    </row>
    <row r="96" spans="2:25" ht="15">
      <c r="B96" s="233"/>
      <c r="C96" s="105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4"/>
      <c r="P96" s="415">
        <f t="shared" si="49"/>
        <v>0</v>
      </c>
      <c r="Q96" s="416">
        <f t="shared" si="47"/>
        <v>0</v>
      </c>
      <c r="R96" s="373"/>
      <c r="S96" s="373"/>
      <c r="T96" s="373"/>
      <c r="U96" s="373"/>
      <c r="V96" s="373"/>
      <c r="W96" s="373"/>
      <c r="X96" s="372"/>
      <c r="Y96" s="372"/>
    </row>
    <row r="97" spans="2:25" ht="15">
      <c r="B97" s="233"/>
      <c r="C97" s="105"/>
      <c r="D97" s="413"/>
      <c r="E97" s="413"/>
      <c r="F97" s="413"/>
      <c r="G97" s="413"/>
      <c r="H97" s="413"/>
      <c r="I97" s="413"/>
      <c r="J97" s="413"/>
      <c r="K97" s="413"/>
      <c r="L97" s="413"/>
      <c r="M97" s="413"/>
      <c r="N97" s="413"/>
      <c r="O97" s="414"/>
      <c r="P97" s="415">
        <f t="shared" si="49"/>
        <v>0</v>
      </c>
      <c r="Q97" s="416">
        <f t="shared" si="47"/>
        <v>0</v>
      </c>
      <c r="R97" s="373"/>
      <c r="S97" s="373"/>
      <c r="T97" s="373"/>
      <c r="U97" s="373"/>
      <c r="V97" s="373"/>
      <c r="W97" s="373"/>
      <c r="X97" s="372"/>
      <c r="Y97" s="372"/>
    </row>
    <row r="98" spans="2:25" ht="15">
      <c r="B98" s="233"/>
      <c r="C98" s="105"/>
      <c r="D98" s="413"/>
      <c r="E98" s="413"/>
      <c r="F98" s="413"/>
      <c r="G98" s="413"/>
      <c r="H98" s="413"/>
      <c r="I98" s="413"/>
      <c r="J98" s="413"/>
      <c r="K98" s="413"/>
      <c r="L98" s="413"/>
      <c r="M98" s="413"/>
      <c r="N98" s="413"/>
      <c r="O98" s="414"/>
      <c r="P98" s="415">
        <f t="shared" si="49"/>
        <v>0</v>
      </c>
      <c r="Q98" s="416">
        <f t="shared" si="47"/>
        <v>0</v>
      </c>
      <c r="R98" s="373"/>
      <c r="S98" s="373"/>
      <c r="T98" s="373"/>
      <c r="U98" s="373"/>
      <c r="V98" s="373"/>
      <c r="W98" s="373"/>
      <c r="X98" s="372"/>
      <c r="Y98" s="372"/>
    </row>
    <row r="99" spans="2:25" ht="15">
      <c r="B99" s="233"/>
      <c r="C99" s="105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4"/>
      <c r="P99" s="415">
        <f t="shared" si="49"/>
        <v>0</v>
      </c>
      <c r="Q99" s="416">
        <f t="shared" si="47"/>
        <v>0</v>
      </c>
      <c r="R99" s="373"/>
      <c r="S99" s="373"/>
      <c r="T99" s="373"/>
      <c r="U99" s="373"/>
      <c r="V99" s="373"/>
      <c r="W99" s="373"/>
      <c r="X99" s="372"/>
      <c r="Y99" s="372"/>
    </row>
    <row r="100" spans="2:25" ht="15">
      <c r="B100" s="233"/>
      <c r="C100" s="105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5">
        <f t="shared" si="49"/>
        <v>0</v>
      </c>
      <c r="Q100" s="416">
        <f t="shared" si="47"/>
        <v>0</v>
      </c>
      <c r="R100" s="373"/>
      <c r="S100" s="373"/>
      <c r="T100" s="373"/>
      <c r="U100" s="373"/>
      <c r="V100" s="373"/>
      <c r="W100" s="373"/>
      <c r="X100" s="372"/>
      <c r="Y100" s="372"/>
    </row>
    <row r="101" spans="2:25" ht="15">
      <c r="B101" s="233"/>
      <c r="C101" s="105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4"/>
      <c r="P101" s="415">
        <f t="shared" si="49"/>
        <v>0</v>
      </c>
      <c r="Q101" s="416">
        <f t="shared" si="47"/>
        <v>0</v>
      </c>
      <c r="R101" s="373"/>
      <c r="S101" s="373"/>
      <c r="T101" s="373"/>
      <c r="U101" s="373"/>
      <c r="V101" s="373"/>
      <c r="W101" s="373"/>
      <c r="X101" s="372"/>
      <c r="Y101" s="372"/>
    </row>
    <row r="102" spans="2:25" ht="15">
      <c r="B102" s="233"/>
      <c r="C102" s="105"/>
      <c r="D102" s="413"/>
      <c r="E102" s="413"/>
      <c r="F102" s="413"/>
      <c r="G102" s="413"/>
      <c r="H102" s="413"/>
      <c r="I102" s="413"/>
      <c r="J102" s="413"/>
      <c r="K102" s="413"/>
      <c r="L102" s="413"/>
      <c r="M102" s="413"/>
      <c r="N102" s="413"/>
      <c r="O102" s="414"/>
      <c r="P102" s="415">
        <f t="shared" si="49"/>
        <v>0</v>
      </c>
      <c r="Q102" s="416">
        <f t="shared" si="47"/>
        <v>0</v>
      </c>
      <c r="R102" s="373"/>
      <c r="S102" s="373"/>
      <c r="T102" s="373"/>
      <c r="U102" s="373"/>
      <c r="V102" s="373"/>
      <c r="W102" s="373"/>
      <c r="X102" s="372"/>
      <c r="Y102" s="372"/>
    </row>
    <row r="103" spans="2:25" ht="15">
      <c r="B103" s="233"/>
      <c r="C103" s="105"/>
      <c r="D103" s="413"/>
      <c r="E103" s="413"/>
      <c r="F103" s="413"/>
      <c r="G103" s="413"/>
      <c r="H103" s="413"/>
      <c r="I103" s="413"/>
      <c r="J103" s="413"/>
      <c r="K103" s="413"/>
      <c r="L103" s="413"/>
      <c r="M103" s="413"/>
      <c r="N103" s="413"/>
      <c r="O103" s="414"/>
      <c r="P103" s="415">
        <f t="shared" si="48"/>
        <v>0</v>
      </c>
      <c r="Q103" s="416">
        <f t="shared" si="47"/>
        <v>0</v>
      </c>
      <c r="R103" s="373"/>
      <c r="S103" s="373"/>
      <c r="T103" s="373"/>
      <c r="U103" s="373"/>
      <c r="V103" s="373"/>
      <c r="W103" s="373"/>
      <c r="X103" s="372"/>
      <c r="Y103" s="372"/>
    </row>
    <row r="104" spans="2:25" ht="15.75" thickBot="1">
      <c r="B104" s="233"/>
      <c r="C104" s="105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3"/>
      <c r="O104" s="414"/>
      <c r="P104" s="415">
        <f t="shared" si="48"/>
        <v>0</v>
      </c>
      <c r="Q104" s="416">
        <f t="shared" si="47"/>
        <v>0</v>
      </c>
      <c r="R104" s="373"/>
      <c r="S104" s="373"/>
      <c r="T104" s="373"/>
      <c r="U104" s="373"/>
      <c r="V104" s="373"/>
      <c r="W104" s="373"/>
      <c r="X104" s="372"/>
      <c r="Y104" s="372"/>
    </row>
    <row r="105" spans="2:25" ht="15.75" thickTop="1">
      <c r="B105" s="233"/>
      <c r="C105" s="105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3"/>
      <c r="O105" s="414"/>
      <c r="P105" s="415">
        <f t="shared" si="48"/>
        <v>0</v>
      </c>
      <c r="Q105" s="416">
        <f t="shared" si="47"/>
        <v>0</v>
      </c>
      <c r="R105" s="1005" t="s">
        <v>810</v>
      </c>
      <c r="S105" s="1003"/>
      <c r="T105" s="1003" t="s">
        <v>811</v>
      </c>
      <c r="U105" s="1004"/>
      <c r="V105" s="373"/>
      <c r="W105" s="373"/>
      <c r="X105" s="372"/>
      <c r="Y105" s="372"/>
    </row>
    <row r="106" spans="2:25" ht="15">
      <c r="B106" s="77" t="s">
        <v>903</v>
      </c>
      <c r="C106" s="359" t="s">
        <v>808</v>
      </c>
      <c r="D106" s="1088" t="s">
        <v>412</v>
      </c>
      <c r="E106" s="1088"/>
      <c r="F106" s="1088"/>
      <c r="G106" s="1088"/>
      <c r="H106" s="1088"/>
      <c r="I106" s="1088"/>
      <c r="J106" s="1088"/>
      <c r="K106" s="1088"/>
      <c r="L106" s="1088"/>
      <c r="M106" s="1088"/>
      <c r="N106" s="1088"/>
      <c r="O106" s="1089"/>
      <c r="P106" s="48" t="s">
        <v>217</v>
      </c>
      <c r="Q106" s="204" t="s">
        <v>413</v>
      </c>
      <c r="R106" s="205" t="s">
        <v>414</v>
      </c>
      <c r="S106" s="50" t="s">
        <v>219</v>
      </c>
      <c r="T106" s="49" t="s">
        <v>414</v>
      </c>
      <c r="U106" s="206" t="s">
        <v>219</v>
      </c>
      <c r="V106" s="373"/>
      <c r="W106" s="373"/>
      <c r="X106" s="372"/>
      <c r="Y106" s="372"/>
    </row>
    <row r="107" spans="2:25" ht="15">
      <c r="B107" s="233">
        <v>1500</v>
      </c>
      <c r="C107" s="221" t="s">
        <v>1080</v>
      </c>
      <c r="D107" s="413">
        <v>10.75</v>
      </c>
      <c r="E107" s="413">
        <v>21.5</v>
      </c>
      <c r="F107" s="413">
        <v>32.25</v>
      </c>
      <c r="G107" s="413">
        <v>43</v>
      </c>
      <c r="H107" s="417"/>
      <c r="I107" s="417"/>
      <c r="J107" s="417"/>
      <c r="K107" s="417"/>
      <c r="L107" s="417"/>
      <c r="M107" s="417"/>
      <c r="N107" s="417"/>
      <c r="O107" s="418"/>
      <c r="P107" s="415">
        <f>SUM(R107:S107)</f>
        <v>66112.5</v>
      </c>
      <c r="Q107" s="416">
        <f>SUM(T107:U107)</f>
        <v>44.075000000000003</v>
      </c>
      <c r="R107" s="419">
        <f>IF(ISBLANK(C107),"",T107*$B107)</f>
        <v>16125</v>
      </c>
      <c r="S107" s="420">
        <f>IF(ISBLANK(C107),"",U107*$B107)</f>
        <v>49987.500000000007</v>
      </c>
      <c r="T107" s="421">
        <f t="shared" ref="T107:T126" si="50">IF($E$13="Liters",(((SUMPRODUCT(D107:O107,$D$19:$O$19))/1000)),((SUMPRODUCT(D107:O107,$D$19:$O$19))/1000000))</f>
        <v>10.75</v>
      </c>
      <c r="U107" s="422">
        <f>IF(E13="Liters",(((SUMPRODUCT(D107:O107,$D$23:$O$23))/1000)),(((SUMPRODUCT(D107:O107,$D$23:$O$23))/1000000)))</f>
        <v>33.325000000000003</v>
      </c>
      <c r="V107" s="373"/>
      <c r="W107" s="373"/>
      <c r="X107" s="372"/>
      <c r="Y107" s="372"/>
    </row>
    <row r="108" spans="2:25" ht="15">
      <c r="B108" s="233">
        <v>1500</v>
      </c>
      <c r="C108" s="221" t="s">
        <v>1081</v>
      </c>
      <c r="D108" s="413">
        <v>2.5</v>
      </c>
      <c r="E108" s="413">
        <v>5</v>
      </c>
      <c r="F108" s="413">
        <v>7.5</v>
      </c>
      <c r="G108" s="413">
        <v>10</v>
      </c>
      <c r="H108" s="417"/>
      <c r="I108" s="417"/>
      <c r="J108" s="417"/>
      <c r="K108" s="417"/>
      <c r="L108" s="417"/>
      <c r="M108" s="417"/>
      <c r="N108" s="417"/>
      <c r="O108" s="418"/>
      <c r="P108" s="415">
        <f>SUM(R108:S108)</f>
        <v>15375</v>
      </c>
      <c r="Q108" s="416">
        <f>SUM(T108:U108)</f>
        <v>10.25</v>
      </c>
      <c r="R108" s="419">
        <f t="shared" ref="R108:R126" si="51">IF(ISBLANK(C108),"",T108*$B108)</f>
        <v>3750</v>
      </c>
      <c r="S108" s="420">
        <f>IF(ISBLANK(C108),"",U108*$B108)</f>
        <v>11625</v>
      </c>
      <c r="T108" s="421">
        <f t="shared" si="50"/>
        <v>2.5</v>
      </c>
      <c r="U108" s="422">
        <f>IF(E14="Liters",(((SUMPRODUCT(D108:O108,$D$23:$O$23))/1000)),(((SUMPRODUCT(D108:O108,$D$23:$O$23))/1000000)))</f>
        <v>7.75</v>
      </c>
      <c r="V108" s="373"/>
      <c r="W108" s="373"/>
      <c r="X108" s="372"/>
      <c r="Y108" s="372"/>
    </row>
    <row r="109" spans="2:25" ht="15">
      <c r="B109" s="233">
        <v>630</v>
      </c>
      <c r="C109" s="221" t="s">
        <v>1075</v>
      </c>
      <c r="D109" s="413">
        <v>5.19</v>
      </c>
      <c r="E109" s="413">
        <v>10.375</v>
      </c>
      <c r="F109" s="413">
        <v>15.57</v>
      </c>
      <c r="G109" s="413">
        <v>20.76</v>
      </c>
      <c r="H109" s="417"/>
      <c r="I109" s="417"/>
      <c r="J109" s="417"/>
      <c r="K109" s="417"/>
      <c r="L109" s="417"/>
      <c r="M109" s="417"/>
      <c r="N109" s="417"/>
      <c r="O109" s="418"/>
      <c r="P109" s="415">
        <f>SUM(R109:S109)</f>
        <v>13404.478500000001</v>
      </c>
      <c r="Q109" s="416">
        <f>SUM(T109:U109)</f>
        <v>21.276949999999999</v>
      </c>
      <c r="R109" s="419">
        <f t="shared" si="51"/>
        <v>3269.3849999999998</v>
      </c>
      <c r="S109" s="420">
        <f t="shared" ref="S109:S126" si="52">IF(ISBLANK(C109),"",U109*$B109)</f>
        <v>10135.093500000001</v>
      </c>
      <c r="T109" s="421">
        <f t="shared" si="50"/>
        <v>5.1894999999999998</v>
      </c>
      <c r="U109" s="422">
        <f>IF(E15="Liters",(((SUMPRODUCT(D109:O109,$D$23:$O$23))/1000)),(((SUMPRODUCT(D109:O109,$D$23:$O$23))/1000000)))</f>
        <v>16.08745</v>
      </c>
      <c r="V109" s="373"/>
      <c r="W109" s="373"/>
      <c r="X109" s="372"/>
      <c r="Y109" s="372"/>
    </row>
    <row r="110" spans="2:25" ht="15">
      <c r="B110" s="233">
        <v>480</v>
      </c>
      <c r="C110" s="221" t="s">
        <v>1076</v>
      </c>
      <c r="D110" s="413">
        <v>0.32</v>
      </c>
      <c r="E110" s="413">
        <v>0.625</v>
      </c>
      <c r="F110" s="413">
        <v>0.95</v>
      </c>
      <c r="G110" s="413">
        <v>1.26</v>
      </c>
      <c r="H110" s="417"/>
      <c r="I110" s="417"/>
      <c r="J110" s="417"/>
      <c r="K110" s="417"/>
      <c r="L110" s="417"/>
      <c r="M110" s="417"/>
      <c r="N110" s="417"/>
      <c r="O110" s="418"/>
      <c r="P110" s="415">
        <f t="shared" ref="P110:P125" si="53">SUM(R110:S110)</f>
        <v>620.904</v>
      </c>
      <c r="Q110" s="416">
        <f t="shared" ref="Q110:Q125" si="54">SUM(T110:U110)</f>
        <v>1.29355</v>
      </c>
      <c r="R110" s="419">
        <f t="shared" si="51"/>
        <v>151.44</v>
      </c>
      <c r="S110" s="420">
        <f t="shared" si="52"/>
        <v>469.464</v>
      </c>
      <c r="T110" s="421">
        <f t="shared" si="50"/>
        <v>0.3155</v>
      </c>
      <c r="U110" s="422">
        <f t="shared" ref="U110:U126" si="55">IF(E18="Liters",(((SUMPRODUCT(D110:O110,$D$23:$O$23))/1000)),(((SUMPRODUCT(D110:O110,$D$23:$O$23))/1000000)))</f>
        <v>0.97804999999999997</v>
      </c>
      <c r="V110" s="373"/>
      <c r="W110" s="373"/>
      <c r="X110" s="372"/>
      <c r="Y110" s="372"/>
    </row>
    <row r="111" spans="2:25" ht="15">
      <c r="B111" s="233">
        <v>3500</v>
      </c>
      <c r="C111" s="221" t="s">
        <v>1082</v>
      </c>
      <c r="D111" s="413">
        <v>8.07</v>
      </c>
      <c r="E111" s="413">
        <v>16.125</v>
      </c>
      <c r="F111" s="413">
        <v>24.2</v>
      </c>
      <c r="G111" s="413">
        <v>32.26</v>
      </c>
      <c r="H111" s="417"/>
      <c r="I111" s="417"/>
      <c r="J111" s="417"/>
      <c r="K111" s="417"/>
      <c r="L111" s="417"/>
      <c r="M111" s="417"/>
      <c r="N111" s="417"/>
      <c r="O111" s="418"/>
      <c r="P111" s="415">
        <f t="shared" si="53"/>
        <v>115739.925</v>
      </c>
      <c r="Q111" s="416">
        <f t="shared" si="54"/>
        <v>33.068550000000002</v>
      </c>
      <c r="R111" s="419">
        <f t="shared" si="51"/>
        <v>28229.25</v>
      </c>
      <c r="S111" s="420">
        <f t="shared" si="52"/>
        <v>87510.675000000003</v>
      </c>
      <c r="T111" s="421">
        <f t="shared" si="50"/>
        <v>8.0655000000000001</v>
      </c>
      <c r="U111" s="422">
        <f t="shared" si="55"/>
        <v>25.003050000000002</v>
      </c>
      <c r="V111" s="373"/>
      <c r="W111" s="373"/>
      <c r="X111" s="372"/>
      <c r="Y111" s="372"/>
    </row>
    <row r="112" spans="2:25" ht="15">
      <c r="B112" s="233"/>
      <c r="C112" s="221"/>
      <c r="D112" s="413"/>
      <c r="E112" s="413"/>
      <c r="F112" s="413"/>
      <c r="G112" s="417"/>
      <c r="H112" s="417"/>
      <c r="I112" s="417"/>
      <c r="J112" s="417"/>
      <c r="K112" s="417"/>
      <c r="L112" s="417"/>
      <c r="M112" s="417"/>
      <c r="N112" s="417"/>
      <c r="O112" s="418"/>
      <c r="P112" s="415">
        <f t="shared" si="53"/>
        <v>0</v>
      </c>
      <c r="Q112" s="416">
        <f t="shared" si="54"/>
        <v>0</v>
      </c>
      <c r="R112" s="419" t="str">
        <f t="shared" si="51"/>
        <v/>
      </c>
      <c r="S112" s="420" t="str">
        <f t="shared" si="52"/>
        <v/>
      </c>
      <c r="T112" s="421">
        <f t="shared" si="50"/>
        <v>0</v>
      </c>
      <c r="U112" s="422">
        <f t="shared" si="55"/>
        <v>0</v>
      </c>
      <c r="V112" s="373"/>
      <c r="W112" s="373"/>
      <c r="X112" s="372"/>
      <c r="Y112" s="372"/>
    </row>
    <row r="113" spans="2:25" ht="15">
      <c r="B113" s="233"/>
      <c r="C113" s="221"/>
      <c r="D113" s="413"/>
      <c r="E113" s="413"/>
      <c r="F113" s="413"/>
      <c r="G113" s="417"/>
      <c r="H113" s="417"/>
      <c r="I113" s="417"/>
      <c r="J113" s="417"/>
      <c r="K113" s="417"/>
      <c r="L113" s="417"/>
      <c r="M113" s="417"/>
      <c r="N113" s="417"/>
      <c r="O113" s="418"/>
      <c r="P113" s="415">
        <f t="shared" si="53"/>
        <v>0</v>
      </c>
      <c r="Q113" s="416">
        <f t="shared" si="54"/>
        <v>0</v>
      </c>
      <c r="R113" s="419" t="str">
        <f t="shared" si="51"/>
        <v/>
      </c>
      <c r="S113" s="420" t="str">
        <f t="shared" si="52"/>
        <v/>
      </c>
      <c r="T113" s="421">
        <f t="shared" si="50"/>
        <v>0</v>
      </c>
      <c r="U113" s="422">
        <f t="shared" si="55"/>
        <v>0</v>
      </c>
      <c r="V113" s="373"/>
      <c r="W113" s="373"/>
      <c r="X113" s="372"/>
      <c r="Y113" s="372"/>
    </row>
    <row r="114" spans="2:25" ht="15">
      <c r="B114" s="233"/>
      <c r="C114" s="221"/>
      <c r="D114" s="417"/>
      <c r="E114" s="417"/>
      <c r="F114" s="417"/>
      <c r="G114" s="417"/>
      <c r="H114" s="417"/>
      <c r="I114" s="417"/>
      <c r="J114" s="417"/>
      <c r="K114" s="417"/>
      <c r="L114" s="417"/>
      <c r="M114" s="417"/>
      <c r="N114" s="417"/>
      <c r="O114" s="418"/>
      <c r="P114" s="415">
        <f t="shared" si="53"/>
        <v>0</v>
      </c>
      <c r="Q114" s="416">
        <f t="shared" si="54"/>
        <v>0</v>
      </c>
      <c r="R114" s="419" t="str">
        <f t="shared" si="51"/>
        <v/>
      </c>
      <c r="S114" s="420" t="str">
        <f t="shared" si="52"/>
        <v/>
      </c>
      <c r="T114" s="421">
        <f t="shared" si="50"/>
        <v>0</v>
      </c>
      <c r="U114" s="422">
        <f t="shared" si="55"/>
        <v>0</v>
      </c>
      <c r="V114" s="373"/>
      <c r="W114" s="373"/>
      <c r="X114" s="372"/>
      <c r="Y114" s="372"/>
    </row>
    <row r="115" spans="2:25" ht="15">
      <c r="B115" s="233"/>
      <c r="C115" s="221"/>
      <c r="D115" s="417"/>
      <c r="E115" s="417"/>
      <c r="F115" s="417"/>
      <c r="G115" s="417"/>
      <c r="H115" s="417"/>
      <c r="I115" s="417"/>
      <c r="J115" s="417"/>
      <c r="K115" s="417"/>
      <c r="L115" s="417"/>
      <c r="M115" s="417"/>
      <c r="N115" s="417"/>
      <c r="O115" s="418"/>
      <c r="P115" s="415">
        <f t="shared" si="53"/>
        <v>0</v>
      </c>
      <c r="Q115" s="416">
        <f t="shared" si="54"/>
        <v>0</v>
      </c>
      <c r="R115" s="419" t="str">
        <f t="shared" si="51"/>
        <v/>
      </c>
      <c r="S115" s="420" t="str">
        <f t="shared" si="52"/>
        <v/>
      </c>
      <c r="T115" s="421">
        <f t="shared" si="50"/>
        <v>0</v>
      </c>
      <c r="U115" s="422">
        <f t="shared" si="55"/>
        <v>0</v>
      </c>
      <c r="V115" s="373"/>
      <c r="W115" s="373"/>
      <c r="X115" s="372"/>
      <c r="Y115" s="372"/>
    </row>
    <row r="116" spans="2:25" ht="15">
      <c r="B116" s="233"/>
      <c r="C116" s="221"/>
      <c r="D116" s="417"/>
      <c r="E116" s="417"/>
      <c r="F116" s="417"/>
      <c r="G116" s="417"/>
      <c r="H116" s="417"/>
      <c r="I116" s="417"/>
      <c r="J116" s="417"/>
      <c r="K116" s="417"/>
      <c r="L116" s="417"/>
      <c r="M116" s="417"/>
      <c r="N116" s="417"/>
      <c r="O116" s="418"/>
      <c r="P116" s="415">
        <f t="shared" si="53"/>
        <v>0</v>
      </c>
      <c r="Q116" s="416">
        <f t="shared" si="54"/>
        <v>0</v>
      </c>
      <c r="R116" s="419" t="str">
        <f t="shared" si="51"/>
        <v/>
      </c>
      <c r="S116" s="420" t="str">
        <f t="shared" si="52"/>
        <v/>
      </c>
      <c r="T116" s="421">
        <f t="shared" si="50"/>
        <v>0</v>
      </c>
      <c r="U116" s="422">
        <f t="shared" si="55"/>
        <v>0</v>
      </c>
      <c r="V116" s="373"/>
      <c r="W116" s="373"/>
      <c r="X116" s="372"/>
      <c r="Y116" s="372"/>
    </row>
    <row r="117" spans="2:25" ht="15">
      <c r="B117" s="233"/>
      <c r="C117" s="221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8"/>
      <c r="P117" s="415">
        <f t="shared" si="53"/>
        <v>0</v>
      </c>
      <c r="Q117" s="416">
        <f t="shared" si="54"/>
        <v>0</v>
      </c>
      <c r="R117" s="419" t="str">
        <f t="shared" si="51"/>
        <v/>
      </c>
      <c r="S117" s="420" t="str">
        <f t="shared" si="52"/>
        <v/>
      </c>
      <c r="T117" s="421">
        <f t="shared" si="50"/>
        <v>0</v>
      </c>
      <c r="U117" s="422">
        <f t="shared" si="55"/>
        <v>0</v>
      </c>
      <c r="V117" s="373"/>
      <c r="W117" s="373"/>
      <c r="X117" s="372"/>
      <c r="Y117" s="372"/>
    </row>
    <row r="118" spans="2:25" ht="15">
      <c r="B118" s="233"/>
      <c r="C118" s="221"/>
      <c r="D118" s="417"/>
      <c r="E118" s="417"/>
      <c r="F118" s="417"/>
      <c r="G118" s="417"/>
      <c r="H118" s="417"/>
      <c r="I118" s="417"/>
      <c r="J118" s="417"/>
      <c r="K118" s="417"/>
      <c r="L118" s="417"/>
      <c r="M118" s="417"/>
      <c r="N118" s="417"/>
      <c r="O118" s="418"/>
      <c r="P118" s="415">
        <f t="shared" si="53"/>
        <v>0</v>
      </c>
      <c r="Q118" s="416">
        <f t="shared" si="54"/>
        <v>0</v>
      </c>
      <c r="R118" s="419" t="str">
        <f t="shared" si="51"/>
        <v/>
      </c>
      <c r="S118" s="420" t="str">
        <f t="shared" si="52"/>
        <v/>
      </c>
      <c r="T118" s="421">
        <f t="shared" si="50"/>
        <v>0</v>
      </c>
      <c r="U118" s="422">
        <f t="shared" si="55"/>
        <v>0</v>
      </c>
      <c r="V118" s="373"/>
      <c r="W118" s="373"/>
      <c r="X118" s="372"/>
      <c r="Y118" s="372"/>
    </row>
    <row r="119" spans="2:25" ht="15">
      <c r="B119" s="233"/>
      <c r="C119" s="221"/>
      <c r="D119" s="417"/>
      <c r="E119" s="417"/>
      <c r="F119" s="417"/>
      <c r="G119" s="417"/>
      <c r="H119" s="417"/>
      <c r="I119" s="417"/>
      <c r="J119" s="417"/>
      <c r="K119" s="417"/>
      <c r="L119" s="417"/>
      <c r="M119" s="417"/>
      <c r="N119" s="417"/>
      <c r="O119" s="418"/>
      <c r="P119" s="415">
        <f t="shared" si="53"/>
        <v>0</v>
      </c>
      <c r="Q119" s="416">
        <f t="shared" si="54"/>
        <v>0</v>
      </c>
      <c r="R119" s="419" t="str">
        <f t="shared" si="51"/>
        <v/>
      </c>
      <c r="S119" s="420" t="str">
        <f t="shared" si="52"/>
        <v/>
      </c>
      <c r="T119" s="421">
        <f t="shared" si="50"/>
        <v>0</v>
      </c>
      <c r="U119" s="422">
        <f t="shared" si="55"/>
        <v>0</v>
      </c>
      <c r="V119" s="373"/>
      <c r="W119" s="373"/>
      <c r="X119" s="372"/>
      <c r="Y119" s="372"/>
    </row>
    <row r="120" spans="2:25" ht="15">
      <c r="B120" s="233"/>
      <c r="C120" s="221"/>
      <c r="D120" s="417"/>
      <c r="E120" s="417"/>
      <c r="F120" s="417"/>
      <c r="G120" s="417"/>
      <c r="H120" s="417"/>
      <c r="I120" s="417"/>
      <c r="J120" s="417"/>
      <c r="K120" s="417"/>
      <c r="L120" s="417"/>
      <c r="M120" s="417"/>
      <c r="N120" s="417"/>
      <c r="O120" s="418"/>
      <c r="P120" s="415">
        <f t="shared" si="53"/>
        <v>0</v>
      </c>
      <c r="Q120" s="416">
        <f t="shared" si="54"/>
        <v>0</v>
      </c>
      <c r="R120" s="419" t="str">
        <f t="shared" si="51"/>
        <v/>
      </c>
      <c r="S120" s="420" t="str">
        <f t="shared" si="52"/>
        <v/>
      </c>
      <c r="T120" s="421">
        <f t="shared" si="50"/>
        <v>0</v>
      </c>
      <c r="U120" s="422">
        <f t="shared" si="55"/>
        <v>0</v>
      </c>
      <c r="V120" s="373"/>
      <c r="W120" s="373"/>
      <c r="X120" s="372"/>
      <c r="Y120" s="372"/>
    </row>
    <row r="121" spans="2:25" ht="15">
      <c r="B121" s="234" t="str">
        <f t="shared" ref="B121:B126" si="56">IF(ISBLANK(C121),"",INDEX($B$75:$B$105,MATCH($C121,$C$75:$C$105,0)))</f>
        <v/>
      </c>
      <c r="C121" s="90"/>
      <c r="D121" s="417"/>
      <c r="E121" s="417"/>
      <c r="F121" s="417"/>
      <c r="G121" s="417"/>
      <c r="H121" s="417"/>
      <c r="I121" s="417"/>
      <c r="J121" s="417"/>
      <c r="K121" s="417"/>
      <c r="L121" s="417"/>
      <c r="M121" s="417"/>
      <c r="N121" s="417"/>
      <c r="O121" s="418"/>
      <c r="P121" s="415">
        <f t="shared" si="53"/>
        <v>0</v>
      </c>
      <c r="Q121" s="416">
        <f t="shared" si="54"/>
        <v>0</v>
      </c>
      <c r="R121" s="419" t="str">
        <f t="shared" si="51"/>
        <v/>
      </c>
      <c r="S121" s="420" t="str">
        <f t="shared" si="52"/>
        <v/>
      </c>
      <c r="T121" s="421">
        <f t="shared" si="50"/>
        <v>0</v>
      </c>
      <c r="U121" s="422">
        <f t="shared" si="55"/>
        <v>0</v>
      </c>
      <c r="V121" s="373"/>
      <c r="W121" s="373"/>
      <c r="X121" s="372"/>
      <c r="Y121" s="372"/>
    </row>
    <row r="122" spans="2:25" ht="15">
      <c r="B122" s="234" t="str">
        <f t="shared" si="56"/>
        <v/>
      </c>
      <c r="C122" s="90"/>
      <c r="D122" s="417"/>
      <c r="E122" s="417"/>
      <c r="F122" s="417"/>
      <c r="G122" s="417"/>
      <c r="H122" s="417"/>
      <c r="I122" s="417"/>
      <c r="J122" s="417"/>
      <c r="K122" s="417"/>
      <c r="L122" s="417"/>
      <c r="M122" s="417"/>
      <c r="N122" s="417"/>
      <c r="O122" s="418"/>
      <c r="P122" s="415">
        <f t="shared" si="53"/>
        <v>0</v>
      </c>
      <c r="Q122" s="416">
        <f t="shared" si="54"/>
        <v>0</v>
      </c>
      <c r="R122" s="419" t="str">
        <f t="shared" si="51"/>
        <v/>
      </c>
      <c r="S122" s="420" t="str">
        <f t="shared" si="52"/>
        <v/>
      </c>
      <c r="T122" s="421">
        <f t="shared" si="50"/>
        <v>0</v>
      </c>
      <c r="U122" s="422">
        <f t="shared" si="55"/>
        <v>0</v>
      </c>
      <c r="V122" s="373"/>
      <c r="W122" s="373"/>
      <c r="X122" s="372"/>
      <c r="Y122" s="372"/>
    </row>
    <row r="123" spans="2:25" ht="15">
      <c r="B123" s="234" t="str">
        <f t="shared" si="56"/>
        <v/>
      </c>
      <c r="C123" s="90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8"/>
      <c r="P123" s="415">
        <f t="shared" si="53"/>
        <v>0</v>
      </c>
      <c r="Q123" s="416">
        <f t="shared" si="54"/>
        <v>0</v>
      </c>
      <c r="R123" s="419" t="str">
        <f t="shared" si="51"/>
        <v/>
      </c>
      <c r="S123" s="420" t="str">
        <f t="shared" si="52"/>
        <v/>
      </c>
      <c r="T123" s="421">
        <f t="shared" si="50"/>
        <v>0</v>
      </c>
      <c r="U123" s="422">
        <f t="shared" si="55"/>
        <v>0</v>
      </c>
      <c r="V123" s="373"/>
      <c r="W123" s="373"/>
      <c r="X123" s="372"/>
      <c r="Y123" s="372"/>
    </row>
    <row r="124" spans="2:25" ht="15">
      <c r="B124" s="234" t="str">
        <f t="shared" si="56"/>
        <v/>
      </c>
      <c r="C124" s="90"/>
      <c r="D124" s="417"/>
      <c r="E124" s="417"/>
      <c r="F124" s="417"/>
      <c r="G124" s="417"/>
      <c r="H124" s="417"/>
      <c r="I124" s="417"/>
      <c r="J124" s="417"/>
      <c r="K124" s="417"/>
      <c r="L124" s="417"/>
      <c r="M124" s="417"/>
      <c r="N124" s="417"/>
      <c r="O124" s="418"/>
      <c r="P124" s="415">
        <f t="shared" si="53"/>
        <v>0</v>
      </c>
      <c r="Q124" s="416">
        <f t="shared" si="54"/>
        <v>0</v>
      </c>
      <c r="R124" s="419" t="str">
        <f t="shared" si="51"/>
        <v/>
      </c>
      <c r="S124" s="420" t="str">
        <f t="shared" si="52"/>
        <v/>
      </c>
      <c r="T124" s="421">
        <f t="shared" si="50"/>
        <v>0</v>
      </c>
      <c r="U124" s="422">
        <f t="shared" si="55"/>
        <v>0</v>
      </c>
      <c r="V124" s="373"/>
      <c r="W124" s="373"/>
      <c r="X124" s="372"/>
      <c r="Y124" s="372"/>
    </row>
    <row r="125" spans="2:25" ht="15">
      <c r="B125" s="234" t="str">
        <f t="shared" si="56"/>
        <v/>
      </c>
      <c r="C125" s="90"/>
      <c r="D125" s="417"/>
      <c r="E125" s="417"/>
      <c r="F125" s="417"/>
      <c r="G125" s="417"/>
      <c r="H125" s="417"/>
      <c r="I125" s="417"/>
      <c r="J125" s="417"/>
      <c r="K125" s="417"/>
      <c r="L125" s="417"/>
      <c r="M125" s="417"/>
      <c r="N125" s="417"/>
      <c r="O125" s="418"/>
      <c r="P125" s="415">
        <f t="shared" si="53"/>
        <v>0</v>
      </c>
      <c r="Q125" s="416">
        <f t="shared" si="54"/>
        <v>0</v>
      </c>
      <c r="R125" s="419" t="str">
        <f t="shared" si="51"/>
        <v/>
      </c>
      <c r="S125" s="420" t="str">
        <f t="shared" si="52"/>
        <v/>
      </c>
      <c r="T125" s="421">
        <f t="shared" si="50"/>
        <v>0</v>
      </c>
      <c r="U125" s="422">
        <f t="shared" si="55"/>
        <v>0</v>
      </c>
      <c r="V125" s="373"/>
      <c r="W125" s="373"/>
      <c r="X125" s="372"/>
      <c r="Y125" s="372"/>
    </row>
    <row r="126" spans="2:25" ht="15.75" thickBot="1">
      <c r="B126" s="234" t="str">
        <f t="shared" si="56"/>
        <v/>
      </c>
      <c r="C126" s="90"/>
      <c r="D126" s="417"/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8"/>
      <c r="P126" s="423">
        <f>SUM(R126:S126)</f>
        <v>0</v>
      </c>
      <c r="Q126" s="416">
        <f>SUM(T126:U126)</f>
        <v>0</v>
      </c>
      <c r="R126" s="419" t="str">
        <f t="shared" si="51"/>
        <v/>
      </c>
      <c r="S126" s="420" t="str">
        <f t="shared" si="52"/>
        <v/>
      </c>
      <c r="T126" s="421">
        <f t="shared" si="50"/>
        <v>0</v>
      </c>
      <c r="U126" s="422">
        <f t="shared" si="55"/>
        <v>0</v>
      </c>
      <c r="V126" s="373"/>
      <c r="W126" s="373"/>
      <c r="X126" s="372"/>
      <c r="Y126" s="372"/>
    </row>
    <row r="127" spans="2:25" ht="15.75" thickTop="1">
      <c r="B127" s="91" t="s">
        <v>217</v>
      </c>
      <c r="C127" s="92" t="s">
        <v>154</v>
      </c>
      <c r="D127" s="424">
        <f t="shared" ref="D127:O127" si="57">(SUMPRODUCT(D75:D105,$B$75:$B$105))*D18/1000000</f>
        <v>2577.165</v>
      </c>
      <c r="E127" s="424">
        <f t="shared" si="57"/>
        <v>5151.1875</v>
      </c>
      <c r="F127" s="424">
        <f t="shared" si="57"/>
        <v>7729.5050000000001</v>
      </c>
      <c r="G127" s="424">
        <f t="shared" si="57"/>
        <v>10304.68</v>
      </c>
      <c r="H127" s="424">
        <f t="shared" si="57"/>
        <v>0</v>
      </c>
      <c r="I127" s="424">
        <f t="shared" si="57"/>
        <v>0</v>
      </c>
      <c r="J127" s="424">
        <f t="shared" si="57"/>
        <v>0</v>
      </c>
      <c r="K127" s="424">
        <f t="shared" si="57"/>
        <v>0</v>
      </c>
      <c r="L127" s="424">
        <f t="shared" si="57"/>
        <v>0</v>
      </c>
      <c r="M127" s="424">
        <f t="shared" si="57"/>
        <v>0</v>
      </c>
      <c r="N127" s="424">
        <f t="shared" si="57"/>
        <v>0</v>
      </c>
      <c r="O127" s="424">
        <f t="shared" si="57"/>
        <v>0</v>
      </c>
      <c r="P127" s="425">
        <f>SUM(D127:O127)</f>
        <v>25762.537499999999</v>
      </c>
      <c r="Q127" s="426"/>
      <c r="R127" s="373"/>
      <c r="S127" s="373"/>
      <c r="T127" s="373"/>
      <c r="U127" s="373"/>
      <c r="V127" s="373"/>
      <c r="W127" s="373"/>
      <c r="X127" s="372"/>
      <c r="Y127" s="372"/>
    </row>
    <row r="128" spans="2:25" ht="15">
      <c r="B128" s="82"/>
      <c r="C128" s="83" t="s">
        <v>218</v>
      </c>
      <c r="D128" s="395">
        <f t="shared" ref="D128:O128" si="58">(SUMPRODUCT(D107:D126,$B$107:$B$126))*D19/1000000</f>
        <v>5154.33</v>
      </c>
      <c r="E128" s="395">
        <f t="shared" si="58"/>
        <v>10302.375</v>
      </c>
      <c r="F128" s="395">
        <f t="shared" si="58"/>
        <v>15459.01</v>
      </c>
      <c r="G128" s="395">
        <f t="shared" si="58"/>
        <v>20609.36</v>
      </c>
      <c r="H128" s="395">
        <f t="shared" si="58"/>
        <v>0</v>
      </c>
      <c r="I128" s="395">
        <f t="shared" si="58"/>
        <v>0</v>
      </c>
      <c r="J128" s="395">
        <f t="shared" si="58"/>
        <v>0</v>
      </c>
      <c r="K128" s="395">
        <f t="shared" si="58"/>
        <v>0</v>
      </c>
      <c r="L128" s="395">
        <f t="shared" si="58"/>
        <v>0</v>
      </c>
      <c r="M128" s="395">
        <f t="shared" si="58"/>
        <v>0</v>
      </c>
      <c r="N128" s="395">
        <f t="shared" si="58"/>
        <v>0</v>
      </c>
      <c r="O128" s="395">
        <f t="shared" si="58"/>
        <v>0</v>
      </c>
      <c r="P128" s="427">
        <f>SUM(D128:O128)</f>
        <v>51525.074999999997</v>
      </c>
      <c r="Q128" s="426"/>
      <c r="R128" s="373"/>
      <c r="S128" s="373"/>
      <c r="T128" s="373"/>
      <c r="U128" s="373"/>
      <c r="V128" s="373"/>
      <c r="W128" s="373"/>
      <c r="X128" s="372"/>
      <c r="Y128" s="372"/>
    </row>
    <row r="129" spans="2:25" ht="15.75" thickBot="1">
      <c r="B129" s="93"/>
      <c r="C129" s="94" t="s">
        <v>219</v>
      </c>
      <c r="D129" s="428">
        <f t="shared" ref="D129:O129" si="59">(SUMPRODUCT(D107:D126,$B$107:$B$126))*(D20+D21+D22)/1000000</f>
        <v>15978.423000000001</v>
      </c>
      <c r="E129" s="428">
        <f t="shared" si="59"/>
        <v>31937.362499999999</v>
      </c>
      <c r="F129" s="428">
        <f t="shared" si="59"/>
        <v>47922.930999999997</v>
      </c>
      <c r="G129" s="428">
        <f t="shared" si="59"/>
        <v>63889.016000000003</v>
      </c>
      <c r="H129" s="428">
        <f t="shared" si="59"/>
        <v>0</v>
      </c>
      <c r="I129" s="428">
        <f t="shared" si="59"/>
        <v>0</v>
      </c>
      <c r="J129" s="428">
        <f t="shared" si="59"/>
        <v>0</v>
      </c>
      <c r="K129" s="428">
        <f t="shared" si="59"/>
        <v>0</v>
      </c>
      <c r="L129" s="428">
        <f t="shared" si="59"/>
        <v>0</v>
      </c>
      <c r="M129" s="428">
        <f t="shared" si="59"/>
        <v>0</v>
      </c>
      <c r="N129" s="428">
        <f t="shared" si="59"/>
        <v>0</v>
      </c>
      <c r="O129" s="428">
        <f t="shared" si="59"/>
        <v>0</v>
      </c>
      <c r="P129" s="429">
        <f>SUM(D129:O129)</f>
        <v>159727.73249999998</v>
      </c>
      <c r="Q129" s="426"/>
      <c r="R129" s="373"/>
      <c r="S129" s="373"/>
      <c r="T129" s="373"/>
      <c r="U129" s="373"/>
      <c r="V129" s="373"/>
      <c r="W129" s="373"/>
      <c r="X129" s="372"/>
      <c r="Y129" s="372"/>
    </row>
    <row r="130" spans="2:25" ht="15.75" thickBot="1">
      <c r="B130" s="340" t="s">
        <v>216</v>
      </c>
      <c r="C130" s="95"/>
      <c r="D130" s="430">
        <f t="shared" ref="D130:O130" si="60">SUM(D127:D129)</f>
        <v>23709.918000000001</v>
      </c>
      <c r="E130" s="430">
        <f t="shared" si="60"/>
        <v>47390.925000000003</v>
      </c>
      <c r="F130" s="430">
        <f t="shared" si="60"/>
        <v>71111.445999999996</v>
      </c>
      <c r="G130" s="430">
        <f t="shared" si="60"/>
        <v>94803.056000000011</v>
      </c>
      <c r="H130" s="430">
        <f t="shared" si="60"/>
        <v>0</v>
      </c>
      <c r="I130" s="430">
        <f t="shared" si="60"/>
        <v>0</v>
      </c>
      <c r="J130" s="430">
        <f t="shared" si="60"/>
        <v>0</v>
      </c>
      <c r="K130" s="430">
        <f t="shared" si="60"/>
        <v>0</v>
      </c>
      <c r="L130" s="430">
        <f t="shared" si="60"/>
        <v>0</v>
      </c>
      <c r="M130" s="430">
        <f t="shared" si="60"/>
        <v>0</v>
      </c>
      <c r="N130" s="430">
        <f t="shared" si="60"/>
        <v>0</v>
      </c>
      <c r="O130" s="431">
        <f t="shared" si="60"/>
        <v>0</v>
      </c>
      <c r="P130" s="432">
        <f>SUM(D130:O130)</f>
        <v>237015.345</v>
      </c>
      <c r="Q130" s="433"/>
      <c r="R130" s="373"/>
      <c r="S130" s="373"/>
      <c r="T130" s="373"/>
      <c r="U130" s="373"/>
      <c r="V130" s="373"/>
      <c r="W130" s="373"/>
      <c r="X130" s="372"/>
      <c r="Y130" s="372"/>
    </row>
    <row r="131" spans="2:25" ht="15.75" thickBot="1">
      <c r="B131" s="24"/>
      <c r="C131" s="24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0"/>
      <c r="P131" s="400"/>
      <c r="Q131" s="373"/>
      <c r="R131" s="373"/>
      <c r="S131" s="373"/>
      <c r="T131" s="373"/>
      <c r="U131" s="373"/>
      <c r="V131" s="373"/>
      <c r="W131" s="373"/>
      <c r="X131" s="372"/>
      <c r="Y131" s="372"/>
    </row>
    <row r="132" spans="2:25" ht="15.75" thickTop="1">
      <c r="B132" s="342" t="s">
        <v>846</v>
      </c>
      <c r="C132" s="339"/>
      <c r="D132" s="339"/>
      <c r="E132" s="235" t="str">
        <f>IF(P13=0,"","NOT APPLICABLE")</f>
        <v>NOT APPLICABLE</v>
      </c>
      <c r="F132" s="339"/>
      <c r="G132" s="339"/>
      <c r="H132" s="339"/>
      <c r="I132" s="339"/>
      <c r="J132" s="339"/>
      <c r="K132" s="339"/>
      <c r="L132" s="339"/>
      <c r="M132" s="339"/>
      <c r="N132" s="339"/>
      <c r="O132" s="343"/>
      <c r="P132" s="1078" t="s">
        <v>205</v>
      </c>
      <c r="Q132" s="373"/>
      <c r="R132" s="373"/>
      <c r="S132" s="373"/>
      <c r="T132" s="373"/>
      <c r="U132" s="373"/>
      <c r="V132" s="373"/>
      <c r="W132" s="373"/>
      <c r="X132" s="372"/>
      <c r="Y132" s="372"/>
    </row>
    <row r="133" spans="2:25" ht="15">
      <c r="B133" s="1090" t="s">
        <v>847</v>
      </c>
      <c r="C133" s="1091"/>
      <c r="D133" s="434" t="s">
        <v>860</v>
      </c>
      <c r="E133" s="434" t="s">
        <v>857</v>
      </c>
      <c r="F133" s="434"/>
      <c r="G133" s="434"/>
      <c r="H133" s="434"/>
      <c r="I133" s="434"/>
      <c r="J133" s="434"/>
      <c r="K133" s="434"/>
      <c r="L133" s="434"/>
      <c r="M133" s="434"/>
      <c r="N133" s="434"/>
      <c r="O133" s="435"/>
      <c r="P133" s="1079"/>
      <c r="Q133" s="385" t="e">
        <f>INDEX(List!$AG$2:$AG$48,MATCH($C133,List!$AF$2:$AF$48,0))</f>
        <v>#N/A</v>
      </c>
      <c r="R133" s="373"/>
      <c r="S133" s="373"/>
      <c r="T133" s="373"/>
      <c r="U133" s="373"/>
      <c r="V133" s="373"/>
      <c r="W133" s="373"/>
      <c r="X133" s="372"/>
      <c r="Y133" s="372"/>
    </row>
    <row r="134" spans="2:25" ht="13.5" thickBot="1">
      <c r="B134" s="411" t="str">
        <f>IF(ISBLANK(C134),"",INDEX(List!$AE$2:$AE$48,MATCH($C134,List!$AF$2:$AF$48,0)))</f>
        <v/>
      </c>
      <c r="C134" s="411"/>
      <c r="D134" s="411"/>
      <c r="E134" s="411"/>
      <c r="F134" s="411" t="str">
        <f>IF(ISBLANK(F133),"",INDEX(List!F2:F14,MATCH(F133,List!E2:E14,0)))</f>
        <v/>
      </c>
      <c r="G134" s="411" t="str">
        <f>IF(ISBLANK(G133),"",INDEX(List!F2:F14,MATCH(G133,List!E2:E14,0)))</f>
        <v/>
      </c>
      <c r="H134" s="411" t="str">
        <f>IF(ISBLANK(H133),"",INDEX(List!F2:F14,MATCH(H133,List!E2:E14,0)))</f>
        <v/>
      </c>
      <c r="I134" s="411" t="str">
        <f>IF(ISBLANK(I133),"",INDEX(List!F2:F14,MATCH(I133,List!E2:E14,0)))</f>
        <v/>
      </c>
      <c r="J134" s="411" t="str">
        <f>IF(ISBLANK(J133),"",INDEX(List!F2:F14,MATCH(J133,List!E2:E14,0)))</f>
        <v/>
      </c>
      <c r="K134" s="411" t="str">
        <f>IF(ISBLANK(K133),"",INDEX(List!F2:F14,MATCH(K133,List!E2:E14,0)))</f>
        <v/>
      </c>
      <c r="L134" s="411" t="str">
        <f>IF(ISBLANK(L133),"",INDEX(List!F2:F14,MATCH(L133,List!E2:E14,0)))</f>
        <v/>
      </c>
      <c r="M134" s="411" t="str">
        <f>IF(ISBLANK(M133),"",INDEX(List!F2:F14,MATCH(M133,List!E2:E14,0)))</f>
        <v/>
      </c>
      <c r="N134" s="411" t="str">
        <f>IF(ISBLANK(N133),"",INDEX(List!F2:F14,MATCH(N133,List!E2:E14,0)))</f>
        <v/>
      </c>
      <c r="O134" s="411" t="str">
        <f>IF(ISBLANK(O133),"",INDEX(List!F2:F14,MATCH(O133,List!E2:E14,0)))</f>
        <v/>
      </c>
      <c r="P134" s="436"/>
      <c r="Q134" s="385" t="e">
        <f>INDEX(List!$AG$2:$AG$48,MATCH($C134,List!$AF$2:$AF$48,0))</f>
        <v>#N/A</v>
      </c>
      <c r="R134" s="373"/>
      <c r="S134" s="373"/>
      <c r="T134" s="373"/>
      <c r="U134" s="373"/>
      <c r="V134" s="373"/>
      <c r="W134" s="373"/>
      <c r="X134" s="372"/>
      <c r="Y134" s="372"/>
    </row>
    <row r="135" spans="2:25" ht="15">
      <c r="B135" s="97" t="s">
        <v>217</v>
      </c>
      <c r="C135" s="98" t="s">
        <v>154</v>
      </c>
      <c r="D135" s="437"/>
      <c r="E135" s="393"/>
      <c r="F135" s="393">
        <f>IF(ISBLANK(F133),0,(((F134*F18)*1.2)+List!G2))</f>
        <v>0</v>
      </c>
      <c r="G135" s="393">
        <f>IF(ISBLANK(G133),0,(((G134*G18)*1.2)+List!G2))</f>
        <v>0</v>
      </c>
      <c r="H135" s="393">
        <f>IF(ISBLANK(H133),0,(((H134*H18)*1.2)+List!G2))</f>
        <v>0</v>
      </c>
      <c r="I135" s="393">
        <f>IF(ISBLANK(I133),0,(((I134*I18)*1.2)+List!G2))</f>
        <v>0</v>
      </c>
      <c r="J135" s="393">
        <f>IF(ISBLANK(J133),0,(((J134*J18)*1.2)+List!G2))</f>
        <v>0</v>
      </c>
      <c r="K135" s="393">
        <f>IF(ISBLANK(K133),0,(((K134*K18)*1.2)+List!G2))</f>
        <v>0</v>
      </c>
      <c r="L135" s="393">
        <f>IF(ISBLANK(L133),0,(((L134*L18)*1.2)+List!G2))</f>
        <v>0</v>
      </c>
      <c r="M135" s="393">
        <f>IF(ISBLANK(M133),0,(((M134*M18)*1.2)+List!G2))</f>
        <v>0</v>
      </c>
      <c r="N135" s="393">
        <f>IF(ISBLANK(N133),0,(((N134*N18)*1.2)+List!G2))</f>
        <v>0</v>
      </c>
      <c r="O135" s="405">
        <f>IF(ISBLANK(O133),0,(((O134*O18)*1.2)+List!G2))</f>
        <v>0</v>
      </c>
      <c r="P135" s="394">
        <f>SUM(D135:O135)</f>
        <v>0</v>
      </c>
      <c r="Q135" s="373"/>
      <c r="R135" s="373"/>
      <c r="S135" s="373"/>
      <c r="T135" s="373"/>
      <c r="U135" s="373"/>
      <c r="V135" s="373"/>
      <c r="W135" s="373"/>
      <c r="X135" s="372"/>
      <c r="Y135" s="372"/>
    </row>
    <row r="136" spans="2:25" ht="15">
      <c r="B136" s="87"/>
      <c r="C136" s="83" t="s">
        <v>218</v>
      </c>
      <c r="D136" s="395">
        <f t="shared" ref="D136:O136" si="61">IF(ISBLANK(D133),0,(((D134*D19)*1.2)))</f>
        <v>0</v>
      </c>
      <c r="E136" s="395">
        <f t="shared" si="61"/>
        <v>0</v>
      </c>
      <c r="F136" s="395">
        <f t="shared" si="61"/>
        <v>0</v>
      </c>
      <c r="G136" s="395">
        <f t="shared" si="61"/>
        <v>0</v>
      </c>
      <c r="H136" s="395">
        <f t="shared" si="61"/>
        <v>0</v>
      </c>
      <c r="I136" s="395">
        <f t="shared" si="61"/>
        <v>0</v>
      </c>
      <c r="J136" s="395">
        <f t="shared" si="61"/>
        <v>0</v>
      </c>
      <c r="K136" s="395">
        <f t="shared" si="61"/>
        <v>0</v>
      </c>
      <c r="L136" s="395">
        <f t="shared" si="61"/>
        <v>0</v>
      </c>
      <c r="M136" s="395">
        <f t="shared" si="61"/>
        <v>0</v>
      </c>
      <c r="N136" s="395">
        <f t="shared" si="61"/>
        <v>0</v>
      </c>
      <c r="O136" s="406">
        <f t="shared" si="61"/>
        <v>0</v>
      </c>
      <c r="P136" s="396">
        <f>SUM(D136:O136)</f>
        <v>0</v>
      </c>
      <c r="Q136" s="373"/>
      <c r="R136" s="373"/>
      <c r="S136" s="373"/>
      <c r="T136" s="373"/>
      <c r="U136" s="373"/>
      <c r="V136" s="373"/>
      <c r="W136" s="373"/>
      <c r="X136" s="372"/>
      <c r="Y136" s="372"/>
    </row>
    <row r="137" spans="2:25" ht="15">
      <c r="B137" s="87"/>
      <c r="C137" s="83" t="s">
        <v>219</v>
      </c>
      <c r="D137" s="395">
        <f t="shared" ref="D137:O137" si="62">IF(ISBLANK(D133),0,(((D134*D23)*1.2)))</f>
        <v>0</v>
      </c>
      <c r="E137" s="395">
        <f t="shared" si="62"/>
        <v>0</v>
      </c>
      <c r="F137" s="395">
        <f t="shared" si="62"/>
        <v>0</v>
      </c>
      <c r="G137" s="395">
        <f t="shared" si="62"/>
        <v>0</v>
      </c>
      <c r="H137" s="395">
        <f t="shared" si="62"/>
        <v>0</v>
      </c>
      <c r="I137" s="395">
        <f t="shared" si="62"/>
        <v>0</v>
      </c>
      <c r="J137" s="395">
        <f t="shared" si="62"/>
        <v>0</v>
      </c>
      <c r="K137" s="395">
        <f t="shared" si="62"/>
        <v>0</v>
      </c>
      <c r="L137" s="395">
        <f t="shared" si="62"/>
        <v>0</v>
      </c>
      <c r="M137" s="395">
        <f t="shared" si="62"/>
        <v>0</v>
      </c>
      <c r="N137" s="395">
        <f t="shared" si="62"/>
        <v>0</v>
      </c>
      <c r="O137" s="406">
        <f t="shared" si="62"/>
        <v>0</v>
      </c>
      <c r="P137" s="396">
        <f>SUM(D137:O137)</f>
        <v>0</v>
      </c>
      <c r="Q137" s="373"/>
      <c r="R137" s="373"/>
      <c r="S137" s="373"/>
      <c r="T137" s="373"/>
      <c r="U137" s="373"/>
      <c r="V137" s="373"/>
      <c r="W137" s="373"/>
      <c r="X137" s="372"/>
      <c r="Y137" s="372"/>
    </row>
    <row r="138" spans="2:25" ht="15.75" thickBot="1">
      <c r="B138" s="88" t="s">
        <v>226</v>
      </c>
      <c r="C138" s="89"/>
      <c r="D138" s="438">
        <f>SUM(D135:D137)</f>
        <v>0</v>
      </c>
      <c r="E138" s="438">
        <f t="shared" ref="E138:O138" si="63">SUM(E135:E137)</f>
        <v>0</v>
      </c>
      <c r="F138" s="438">
        <f t="shared" si="63"/>
        <v>0</v>
      </c>
      <c r="G138" s="438">
        <f t="shared" si="63"/>
        <v>0</v>
      </c>
      <c r="H138" s="438">
        <f t="shared" si="63"/>
        <v>0</v>
      </c>
      <c r="I138" s="438">
        <f t="shared" si="63"/>
        <v>0</v>
      </c>
      <c r="J138" s="438">
        <f t="shared" si="63"/>
        <v>0</v>
      </c>
      <c r="K138" s="438">
        <f t="shared" si="63"/>
        <v>0</v>
      </c>
      <c r="L138" s="438">
        <f t="shared" si="63"/>
        <v>0</v>
      </c>
      <c r="M138" s="438">
        <f t="shared" si="63"/>
        <v>0</v>
      </c>
      <c r="N138" s="438">
        <f t="shared" si="63"/>
        <v>0</v>
      </c>
      <c r="O138" s="439">
        <f t="shared" si="63"/>
        <v>0</v>
      </c>
      <c r="P138" s="399">
        <f>SUM(D138:O138)</f>
        <v>0</v>
      </c>
      <c r="Q138" s="373"/>
      <c r="R138" s="373"/>
      <c r="S138" s="373"/>
      <c r="T138" s="373"/>
      <c r="U138" s="373"/>
      <c r="V138" s="373"/>
      <c r="W138" s="373"/>
      <c r="X138" s="372"/>
      <c r="Y138" s="372"/>
    </row>
    <row r="139" spans="2:25" ht="15.75" thickBot="1">
      <c r="B139" s="24"/>
      <c r="C139" s="24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0"/>
      <c r="P139" s="400"/>
      <c r="Q139" s="373"/>
      <c r="R139" s="373"/>
      <c r="S139" s="373"/>
      <c r="T139" s="373"/>
      <c r="U139" s="373"/>
      <c r="V139" s="373"/>
      <c r="W139" s="373"/>
      <c r="X139" s="372"/>
      <c r="Y139" s="372"/>
    </row>
    <row r="140" spans="2:25" ht="15.75" thickTop="1">
      <c r="B140" s="1015" t="s">
        <v>231</v>
      </c>
      <c r="C140" s="1016"/>
      <c r="D140" s="1016"/>
      <c r="E140" s="1016"/>
      <c r="F140" s="1016"/>
      <c r="G140" s="1016"/>
      <c r="H140" s="1016"/>
      <c r="I140" s="1016"/>
      <c r="J140" s="1016"/>
      <c r="K140" s="1016"/>
      <c r="L140" s="1016"/>
      <c r="M140" s="1016"/>
      <c r="N140" s="1016"/>
      <c r="O140" s="1043"/>
      <c r="P140" s="53" t="s">
        <v>205</v>
      </c>
      <c r="Q140" s="373"/>
      <c r="R140" s="373"/>
      <c r="S140" s="373"/>
      <c r="T140" s="373"/>
      <c r="U140" s="373"/>
      <c r="V140" s="373"/>
      <c r="W140" s="373"/>
      <c r="X140" s="372"/>
      <c r="Y140" s="372"/>
    </row>
    <row r="141" spans="2:25" ht="15.75" thickBot="1">
      <c r="B141" s="96" t="s">
        <v>904</v>
      </c>
      <c r="C141" s="1025" t="s">
        <v>432</v>
      </c>
      <c r="D141" s="1056"/>
      <c r="E141" s="1056"/>
      <c r="F141" s="1056"/>
      <c r="G141" s="1056"/>
      <c r="H141" s="1056"/>
      <c r="I141" s="1056"/>
      <c r="J141" s="1056"/>
      <c r="K141" s="1056"/>
      <c r="L141" s="1056"/>
      <c r="M141" s="1056"/>
      <c r="N141" s="1056"/>
      <c r="O141" s="1057"/>
      <c r="P141" s="440"/>
      <c r="Q141" s="373"/>
      <c r="R141" s="373"/>
      <c r="S141" s="373"/>
      <c r="T141" s="373"/>
      <c r="U141" s="373"/>
      <c r="V141" s="373"/>
      <c r="W141" s="373"/>
      <c r="X141" s="372"/>
      <c r="Y141" s="372"/>
    </row>
    <row r="142" spans="2:25" ht="15">
      <c r="B142" s="214">
        <f>IF(ISBLANK(C142),"",INDEX(List!$AE$2:$AE$48,MATCH($C142,List!$AF$2:$AF$48,0)))</f>
        <v>480</v>
      </c>
      <c r="C142" s="581" t="s">
        <v>868</v>
      </c>
      <c r="D142" s="589">
        <v>3</v>
      </c>
      <c r="E142" s="582">
        <v>3</v>
      </c>
      <c r="F142" s="582">
        <v>3</v>
      </c>
      <c r="G142" s="582">
        <v>3</v>
      </c>
      <c r="H142" s="582"/>
      <c r="I142" s="582"/>
      <c r="J142" s="582"/>
      <c r="K142" s="582"/>
      <c r="L142" s="582"/>
      <c r="M142" s="582"/>
      <c r="N142" s="582"/>
      <c r="O142" s="583"/>
      <c r="P142" s="441">
        <f>SUM(D142:O142)</f>
        <v>12</v>
      </c>
      <c r="Q142" s="385">
        <f>INDEX(List!$AG$2:$AG$48,MATCH($C142,List!$AF$2:$AF$48,0))</f>
        <v>2</v>
      </c>
      <c r="R142" s="373"/>
      <c r="S142" s="373"/>
      <c r="T142" s="373"/>
      <c r="U142" s="373"/>
      <c r="V142" s="373"/>
      <c r="W142" s="373"/>
      <c r="X142" s="372"/>
      <c r="Y142" s="372"/>
    </row>
    <row r="143" spans="2:25" ht="15">
      <c r="B143" s="214">
        <f>IF(ISBLANK(C143),"",INDEX(List!$AE$2:$AE$48,MATCH($C143,List!$AF$2:$AF$48,0)))</f>
        <v>255</v>
      </c>
      <c r="C143" s="581" t="s">
        <v>820</v>
      </c>
      <c r="D143" s="584">
        <v>3</v>
      </c>
      <c r="E143" s="434">
        <v>3</v>
      </c>
      <c r="F143" s="434">
        <v>3</v>
      </c>
      <c r="G143" s="434">
        <v>3</v>
      </c>
      <c r="H143" s="434"/>
      <c r="I143" s="434"/>
      <c r="J143" s="434"/>
      <c r="K143" s="434"/>
      <c r="L143" s="434"/>
      <c r="M143" s="434"/>
      <c r="N143" s="434"/>
      <c r="O143" s="585"/>
      <c r="P143" s="441">
        <f t="shared" ref="P143:P156" si="64">SUM(D143:O143)</f>
        <v>12</v>
      </c>
      <c r="Q143" s="385">
        <f>INDEX(List!$AG$2:$AG$48,MATCH($C143,List!$AF$2:$AF$48,0))</f>
        <v>2</v>
      </c>
      <c r="R143" s="373"/>
      <c r="S143" s="373"/>
      <c r="T143" s="373"/>
      <c r="U143" s="373"/>
      <c r="V143" s="373"/>
      <c r="W143" s="373"/>
      <c r="X143" s="372"/>
      <c r="Y143" s="372"/>
    </row>
    <row r="144" spans="2:25" ht="15">
      <c r="B144" s="214" t="str">
        <f>IF(ISBLANK(C144),"",INDEX(List!$AE$2:$AE$48,MATCH($C144,List!$AF$2:$AF$48,0)))</f>
        <v/>
      </c>
      <c r="C144" s="581"/>
      <c r="D144" s="58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585"/>
      <c r="P144" s="441">
        <f t="shared" si="64"/>
        <v>0</v>
      </c>
      <c r="Q144" s="385" t="e">
        <f>INDEX(List!$AG$2:$AG$48,MATCH($C144,List!$AF$2:$AF$48,0))</f>
        <v>#N/A</v>
      </c>
      <c r="R144" s="373"/>
      <c r="S144" s="373"/>
      <c r="T144" s="373"/>
      <c r="U144" s="373"/>
      <c r="V144" s="373"/>
      <c r="W144" s="373"/>
      <c r="X144" s="372"/>
      <c r="Y144" s="372"/>
    </row>
    <row r="145" spans="2:25" ht="15">
      <c r="B145" s="214" t="str">
        <f>IF(ISBLANK(C145),"",INDEX(List!$AE$2:$AE$48,MATCH($C145,List!$AF$2:$AF$48,0)))</f>
        <v/>
      </c>
      <c r="C145" s="581"/>
      <c r="D145" s="584"/>
      <c r="E145" s="434"/>
      <c r="F145" s="434"/>
      <c r="G145" s="434"/>
      <c r="H145" s="434"/>
      <c r="I145" s="434"/>
      <c r="J145" s="434"/>
      <c r="K145" s="434"/>
      <c r="L145" s="434"/>
      <c r="M145" s="434"/>
      <c r="N145" s="434"/>
      <c r="O145" s="585"/>
      <c r="P145" s="441">
        <f t="shared" si="64"/>
        <v>0</v>
      </c>
      <c r="Q145" s="385" t="e">
        <f>INDEX(List!$AG$2:$AG$48,MATCH($C145,List!$AF$2:$AF$48,0))</f>
        <v>#N/A</v>
      </c>
      <c r="R145" s="373"/>
      <c r="S145" s="373"/>
      <c r="T145" s="373"/>
      <c r="U145" s="373"/>
      <c r="V145" s="373"/>
      <c r="W145" s="373"/>
      <c r="X145" s="372"/>
      <c r="Y145" s="372"/>
    </row>
    <row r="146" spans="2:25" ht="15">
      <c r="B146" s="214" t="str">
        <f>IF(ISBLANK(C146),"",INDEX(List!$AE$2:$AE$48,MATCH($C146,List!$AF$2:$AF$48,0)))</f>
        <v/>
      </c>
      <c r="C146" s="581"/>
      <c r="D146" s="584"/>
      <c r="E146" s="434"/>
      <c r="F146" s="434"/>
      <c r="G146" s="434"/>
      <c r="H146" s="434"/>
      <c r="I146" s="434"/>
      <c r="J146" s="434"/>
      <c r="K146" s="434"/>
      <c r="L146" s="434"/>
      <c r="M146" s="434"/>
      <c r="N146" s="434"/>
      <c r="O146" s="585"/>
      <c r="P146" s="441">
        <f t="shared" si="64"/>
        <v>0</v>
      </c>
      <c r="Q146" s="385" t="e">
        <f>INDEX(List!$AG$2:$AG$48,MATCH($C146,List!$AF$2:$AF$48,0))</f>
        <v>#N/A</v>
      </c>
      <c r="R146" s="373"/>
      <c r="S146" s="373"/>
      <c r="T146" s="373"/>
      <c r="U146" s="373"/>
      <c r="V146" s="373"/>
      <c r="W146" s="373"/>
      <c r="X146" s="372"/>
      <c r="Y146" s="372"/>
    </row>
    <row r="147" spans="2:25" ht="15">
      <c r="B147" s="214" t="str">
        <f>IF(ISBLANK(C147),"",INDEX(List!$AE$2:$AE$48,MATCH($C147,List!$AF$2:$AF$48,0)))</f>
        <v/>
      </c>
      <c r="C147" s="581"/>
      <c r="D147" s="584"/>
      <c r="E147" s="434"/>
      <c r="F147" s="434"/>
      <c r="G147" s="434"/>
      <c r="H147" s="434"/>
      <c r="I147" s="434"/>
      <c r="J147" s="434"/>
      <c r="K147" s="434"/>
      <c r="L147" s="434"/>
      <c r="M147" s="434"/>
      <c r="N147" s="434"/>
      <c r="O147" s="585"/>
      <c r="P147" s="441">
        <f t="shared" si="64"/>
        <v>0</v>
      </c>
      <c r="Q147" s="385" t="e">
        <f>INDEX(List!$AG$2:$AG$48,MATCH($C147,List!$AF$2:$AF$48,0))</f>
        <v>#N/A</v>
      </c>
      <c r="R147" s="373"/>
      <c r="S147" s="373"/>
      <c r="T147" s="373"/>
      <c r="U147" s="373"/>
      <c r="V147" s="373"/>
      <c r="W147" s="373"/>
      <c r="X147" s="372"/>
      <c r="Y147" s="372"/>
    </row>
    <row r="148" spans="2:25" ht="15">
      <c r="B148" s="214" t="str">
        <f>IF(ISBLANK(C148),"",INDEX(List!$AE$2:$AE$48,MATCH($C148,List!$AF$2:$AF$48,0)))</f>
        <v/>
      </c>
      <c r="C148" s="581"/>
      <c r="D148" s="58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585"/>
      <c r="P148" s="441">
        <f t="shared" si="64"/>
        <v>0</v>
      </c>
      <c r="Q148" s="385" t="e">
        <f>INDEX(List!$AG$2:$AG$48,MATCH($C148,List!$AF$2:$AF$48,0))</f>
        <v>#N/A</v>
      </c>
      <c r="R148" s="373"/>
      <c r="S148" s="373"/>
      <c r="T148" s="373"/>
      <c r="U148" s="373"/>
      <c r="V148" s="373"/>
      <c r="W148" s="373"/>
      <c r="X148" s="372"/>
      <c r="Y148" s="372"/>
    </row>
    <row r="149" spans="2:25" ht="15">
      <c r="B149" s="214" t="str">
        <f>IF(ISBLANK(C149),"",INDEX(List!$AE$2:$AE$48,MATCH($C149,List!$AF$2:$AF$48,0)))</f>
        <v/>
      </c>
      <c r="C149" s="581"/>
      <c r="D149" s="584"/>
      <c r="E149" s="434"/>
      <c r="F149" s="434"/>
      <c r="G149" s="434"/>
      <c r="H149" s="434"/>
      <c r="I149" s="434"/>
      <c r="J149" s="434"/>
      <c r="K149" s="434"/>
      <c r="L149" s="434"/>
      <c r="M149" s="434"/>
      <c r="N149" s="434"/>
      <c r="O149" s="585"/>
      <c r="P149" s="441">
        <f t="shared" si="64"/>
        <v>0</v>
      </c>
      <c r="Q149" s="385" t="e">
        <f>INDEX(List!$AG$2:$AG$48,MATCH($C149,List!$AF$2:$AF$48,0))</f>
        <v>#N/A</v>
      </c>
      <c r="R149" s="373"/>
      <c r="S149" s="373"/>
      <c r="T149" s="373"/>
      <c r="U149" s="373"/>
      <c r="V149" s="373"/>
      <c r="W149" s="373"/>
      <c r="X149" s="372"/>
      <c r="Y149" s="372"/>
    </row>
    <row r="150" spans="2:25" ht="15">
      <c r="B150" s="214" t="str">
        <f>IF(ISBLANK(C150),"",INDEX(List!$AE$2:$AE$48,MATCH($C150,List!$AF$2:$AF$48,0)))</f>
        <v/>
      </c>
      <c r="C150" s="581"/>
      <c r="D150" s="584"/>
      <c r="E150" s="434"/>
      <c r="F150" s="434"/>
      <c r="G150" s="434"/>
      <c r="H150" s="434"/>
      <c r="I150" s="434"/>
      <c r="J150" s="434"/>
      <c r="K150" s="434"/>
      <c r="L150" s="434"/>
      <c r="M150" s="434"/>
      <c r="N150" s="434"/>
      <c r="O150" s="585"/>
      <c r="P150" s="441">
        <f t="shared" si="64"/>
        <v>0</v>
      </c>
      <c r="Q150" s="385" t="e">
        <f>INDEX(List!$AG$2:$AG$48,MATCH($C150,List!$AF$2:$AF$48,0))</f>
        <v>#N/A</v>
      </c>
      <c r="R150" s="373"/>
      <c r="S150" s="373"/>
      <c r="T150" s="373"/>
      <c r="U150" s="373"/>
      <c r="V150" s="373"/>
      <c r="W150" s="373"/>
      <c r="X150" s="372"/>
      <c r="Y150" s="372"/>
    </row>
    <row r="151" spans="2:25" ht="15">
      <c r="B151" s="214" t="str">
        <f>IF(ISBLANK(C151),"",INDEX(List!$AE$2:$AE$48,MATCH($C151,List!$AF$2:$AF$48,0)))</f>
        <v/>
      </c>
      <c r="C151" s="581"/>
      <c r="D151" s="584"/>
      <c r="E151" s="434"/>
      <c r="F151" s="434"/>
      <c r="G151" s="434"/>
      <c r="H151" s="434"/>
      <c r="I151" s="434"/>
      <c r="J151" s="434"/>
      <c r="K151" s="434"/>
      <c r="L151" s="434"/>
      <c r="M151" s="434"/>
      <c r="N151" s="434"/>
      <c r="O151" s="585"/>
      <c r="P151" s="441">
        <f t="shared" si="64"/>
        <v>0</v>
      </c>
      <c r="Q151" s="385" t="e">
        <f>INDEX(List!$AG$2:$AG$48,MATCH($C151,List!$AF$2:$AF$48,0))</f>
        <v>#N/A</v>
      </c>
      <c r="R151" s="373"/>
      <c r="S151" s="373"/>
      <c r="T151" s="373"/>
      <c r="U151" s="373"/>
      <c r="V151" s="373"/>
      <c r="W151" s="373"/>
      <c r="X151" s="372"/>
      <c r="Y151" s="372"/>
    </row>
    <row r="152" spans="2:25" ht="15">
      <c r="B152" s="214" t="str">
        <f>IF(ISBLANK(C152),"",INDEX(List!$AE$2:$AE$48,MATCH($C152,List!$AF$2:$AF$48,0)))</f>
        <v/>
      </c>
      <c r="C152" s="581"/>
      <c r="D152" s="584"/>
      <c r="E152" s="434"/>
      <c r="F152" s="434"/>
      <c r="G152" s="434"/>
      <c r="H152" s="434"/>
      <c r="I152" s="434"/>
      <c r="J152" s="434"/>
      <c r="K152" s="434"/>
      <c r="L152" s="434"/>
      <c r="M152" s="434"/>
      <c r="N152" s="434"/>
      <c r="O152" s="585"/>
      <c r="P152" s="441">
        <f t="shared" si="64"/>
        <v>0</v>
      </c>
      <c r="Q152" s="385" t="e">
        <f>INDEX(List!$AG$2:$AG$48,MATCH($C152,List!$AF$2:$AF$48,0))</f>
        <v>#N/A</v>
      </c>
      <c r="R152" s="373"/>
      <c r="S152" s="373"/>
      <c r="T152" s="373"/>
      <c r="U152" s="373"/>
      <c r="V152" s="373"/>
      <c r="W152" s="373"/>
      <c r="X152" s="372"/>
      <c r="Y152" s="372"/>
    </row>
    <row r="153" spans="2:25" ht="15">
      <c r="B153" s="214" t="str">
        <f>IF(ISBLANK(C153),"",INDEX(List!$AE$2:$AE$48,MATCH($C153,List!$AF$2:$AF$48,0)))</f>
        <v/>
      </c>
      <c r="C153" s="581"/>
      <c r="D153" s="584"/>
      <c r="E153" s="434"/>
      <c r="F153" s="434"/>
      <c r="G153" s="434"/>
      <c r="H153" s="434"/>
      <c r="I153" s="434"/>
      <c r="J153" s="434"/>
      <c r="K153" s="434"/>
      <c r="L153" s="434"/>
      <c r="M153" s="434"/>
      <c r="N153" s="434"/>
      <c r="O153" s="585"/>
      <c r="P153" s="441">
        <f t="shared" si="64"/>
        <v>0</v>
      </c>
      <c r="Q153" s="385" t="e">
        <f>INDEX(List!$AG$2:$AG$48,MATCH($C153,List!$AF$2:$AF$48,0))</f>
        <v>#N/A</v>
      </c>
      <c r="R153" s="373"/>
      <c r="S153" s="373"/>
      <c r="T153" s="373"/>
      <c r="U153" s="373"/>
      <c r="V153" s="373"/>
      <c r="W153" s="373"/>
      <c r="X153" s="372"/>
      <c r="Y153" s="372"/>
    </row>
    <row r="154" spans="2:25" ht="15">
      <c r="B154" s="214" t="str">
        <f>IF(ISBLANK(C154),"",INDEX(List!$AE$2:$AE$48,MATCH($C154,List!$AF$2:$AF$48,0)))</f>
        <v/>
      </c>
      <c r="C154" s="581"/>
      <c r="D154" s="584"/>
      <c r="E154" s="434"/>
      <c r="F154" s="434"/>
      <c r="G154" s="434"/>
      <c r="H154" s="434"/>
      <c r="I154" s="434"/>
      <c r="J154" s="434"/>
      <c r="K154" s="434"/>
      <c r="L154" s="434"/>
      <c r="M154" s="434"/>
      <c r="N154" s="434"/>
      <c r="O154" s="585"/>
      <c r="P154" s="441">
        <f t="shared" si="64"/>
        <v>0</v>
      </c>
      <c r="Q154" s="385" t="e">
        <f>INDEX(List!$AG$2:$AG$48,MATCH($C154,List!$AF$2:$AF$48,0))</f>
        <v>#N/A</v>
      </c>
      <c r="R154" s="373"/>
      <c r="S154" s="373"/>
      <c r="T154" s="373"/>
      <c r="U154" s="373"/>
      <c r="V154" s="373"/>
      <c r="W154" s="373"/>
      <c r="X154" s="372"/>
      <c r="Y154" s="372"/>
    </row>
    <row r="155" spans="2:25" ht="15">
      <c r="B155" s="214" t="str">
        <f>IF(ISBLANK(C155),"",INDEX(List!$AE$2:$AE$48,MATCH($C155,List!$AF$2:$AF$48,0)))</f>
        <v/>
      </c>
      <c r="C155" s="581"/>
      <c r="D155" s="58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585"/>
      <c r="P155" s="441">
        <f t="shared" si="64"/>
        <v>0</v>
      </c>
      <c r="Q155" s="385" t="e">
        <f>INDEX(List!$AG$2:$AG$48,MATCH($C155,List!$AF$2:$AF$48,0))</f>
        <v>#N/A</v>
      </c>
      <c r="R155" s="373"/>
      <c r="S155" s="373"/>
      <c r="T155" s="373"/>
      <c r="U155" s="373"/>
      <c r="V155" s="373"/>
      <c r="W155" s="373"/>
      <c r="X155" s="372"/>
      <c r="Y155" s="372"/>
    </row>
    <row r="156" spans="2:25" ht="15.75" thickBot="1">
      <c r="B156" s="214" t="str">
        <f>IF(ISBLANK(C156),"",INDEX(List!$AE$2:$AE$48,MATCH($C156,List!$AF$2:$AF$48,0)))</f>
        <v/>
      </c>
      <c r="C156" s="581"/>
      <c r="D156" s="586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441">
        <f t="shared" si="64"/>
        <v>0</v>
      </c>
      <c r="Q156" s="385" t="e">
        <f>INDEX(List!$AG$2:$AG$48,MATCH($C156,List!$AF$2:$AF$48,0))</f>
        <v>#N/A</v>
      </c>
      <c r="R156" s="373"/>
      <c r="S156" s="373"/>
      <c r="T156" s="373"/>
      <c r="U156" s="373"/>
      <c r="V156" s="373"/>
      <c r="W156" s="373"/>
      <c r="X156" s="372"/>
      <c r="Y156" s="372"/>
    </row>
    <row r="157" spans="2:25" ht="15.75" thickBot="1">
      <c r="B157" s="214" t="s">
        <v>904</v>
      </c>
      <c r="C157" s="1044" t="s">
        <v>414</v>
      </c>
      <c r="D157" s="1045"/>
      <c r="E157" s="1045"/>
      <c r="F157" s="1045"/>
      <c r="G157" s="1045"/>
      <c r="H157" s="1045"/>
      <c r="I157" s="1045"/>
      <c r="J157" s="1045"/>
      <c r="K157" s="1045"/>
      <c r="L157" s="1045"/>
      <c r="M157" s="1045"/>
      <c r="N157" s="1045"/>
      <c r="O157" s="1046"/>
      <c r="P157" s="441"/>
      <c r="Q157" s="385" t="e">
        <f>INDEX(List!$AG$2:$AG$48,MATCH($C157,List!$AF$2:$AF$48,0))</f>
        <v>#N/A</v>
      </c>
      <c r="R157" s="373"/>
      <c r="S157" s="373"/>
      <c r="T157" s="373"/>
      <c r="U157" s="373"/>
      <c r="V157" s="373"/>
      <c r="W157" s="373"/>
      <c r="X157" s="372"/>
      <c r="Y157" s="372"/>
    </row>
    <row r="158" spans="2:25" ht="15">
      <c r="B158" s="214">
        <f>IF(ISBLANK(C158),"",INDEX(List!$AE$2:$AE$48,MATCH($C158,List!$AF$2:$AF$48,0)))</f>
        <v>480</v>
      </c>
      <c r="C158" s="581" t="s">
        <v>868</v>
      </c>
      <c r="D158" s="589">
        <v>5</v>
      </c>
      <c r="E158" s="582">
        <v>5</v>
      </c>
      <c r="F158" s="582">
        <v>5</v>
      </c>
      <c r="G158" s="582">
        <v>5</v>
      </c>
      <c r="H158" s="582"/>
      <c r="I158" s="582"/>
      <c r="J158" s="582"/>
      <c r="K158" s="582"/>
      <c r="L158" s="582"/>
      <c r="M158" s="582"/>
      <c r="N158" s="582"/>
      <c r="O158" s="583"/>
      <c r="P158" s="441">
        <f>SUM(D158:O158)</f>
        <v>20</v>
      </c>
      <c r="Q158" s="385">
        <f>INDEX(List!$AG$2:$AG$48,MATCH($C158,List!$AF$2:$AF$48,0))</f>
        <v>2</v>
      </c>
      <c r="R158" s="373"/>
      <c r="S158" s="373"/>
      <c r="T158" s="373"/>
      <c r="U158" s="373"/>
      <c r="V158" s="373"/>
      <c r="W158" s="373"/>
      <c r="X158" s="372"/>
      <c r="Y158" s="372"/>
    </row>
    <row r="159" spans="2:25" ht="15">
      <c r="B159" s="214">
        <f>IF(ISBLANK(C159),"",INDEX(List!$AE$2:$AE$48,MATCH($C159,List!$AF$2:$AF$48,0)))</f>
        <v>255</v>
      </c>
      <c r="C159" s="581" t="s">
        <v>820</v>
      </c>
      <c r="D159" s="584">
        <v>5</v>
      </c>
      <c r="E159" s="434">
        <v>5</v>
      </c>
      <c r="F159" s="434">
        <v>5</v>
      </c>
      <c r="G159" s="434">
        <v>5</v>
      </c>
      <c r="H159" s="434"/>
      <c r="I159" s="434"/>
      <c r="J159" s="434"/>
      <c r="K159" s="434"/>
      <c r="L159" s="434"/>
      <c r="M159" s="434"/>
      <c r="N159" s="434"/>
      <c r="O159" s="585"/>
      <c r="P159" s="441">
        <f t="shared" ref="P159:P187" si="65">SUM(D159:O159)</f>
        <v>20</v>
      </c>
      <c r="Q159" s="385">
        <f>INDEX(List!$AG$2:$AG$48,MATCH($C159,List!$AF$2:$AF$48,0))</f>
        <v>2</v>
      </c>
      <c r="R159" s="373"/>
      <c r="S159" s="373"/>
      <c r="T159" s="373"/>
      <c r="U159" s="373"/>
      <c r="V159" s="373"/>
      <c r="W159" s="373"/>
      <c r="X159" s="372"/>
      <c r="Y159" s="372"/>
    </row>
    <row r="160" spans="2:25" ht="15">
      <c r="B160" s="214" t="str">
        <f>IF(ISBLANK(C160),"",INDEX(List!$AE$2:$AE$48,MATCH($C160,List!$AF$2:$AF$48,0)))</f>
        <v/>
      </c>
      <c r="C160" s="581"/>
      <c r="D160" s="584"/>
      <c r="E160" s="434"/>
      <c r="F160" s="434"/>
      <c r="G160" s="434"/>
      <c r="H160" s="434"/>
      <c r="I160" s="434"/>
      <c r="J160" s="434"/>
      <c r="K160" s="434"/>
      <c r="L160" s="434"/>
      <c r="M160" s="434"/>
      <c r="N160" s="434"/>
      <c r="O160" s="585"/>
      <c r="P160" s="441">
        <f t="shared" si="65"/>
        <v>0</v>
      </c>
      <c r="Q160" s="385" t="e">
        <f>INDEX(List!$AG$2:$AG$48,MATCH($C160,List!$AF$2:$AF$48,0))</f>
        <v>#N/A</v>
      </c>
      <c r="R160" s="373"/>
      <c r="S160" s="373"/>
      <c r="T160" s="373"/>
      <c r="U160" s="373"/>
      <c r="V160" s="373"/>
      <c r="W160" s="373"/>
      <c r="X160" s="372"/>
      <c r="Y160" s="372"/>
    </row>
    <row r="161" spans="2:25" ht="15">
      <c r="B161" s="214" t="str">
        <f>IF(ISBLANK(C161),"",INDEX(List!$AE$2:$AE$48,MATCH($C161,List!$AF$2:$AF$48,0)))</f>
        <v/>
      </c>
      <c r="C161" s="581"/>
      <c r="D161" s="584"/>
      <c r="E161" s="434"/>
      <c r="F161" s="434"/>
      <c r="G161" s="434"/>
      <c r="H161" s="434"/>
      <c r="I161" s="434"/>
      <c r="J161" s="434"/>
      <c r="K161" s="434"/>
      <c r="L161" s="434"/>
      <c r="M161" s="434"/>
      <c r="N161" s="434"/>
      <c r="O161" s="585"/>
      <c r="P161" s="441">
        <f t="shared" si="65"/>
        <v>0</v>
      </c>
      <c r="Q161" s="385" t="e">
        <f>INDEX(List!$AG$2:$AG$48,MATCH($C161,List!$AF$2:$AF$48,0))</f>
        <v>#N/A</v>
      </c>
      <c r="R161" s="373"/>
      <c r="S161" s="373"/>
      <c r="T161" s="373"/>
      <c r="U161" s="373"/>
      <c r="V161" s="373"/>
      <c r="W161" s="373"/>
      <c r="X161" s="372"/>
      <c r="Y161" s="372"/>
    </row>
    <row r="162" spans="2:25" ht="15">
      <c r="B162" s="214" t="str">
        <f>IF(ISBLANK(C162),"",INDEX(List!$AE$2:$AE$48,MATCH($C162,List!$AF$2:$AF$48,0)))</f>
        <v/>
      </c>
      <c r="C162" s="581"/>
      <c r="D162" s="584"/>
      <c r="E162" s="434"/>
      <c r="F162" s="434"/>
      <c r="G162" s="434"/>
      <c r="H162" s="434"/>
      <c r="I162" s="434"/>
      <c r="J162" s="434"/>
      <c r="K162" s="434"/>
      <c r="L162" s="434"/>
      <c r="M162" s="434"/>
      <c r="N162" s="434"/>
      <c r="O162" s="585"/>
      <c r="P162" s="441">
        <f t="shared" si="65"/>
        <v>0</v>
      </c>
      <c r="Q162" s="385" t="e">
        <f>INDEX(List!$AG$2:$AG$48,MATCH($C162,List!$AF$2:$AF$48,0))</f>
        <v>#N/A</v>
      </c>
      <c r="R162" s="373"/>
      <c r="S162" s="373"/>
      <c r="T162" s="373"/>
      <c r="U162" s="373"/>
      <c r="V162" s="373"/>
      <c r="W162" s="373"/>
      <c r="X162" s="372"/>
      <c r="Y162" s="372"/>
    </row>
    <row r="163" spans="2:25" ht="15">
      <c r="B163" s="214" t="str">
        <f>IF(ISBLANK(C163),"",INDEX(List!$AE$2:$AE$48,MATCH($C163,List!$AF$2:$AF$48,0)))</f>
        <v/>
      </c>
      <c r="C163" s="581"/>
      <c r="D163" s="584"/>
      <c r="E163" s="434"/>
      <c r="F163" s="434"/>
      <c r="G163" s="434"/>
      <c r="H163" s="434"/>
      <c r="I163" s="434"/>
      <c r="J163" s="434"/>
      <c r="K163" s="434"/>
      <c r="L163" s="434"/>
      <c r="M163" s="434"/>
      <c r="N163" s="434"/>
      <c r="O163" s="585"/>
      <c r="P163" s="441">
        <f t="shared" si="65"/>
        <v>0</v>
      </c>
      <c r="Q163" s="385" t="e">
        <f>INDEX(List!$AG$2:$AG$48,MATCH($C163,List!$AF$2:$AF$48,0))</f>
        <v>#N/A</v>
      </c>
      <c r="R163" s="373"/>
      <c r="S163" s="373"/>
      <c r="T163" s="373"/>
      <c r="U163" s="373"/>
      <c r="V163" s="373"/>
      <c r="W163" s="373"/>
      <c r="X163" s="372"/>
      <c r="Y163" s="372"/>
    </row>
    <row r="164" spans="2:25" ht="15">
      <c r="B164" s="214" t="str">
        <f>IF(ISBLANK(C164),"",INDEX(List!$AE$2:$AE$48,MATCH($C164,List!$AF$2:$AF$48,0)))</f>
        <v/>
      </c>
      <c r="C164" s="581"/>
      <c r="D164" s="584"/>
      <c r="E164" s="434"/>
      <c r="F164" s="434"/>
      <c r="G164" s="434"/>
      <c r="H164" s="434"/>
      <c r="I164" s="434"/>
      <c r="J164" s="434"/>
      <c r="K164" s="434"/>
      <c r="L164" s="434"/>
      <c r="M164" s="434"/>
      <c r="N164" s="434"/>
      <c r="O164" s="585"/>
      <c r="P164" s="441">
        <f t="shared" si="65"/>
        <v>0</v>
      </c>
      <c r="Q164" s="385" t="e">
        <f>INDEX(List!$AG$2:$AG$48,MATCH($C164,List!$AF$2:$AF$48,0))</f>
        <v>#N/A</v>
      </c>
      <c r="R164" s="373"/>
      <c r="S164" s="373"/>
      <c r="T164" s="373"/>
      <c r="U164" s="373"/>
      <c r="V164" s="373"/>
      <c r="W164" s="373"/>
      <c r="X164" s="372"/>
      <c r="Y164" s="372"/>
    </row>
    <row r="165" spans="2:25" ht="15">
      <c r="B165" s="214" t="str">
        <f>IF(ISBLANK(C165),"",INDEX(List!$AE$2:$AE$48,MATCH($C165,List!$AF$2:$AF$48,0)))</f>
        <v/>
      </c>
      <c r="C165" s="581"/>
      <c r="D165" s="584"/>
      <c r="E165" s="434"/>
      <c r="F165" s="434"/>
      <c r="G165" s="434"/>
      <c r="H165" s="434"/>
      <c r="I165" s="434"/>
      <c r="J165" s="434"/>
      <c r="K165" s="434"/>
      <c r="L165" s="434"/>
      <c r="M165" s="434"/>
      <c r="N165" s="434"/>
      <c r="O165" s="585"/>
      <c r="P165" s="441">
        <f t="shared" si="65"/>
        <v>0</v>
      </c>
      <c r="Q165" s="385" t="e">
        <f>INDEX(List!$AG$2:$AG$48,MATCH($C165,List!$AF$2:$AF$48,0))</f>
        <v>#N/A</v>
      </c>
      <c r="R165" s="373"/>
      <c r="S165" s="373"/>
      <c r="T165" s="373"/>
      <c r="U165" s="373"/>
      <c r="V165" s="373"/>
      <c r="W165" s="373"/>
      <c r="X165" s="372"/>
      <c r="Y165" s="372"/>
    </row>
    <row r="166" spans="2:25" ht="15">
      <c r="B166" s="214" t="str">
        <f>IF(ISBLANK(C166),"",INDEX(List!$AE$2:$AE$48,MATCH($C166,List!$AF$2:$AF$48,0)))</f>
        <v/>
      </c>
      <c r="C166" s="581"/>
      <c r="D166" s="58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585"/>
      <c r="P166" s="441">
        <f t="shared" si="65"/>
        <v>0</v>
      </c>
      <c r="Q166" s="385" t="e">
        <f>INDEX(List!$AG$2:$AG$48,MATCH($C166,List!$AF$2:$AF$48,0))</f>
        <v>#N/A</v>
      </c>
      <c r="R166" s="373"/>
      <c r="S166" s="373"/>
      <c r="T166" s="373"/>
      <c r="U166" s="373"/>
      <c r="V166" s="373"/>
      <c r="W166" s="373"/>
      <c r="X166" s="372"/>
      <c r="Y166" s="372"/>
    </row>
    <row r="167" spans="2:25" ht="15">
      <c r="B167" s="214" t="str">
        <f>IF(ISBLANK(C167),"",INDEX(List!$AE$2:$AE$48,MATCH($C167,List!$AF$2:$AF$48,0)))</f>
        <v/>
      </c>
      <c r="C167" s="581"/>
      <c r="D167" s="584"/>
      <c r="E167" s="434"/>
      <c r="F167" s="434"/>
      <c r="G167" s="434"/>
      <c r="H167" s="434"/>
      <c r="I167" s="434"/>
      <c r="J167" s="434"/>
      <c r="K167" s="434"/>
      <c r="L167" s="434"/>
      <c r="M167" s="434"/>
      <c r="N167" s="434"/>
      <c r="O167" s="585"/>
      <c r="P167" s="441">
        <f t="shared" si="65"/>
        <v>0</v>
      </c>
      <c r="Q167" s="385" t="e">
        <f>INDEX(List!$AG$2:$AG$48,MATCH($C167,List!$AF$2:$AF$48,0))</f>
        <v>#N/A</v>
      </c>
      <c r="R167" s="373"/>
      <c r="S167" s="373"/>
      <c r="T167" s="373"/>
      <c r="U167" s="373"/>
      <c r="V167" s="373"/>
      <c r="W167" s="373"/>
      <c r="X167" s="372"/>
      <c r="Y167" s="372"/>
    </row>
    <row r="168" spans="2:25" ht="15.75" thickBot="1">
      <c r="B168" s="214" t="str">
        <f>IF(ISBLANK(C168),"",INDEX(List!$AE$2:$AE$48,MATCH($C168,List!$AF$2:$AF$48,0)))</f>
        <v/>
      </c>
      <c r="C168" s="581"/>
      <c r="D168" s="586"/>
      <c r="E168" s="587"/>
      <c r="F168" s="587"/>
      <c r="G168" s="587"/>
      <c r="H168" s="587"/>
      <c r="I168" s="587"/>
      <c r="J168" s="587"/>
      <c r="K168" s="587"/>
      <c r="L168" s="587"/>
      <c r="M168" s="587"/>
      <c r="N168" s="587"/>
      <c r="O168" s="588"/>
      <c r="P168" s="441">
        <f t="shared" si="65"/>
        <v>0</v>
      </c>
      <c r="Q168" s="385" t="e">
        <f>INDEX(List!$AG$2:$AG$48,MATCH($C168,List!$AF$2:$AF$48,0))</f>
        <v>#N/A</v>
      </c>
      <c r="R168" s="373"/>
      <c r="S168" s="373"/>
      <c r="T168" s="373"/>
      <c r="U168" s="373"/>
      <c r="V168" s="373"/>
      <c r="W168" s="373"/>
      <c r="X168" s="372"/>
      <c r="Y168" s="372"/>
    </row>
    <row r="169" spans="2:25" ht="15.75" thickBot="1">
      <c r="B169" s="214" t="s">
        <v>904</v>
      </c>
      <c r="C169" s="1044" t="s">
        <v>219</v>
      </c>
      <c r="D169" s="1045"/>
      <c r="E169" s="1045"/>
      <c r="F169" s="1045"/>
      <c r="G169" s="1045"/>
      <c r="H169" s="1045"/>
      <c r="I169" s="1045"/>
      <c r="J169" s="1045"/>
      <c r="K169" s="1045"/>
      <c r="L169" s="1045"/>
      <c r="M169" s="1045"/>
      <c r="N169" s="1045"/>
      <c r="O169" s="1046"/>
      <c r="P169" s="441"/>
      <c r="Q169" s="385" t="e">
        <f>INDEX(List!$AG$2:$AG$48,MATCH($C169,List!$AF$2:$AF$48,0))</f>
        <v>#N/A</v>
      </c>
      <c r="R169" s="373"/>
      <c r="S169" s="373"/>
      <c r="T169" s="373"/>
      <c r="U169" s="373"/>
      <c r="V169" s="373"/>
      <c r="W169" s="373"/>
      <c r="X169" s="372"/>
      <c r="Y169" s="372"/>
    </row>
    <row r="170" spans="2:25" ht="15">
      <c r="B170" s="214">
        <f>IF(ISBLANK(C170),"",INDEX(List!$AE$2:$AE$48,MATCH($C170,List!$AF$2:$AF$48,0)))</f>
        <v>480</v>
      </c>
      <c r="C170" s="581" t="s">
        <v>868</v>
      </c>
      <c r="D170" s="589">
        <v>150</v>
      </c>
      <c r="E170" s="589">
        <v>150</v>
      </c>
      <c r="F170" s="582">
        <v>150</v>
      </c>
      <c r="G170" s="582">
        <v>150</v>
      </c>
      <c r="H170" s="582"/>
      <c r="I170" s="582"/>
      <c r="J170" s="582"/>
      <c r="K170" s="582"/>
      <c r="L170" s="582"/>
      <c r="M170" s="582"/>
      <c r="N170" s="582"/>
      <c r="O170" s="583"/>
      <c r="P170" s="441">
        <f t="shared" si="65"/>
        <v>600</v>
      </c>
      <c r="Q170" s="385">
        <f>INDEX(List!$AG$2:$AG$48,MATCH($C170,List!$AF$2:$AF$48,0))</f>
        <v>2</v>
      </c>
      <c r="R170" s="373"/>
      <c r="S170" s="373"/>
      <c r="T170" s="373"/>
      <c r="U170" s="373"/>
      <c r="V170" s="373"/>
      <c r="W170" s="373"/>
      <c r="X170" s="372"/>
      <c r="Y170" s="372"/>
    </row>
    <row r="171" spans="2:25" ht="15">
      <c r="B171" s="214">
        <f>IF(ISBLANK(C171),"",INDEX(List!$AE$2:$AE$48,MATCH($C171,List!$AF$2:$AF$48,0)))</f>
        <v>255</v>
      </c>
      <c r="C171" s="581" t="s">
        <v>820</v>
      </c>
      <c r="D171" s="584">
        <v>150</v>
      </c>
      <c r="E171" s="584">
        <v>150</v>
      </c>
      <c r="F171" s="434">
        <v>150</v>
      </c>
      <c r="G171" s="434">
        <v>150</v>
      </c>
      <c r="H171" s="434"/>
      <c r="I171" s="434"/>
      <c r="J171" s="434"/>
      <c r="K171" s="434"/>
      <c r="L171" s="434"/>
      <c r="M171" s="434"/>
      <c r="N171" s="434"/>
      <c r="O171" s="585"/>
      <c r="P171" s="441">
        <f t="shared" si="65"/>
        <v>600</v>
      </c>
      <c r="Q171" s="385">
        <f>INDEX(List!$AG$2:$AG$48,MATCH($C171,List!$AF$2:$AF$48,0))</f>
        <v>2</v>
      </c>
      <c r="R171" s="373"/>
      <c r="S171" s="373"/>
      <c r="T171" s="373"/>
      <c r="U171" s="373"/>
      <c r="V171" s="373"/>
      <c r="W171" s="373"/>
      <c r="X171" s="372"/>
      <c r="Y171" s="372"/>
    </row>
    <row r="172" spans="2:25" ht="15">
      <c r="B172" s="214" t="str">
        <f>IF(ISBLANK(C172),"",INDEX(List!$AE$2:$AE$48,MATCH($C172,List!$AF$2:$AF$48,0)))</f>
        <v/>
      </c>
      <c r="C172" s="581"/>
      <c r="D172" s="58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585"/>
      <c r="P172" s="441">
        <f t="shared" si="65"/>
        <v>0</v>
      </c>
      <c r="Q172" s="385" t="e">
        <f>INDEX(List!$AG$2:$AG$48,MATCH($C172,List!$AF$2:$AF$48,0))</f>
        <v>#N/A</v>
      </c>
      <c r="R172" s="373"/>
      <c r="S172" s="373"/>
      <c r="T172" s="373"/>
      <c r="U172" s="373"/>
      <c r="V172" s="373"/>
      <c r="W172" s="373"/>
      <c r="X172" s="372"/>
      <c r="Y172" s="372"/>
    </row>
    <row r="173" spans="2:25" ht="15">
      <c r="B173" s="214" t="str">
        <f>IF(ISBLANK(C173),"",INDEX(List!$AE$2:$AE$48,MATCH($C173,List!$AF$2:$AF$48,0)))</f>
        <v/>
      </c>
      <c r="C173" s="581"/>
      <c r="D173" s="584"/>
      <c r="E173" s="434"/>
      <c r="F173" s="434"/>
      <c r="G173" s="434"/>
      <c r="H173" s="434"/>
      <c r="I173" s="434"/>
      <c r="J173" s="434"/>
      <c r="K173" s="434"/>
      <c r="L173" s="434"/>
      <c r="M173" s="434"/>
      <c r="N173" s="434"/>
      <c r="O173" s="585"/>
      <c r="P173" s="441">
        <f t="shared" si="65"/>
        <v>0</v>
      </c>
      <c r="Q173" s="385" t="e">
        <f>INDEX(List!$AG$2:$AG$48,MATCH($C173,List!$AF$2:$AF$48,0))</f>
        <v>#N/A</v>
      </c>
      <c r="R173" s="373"/>
      <c r="S173" s="373"/>
      <c r="T173" s="373"/>
      <c r="U173" s="373"/>
      <c r="V173" s="373"/>
      <c r="W173" s="373"/>
      <c r="X173" s="372"/>
      <c r="Y173" s="372"/>
    </row>
    <row r="174" spans="2:25" ht="15">
      <c r="B174" s="214" t="str">
        <f>IF(ISBLANK(C174),"",INDEX(List!$AE$2:$AE$48,MATCH($C174,List!$AF$2:$AF$48,0)))</f>
        <v/>
      </c>
      <c r="C174" s="581"/>
      <c r="D174" s="584"/>
      <c r="E174" s="434"/>
      <c r="F174" s="434"/>
      <c r="G174" s="434"/>
      <c r="H174" s="434"/>
      <c r="I174" s="434"/>
      <c r="J174" s="434"/>
      <c r="K174" s="434"/>
      <c r="L174" s="434"/>
      <c r="M174" s="434"/>
      <c r="N174" s="434"/>
      <c r="O174" s="585"/>
      <c r="P174" s="441">
        <f t="shared" si="65"/>
        <v>0</v>
      </c>
      <c r="Q174" s="385" t="e">
        <f>INDEX(List!$AG$2:$AG$48,MATCH($C174,List!$AF$2:$AF$48,0))</f>
        <v>#N/A</v>
      </c>
      <c r="R174" s="373"/>
      <c r="S174" s="373"/>
      <c r="T174" s="373"/>
      <c r="U174" s="373"/>
      <c r="V174" s="373"/>
      <c r="W174" s="373"/>
      <c r="X174" s="372"/>
      <c r="Y174" s="372"/>
    </row>
    <row r="175" spans="2:25" ht="15">
      <c r="B175" s="214" t="str">
        <f>IF(ISBLANK(C175),"",INDEX(List!$AE$2:$AE$48,MATCH($C175,List!$AF$2:$AF$48,0)))</f>
        <v/>
      </c>
      <c r="C175" s="581"/>
      <c r="D175" s="584"/>
      <c r="E175" s="434"/>
      <c r="F175" s="434"/>
      <c r="G175" s="434"/>
      <c r="H175" s="434"/>
      <c r="I175" s="434"/>
      <c r="J175" s="434"/>
      <c r="K175" s="434"/>
      <c r="L175" s="434"/>
      <c r="M175" s="434"/>
      <c r="N175" s="434"/>
      <c r="O175" s="585"/>
      <c r="P175" s="441">
        <f t="shared" si="65"/>
        <v>0</v>
      </c>
      <c r="Q175" s="385" t="e">
        <f>INDEX(List!$AG$2:$AG$48,MATCH($C175,List!$AF$2:$AF$48,0))</f>
        <v>#N/A</v>
      </c>
      <c r="R175" s="373"/>
      <c r="S175" s="373"/>
      <c r="T175" s="373"/>
      <c r="U175" s="373"/>
      <c r="V175" s="373"/>
      <c r="W175" s="373"/>
      <c r="X175" s="372"/>
      <c r="Y175" s="372"/>
    </row>
    <row r="176" spans="2:25" ht="15">
      <c r="B176" s="214" t="str">
        <f>IF(ISBLANK(C176),"",INDEX(List!$AE$2:$AE$48,MATCH($C176,List!$AF$2:$AF$48,0)))</f>
        <v/>
      </c>
      <c r="C176" s="581"/>
      <c r="D176" s="584"/>
      <c r="E176" s="434"/>
      <c r="F176" s="434"/>
      <c r="G176" s="434"/>
      <c r="H176" s="434"/>
      <c r="I176" s="434"/>
      <c r="J176" s="434"/>
      <c r="K176" s="434"/>
      <c r="L176" s="434"/>
      <c r="M176" s="434"/>
      <c r="N176" s="434"/>
      <c r="O176" s="585"/>
      <c r="P176" s="441">
        <f t="shared" si="65"/>
        <v>0</v>
      </c>
      <c r="Q176" s="385" t="e">
        <f>INDEX(List!$AG$2:$AG$48,MATCH($C176,List!$AF$2:$AF$48,0))</f>
        <v>#N/A</v>
      </c>
      <c r="R176" s="373"/>
      <c r="S176" s="373"/>
      <c r="T176" s="373"/>
      <c r="U176" s="373"/>
      <c r="V176" s="373"/>
      <c r="W176" s="373"/>
      <c r="X176" s="372"/>
      <c r="Y176" s="372"/>
    </row>
    <row r="177" spans="2:25" ht="15">
      <c r="B177" s="214" t="str">
        <f>IF(ISBLANK(C177),"",INDEX(List!$AE$2:$AE$48,MATCH($C177,List!$AF$2:$AF$48,0)))</f>
        <v/>
      </c>
      <c r="C177" s="581"/>
      <c r="D177" s="584"/>
      <c r="E177" s="434"/>
      <c r="F177" s="434"/>
      <c r="G177" s="434"/>
      <c r="H177" s="434"/>
      <c r="I177" s="434"/>
      <c r="J177" s="434"/>
      <c r="K177" s="434"/>
      <c r="L177" s="434"/>
      <c r="M177" s="434"/>
      <c r="N177" s="434"/>
      <c r="O177" s="585"/>
      <c r="P177" s="441">
        <f t="shared" si="65"/>
        <v>0</v>
      </c>
      <c r="Q177" s="385" t="e">
        <f>INDEX(List!$AG$2:$AG$48,MATCH($C177,List!$AF$2:$AF$48,0))</f>
        <v>#N/A</v>
      </c>
      <c r="R177" s="373"/>
      <c r="S177" s="373"/>
      <c r="T177" s="373"/>
      <c r="U177" s="373"/>
      <c r="V177" s="373"/>
      <c r="W177" s="373"/>
      <c r="X177" s="372"/>
      <c r="Y177" s="372"/>
    </row>
    <row r="178" spans="2:25" ht="15">
      <c r="B178" s="214" t="str">
        <f>IF(ISBLANK(C178),"",INDEX(List!$AE$2:$AE$48,MATCH($C178,List!$AF$2:$AF$48,0)))</f>
        <v/>
      </c>
      <c r="C178" s="581"/>
      <c r="D178" s="584"/>
      <c r="E178" s="434"/>
      <c r="F178" s="434"/>
      <c r="G178" s="434"/>
      <c r="H178" s="434"/>
      <c r="I178" s="434"/>
      <c r="J178" s="434"/>
      <c r="K178" s="434"/>
      <c r="L178" s="434"/>
      <c r="M178" s="434"/>
      <c r="N178" s="434"/>
      <c r="O178" s="585"/>
      <c r="P178" s="441">
        <f t="shared" si="65"/>
        <v>0</v>
      </c>
      <c r="Q178" s="385" t="e">
        <f>INDEX(List!$AG$2:$AG$48,MATCH($C178,List!$AF$2:$AF$48,0))</f>
        <v>#N/A</v>
      </c>
      <c r="R178" s="373"/>
      <c r="S178" s="373"/>
      <c r="T178" s="373"/>
      <c r="U178" s="373"/>
      <c r="V178" s="373"/>
      <c r="W178" s="373"/>
      <c r="X178" s="372"/>
      <c r="Y178" s="372"/>
    </row>
    <row r="179" spans="2:25" ht="15">
      <c r="B179" s="214" t="str">
        <f>IF(ISBLANK(C179),"",INDEX(List!$AE$2:$AE$48,MATCH($C179,List!$AF$2:$AF$48,0)))</f>
        <v/>
      </c>
      <c r="C179" s="581"/>
      <c r="D179" s="584"/>
      <c r="E179" s="434"/>
      <c r="F179" s="434"/>
      <c r="G179" s="434"/>
      <c r="H179" s="434"/>
      <c r="I179" s="434"/>
      <c r="J179" s="434"/>
      <c r="K179" s="434"/>
      <c r="L179" s="434"/>
      <c r="M179" s="434"/>
      <c r="N179" s="434"/>
      <c r="O179" s="585"/>
      <c r="P179" s="441">
        <f t="shared" si="65"/>
        <v>0</v>
      </c>
      <c r="Q179" s="385" t="e">
        <f>INDEX(List!$AG$2:$AG$48,MATCH($C179,List!$AF$2:$AF$48,0))</f>
        <v>#N/A</v>
      </c>
      <c r="R179" s="373"/>
      <c r="S179" s="373"/>
      <c r="T179" s="373"/>
      <c r="U179" s="373"/>
      <c r="V179" s="373"/>
      <c r="W179" s="373"/>
      <c r="X179" s="372"/>
      <c r="Y179" s="372"/>
    </row>
    <row r="180" spans="2:25" ht="15">
      <c r="B180" s="214" t="str">
        <f>IF(ISBLANK(C180),"",INDEX(List!$AE$2:$AE$48,MATCH($C180,List!$AF$2:$AF$48,0)))</f>
        <v/>
      </c>
      <c r="C180" s="581"/>
      <c r="D180" s="584"/>
      <c r="E180" s="434"/>
      <c r="F180" s="434"/>
      <c r="G180" s="434"/>
      <c r="H180" s="434"/>
      <c r="I180" s="434"/>
      <c r="J180" s="434"/>
      <c r="K180" s="434"/>
      <c r="L180" s="434"/>
      <c r="M180" s="434"/>
      <c r="N180" s="434"/>
      <c r="O180" s="585"/>
      <c r="P180" s="441">
        <f t="shared" si="65"/>
        <v>0</v>
      </c>
      <c r="Q180" s="385" t="e">
        <f>INDEX(List!$AG$2:$AG$48,MATCH($C180,List!$AF$2:$AF$48,0))</f>
        <v>#N/A</v>
      </c>
      <c r="R180" s="373"/>
      <c r="S180" s="373"/>
      <c r="T180" s="373"/>
      <c r="U180" s="373"/>
      <c r="V180" s="373"/>
      <c r="W180" s="373"/>
      <c r="X180" s="372"/>
      <c r="Y180" s="372"/>
    </row>
    <row r="181" spans="2:25" ht="15">
      <c r="B181" s="214" t="str">
        <f>IF(ISBLANK(C181),"",INDEX(List!$AE$2:$AE$48,MATCH($C181,List!$AF$2:$AF$48,0)))</f>
        <v/>
      </c>
      <c r="C181" s="581"/>
      <c r="D181" s="58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585"/>
      <c r="P181" s="441">
        <f t="shared" si="65"/>
        <v>0</v>
      </c>
      <c r="Q181" s="385" t="e">
        <f>INDEX(List!$AG$2:$AG$48,MATCH($C181,List!$AF$2:$AF$48,0))</f>
        <v>#N/A</v>
      </c>
      <c r="R181" s="373"/>
      <c r="S181" s="373"/>
      <c r="T181" s="373"/>
      <c r="U181" s="373"/>
      <c r="V181" s="373"/>
      <c r="W181" s="373"/>
      <c r="X181" s="372"/>
      <c r="Y181" s="372"/>
    </row>
    <row r="182" spans="2:25" ht="15">
      <c r="B182" s="214" t="str">
        <f>IF(ISBLANK(C182),"",INDEX(List!$AE$2:$AE$48,MATCH($C182,List!$AF$2:$AF$48,0)))</f>
        <v/>
      </c>
      <c r="C182" s="581"/>
      <c r="D182" s="584"/>
      <c r="E182" s="434"/>
      <c r="F182" s="434"/>
      <c r="G182" s="434"/>
      <c r="H182" s="434"/>
      <c r="I182" s="434"/>
      <c r="J182" s="434"/>
      <c r="K182" s="434"/>
      <c r="L182" s="434"/>
      <c r="M182" s="434"/>
      <c r="N182" s="434"/>
      <c r="O182" s="585"/>
      <c r="P182" s="441">
        <f t="shared" si="65"/>
        <v>0</v>
      </c>
      <c r="Q182" s="385" t="e">
        <f>INDEX(List!$AG$2:$AG$48,MATCH($C182,List!$AF$2:$AF$48,0))</f>
        <v>#N/A</v>
      </c>
      <c r="R182" s="373"/>
      <c r="S182" s="373"/>
      <c r="T182" s="373"/>
      <c r="U182" s="373"/>
      <c r="V182" s="373"/>
      <c r="W182" s="373"/>
      <c r="X182" s="372"/>
      <c r="Y182" s="372"/>
    </row>
    <row r="183" spans="2:25" ht="15">
      <c r="B183" s="214" t="str">
        <f>IF(ISBLANK(C183),"",INDEX(List!$AE$2:$AE$48,MATCH($C183,List!$AF$2:$AF$48,0)))</f>
        <v/>
      </c>
      <c r="C183" s="581"/>
      <c r="D183" s="584"/>
      <c r="E183" s="434"/>
      <c r="F183" s="434"/>
      <c r="G183" s="434"/>
      <c r="H183" s="434"/>
      <c r="I183" s="434"/>
      <c r="J183" s="434"/>
      <c r="K183" s="434"/>
      <c r="L183" s="434"/>
      <c r="M183" s="434"/>
      <c r="N183" s="434"/>
      <c r="O183" s="585"/>
      <c r="P183" s="441">
        <f t="shared" si="65"/>
        <v>0</v>
      </c>
      <c r="Q183" s="385" t="e">
        <f>INDEX(List!$AG$2:$AG$48,MATCH($C183,List!$AF$2:$AF$48,0))</f>
        <v>#N/A</v>
      </c>
      <c r="R183" s="373"/>
      <c r="S183" s="373"/>
      <c r="T183" s="373"/>
      <c r="U183" s="373"/>
      <c r="V183" s="373"/>
      <c r="W183" s="373"/>
      <c r="X183" s="372"/>
      <c r="Y183" s="372"/>
    </row>
    <row r="184" spans="2:25" ht="15">
      <c r="B184" s="214" t="str">
        <f>IF(ISBLANK(C184),"",INDEX(List!$AE$2:$AE$48,MATCH($C184,List!$AF$2:$AF$48,0)))</f>
        <v/>
      </c>
      <c r="C184" s="581"/>
      <c r="D184" s="584"/>
      <c r="E184" s="434"/>
      <c r="F184" s="434"/>
      <c r="G184" s="434"/>
      <c r="H184" s="434"/>
      <c r="I184" s="434"/>
      <c r="J184" s="434"/>
      <c r="K184" s="434"/>
      <c r="L184" s="434"/>
      <c r="M184" s="434"/>
      <c r="N184" s="434"/>
      <c r="O184" s="585"/>
      <c r="P184" s="441">
        <f t="shared" si="65"/>
        <v>0</v>
      </c>
      <c r="Q184" s="385" t="e">
        <f>INDEX(List!$AG$2:$AG$48,MATCH($C184,List!$AF$2:$AF$48,0))</f>
        <v>#N/A</v>
      </c>
      <c r="R184" s="373"/>
      <c r="S184" s="373"/>
      <c r="T184" s="373"/>
      <c r="U184" s="373"/>
      <c r="V184" s="373"/>
      <c r="W184" s="373"/>
      <c r="X184" s="372"/>
      <c r="Y184" s="372"/>
    </row>
    <row r="185" spans="2:25" ht="15">
      <c r="B185" s="214" t="str">
        <f>IF(ISBLANK(C185),"",INDEX(List!$AE$2:$AE$48,MATCH($C185,List!$AF$2:$AF$48,0)))</f>
        <v/>
      </c>
      <c r="C185" s="581"/>
      <c r="D185" s="584"/>
      <c r="E185" s="434"/>
      <c r="F185" s="434"/>
      <c r="G185" s="434"/>
      <c r="H185" s="434"/>
      <c r="I185" s="434"/>
      <c r="J185" s="434"/>
      <c r="K185" s="434"/>
      <c r="L185" s="434"/>
      <c r="M185" s="434"/>
      <c r="N185" s="434"/>
      <c r="O185" s="585"/>
      <c r="P185" s="441">
        <f t="shared" si="65"/>
        <v>0</v>
      </c>
      <c r="Q185" s="385" t="e">
        <f>INDEX(List!$AG$2:$AG$48,MATCH($C185,List!$AF$2:$AF$48,0))</f>
        <v>#N/A</v>
      </c>
      <c r="R185" s="373"/>
      <c r="S185" s="373"/>
      <c r="T185" s="373"/>
      <c r="U185" s="373"/>
      <c r="V185" s="373"/>
      <c r="W185" s="373"/>
      <c r="X185" s="372"/>
      <c r="Y185" s="372"/>
    </row>
    <row r="186" spans="2:25" ht="15">
      <c r="B186" s="214" t="str">
        <f>IF(ISBLANK(C186),"",INDEX(List!$AE$2:$AE$48,MATCH($C186,List!$AF$2:$AF$48,0)))</f>
        <v/>
      </c>
      <c r="C186" s="581"/>
      <c r="D186" s="584"/>
      <c r="E186" s="434"/>
      <c r="F186" s="434"/>
      <c r="G186" s="434"/>
      <c r="H186" s="434"/>
      <c r="I186" s="434"/>
      <c r="J186" s="434"/>
      <c r="K186" s="434"/>
      <c r="L186" s="434"/>
      <c r="M186" s="434"/>
      <c r="N186" s="434"/>
      <c r="O186" s="585"/>
      <c r="P186" s="441">
        <f t="shared" si="65"/>
        <v>0</v>
      </c>
      <c r="Q186" s="385" t="e">
        <f>INDEX(List!$AG$2:$AG$48,MATCH($C186,List!$AF$2:$AF$48,0))</f>
        <v>#N/A</v>
      </c>
      <c r="R186" s="373"/>
      <c r="S186" s="373"/>
      <c r="T186" s="373"/>
      <c r="U186" s="373"/>
      <c r="V186" s="373"/>
      <c r="W186" s="373"/>
      <c r="X186" s="372"/>
      <c r="Y186" s="372"/>
    </row>
    <row r="187" spans="2:25" ht="15.75" thickBot="1">
      <c r="B187" s="214" t="str">
        <f>IF(ISBLANK(C187),"",INDEX(List!$AE$2:$AE$48,MATCH($C187,List!$AF$2:$AF$48,0)))</f>
        <v/>
      </c>
      <c r="C187" s="581"/>
      <c r="D187" s="586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8"/>
      <c r="P187" s="441">
        <f t="shared" si="65"/>
        <v>0</v>
      </c>
      <c r="Q187" s="385" t="e">
        <f>INDEX(List!$AG$2:$AG$48,MATCH($C187,List!$AF$2:$AF$48,0))</f>
        <v>#N/A</v>
      </c>
      <c r="R187" s="373"/>
      <c r="S187" s="373"/>
      <c r="T187" s="373"/>
      <c r="U187" s="373"/>
      <c r="V187" s="373"/>
      <c r="W187" s="373"/>
      <c r="X187" s="372"/>
      <c r="Y187" s="372"/>
    </row>
    <row r="188" spans="2:25" ht="15">
      <c r="B188" s="97" t="s">
        <v>217</v>
      </c>
      <c r="C188" s="590" t="s">
        <v>154</v>
      </c>
      <c r="D188" s="596">
        <f>SUMPRODUCT(B142:B156,D142:D156)</f>
        <v>2205</v>
      </c>
      <c r="E188" s="593">
        <f>SUMPRODUCT(B142:B156,E142:E156)</f>
        <v>2205</v>
      </c>
      <c r="F188" s="393">
        <f>SUMPRODUCT(B142:B156,F142:F156)</f>
        <v>2205</v>
      </c>
      <c r="G188" s="393">
        <f>SUMPRODUCT(B142:B156,G142:G156)</f>
        <v>2205</v>
      </c>
      <c r="H188" s="393">
        <f>SUMPRODUCT(B142:B156,H142:H156)</f>
        <v>0</v>
      </c>
      <c r="I188" s="393">
        <f>SUMPRODUCT(B142:B156,I142:I156)</f>
        <v>0</v>
      </c>
      <c r="J188" s="393">
        <f>SUMPRODUCT(B142:B156,J142:J156)</f>
        <v>0</v>
      </c>
      <c r="K188" s="393">
        <f>SUMPRODUCT(B142:B156,K142:K156)</f>
        <v>0</v>
      </c>
      <c r="L188" s="393">
        <f>SUMPRODUCT(B142:B156,L142:L156)</f>
        <v>0</v>
      </c>
      <c r="M188" s="393">
        <f>SUMPRODUCT(B142:B156,M142:M156)</f>
        <v>0</v>
      </c>
      <c r="N188" s="393">
        <f>SUMPRODUCT(B142:B156,N142:N156)</f>
        <v>0</v>
      </c>
      <c r="O188" s="442">
        <f>SUMPRODUCT(B142:B156,O142:O156)</f>
        <v>0</v>
      </c>
      <c r="P188" s="443">
        <f>SUM(D188:O188)</f>
        <v>8820</v>
      </c>
      <c r="Q188" s="373"/>
      <c r="R188" s="373"/>
      <c r="S188" s="373"/>
      <c r="T188" s="373"/>
      <c r="U188" s="373"/>
      <c r="V188" s="373"/>
      <c r="W188" s="373"/>
      <c r="X188" s="372"/>
      <c r="Y188" s="372"/>
    </row>
    <row r="189" spans="2:25" ht="15">
      <c r="B189" s="87"/>
      <c r="C189" s="591" t="s">
        <v>218</v>
      </c>
      <c r="D189" s="597">
        <f>SUMPRODUCT(B158:B168,D158:D168)</f>
        <v>3675</v>
      </c>
      <c r="E189" s="594">
        <f>SUMPRODUCT(B158:B168,E158:E168)</f>
        <v>3675</v>
      </c>
      <c r="F189" s="395">
        <f>SUMPRODUCT(B158:B168,F158:F168)</f>
        <v>3675</v>
      </c>
      <c r="G189" s="395">
        <f>SUMPRODUCT(B158:B168,G158:G168)</f>
        <v>3675</v>
      </c>
      <c r="H189" s="395">
        <f>SUMPRODUCT(B158:B168,H158:H168)</f>
        <v>0</v>
      </c>
      <c r="I189" s="395">
        <f>SUMPRODUCT(B158:B168,I158:I168)</f>
        <v>0</v>
      </c>
      <c r="J189" s="395">
        <f>SUMPRODUCT(B158:B168,J158:J168)</f>
        <v>0</v>
      </c>
      <c r="K189" s="395">
        <f>SUMPRODUCT(B158:B168,K158:K168)</f>
        <v>0</v>
      </c>
      <c r="L189" s="395">
        <f>SUMPRODUCT(B158:B168,L158:L168)</f>
        <v>0</v>
      </c>
      <c r="M189" s="395">
        <f>SUMPRODUCT(B158:B168,M158:M168)</f>
        <v>0</v>
      </c>
      <c r="N189" s="395">
        <f>SUMPRODUCT(B158:B168,N158:N168)</f>
        <v>0</v>
      </c>
      <c r="O189" s="444">
        <f>SUMPRODUCT(B158:B168,O158:O168)</f>
        <v>0</v>
      </c>
      <c r="P189" s="445">
        <f>SUM(D189:O189)</f>
        <v>14700</v>
      </c>
      <c r="Q189" s="373"/>
      <c r="R189" s="373"/>
      <c r="S189" s="373"/>
      <c r="T189" s="373"/>
      <c r="U189" s="373"/>
      <c r="V189" s="373"/>
      <c r="W189" s="373"/>
      <c r="X189" s="372"/>
      <c r="Y189" s="372"/>
    </row>
    <row r="190" spans="2:25" ht="15">
      <c r="B190" s="87"/>
      <c r="C190" s="591" t="s">
        <v>219</v>
      </c>
      <c r="D190" s="597">
        <f>SUMPRODUCT(B170:B187,D170:D187)</f>
        <v>110250</v>
      </c>
      <c r="E190" s="594">
        <f>SUMPRODUCT(B170:B187,E170:E187)</f>
        <v>110250</v>
      </c>
      <c r="F190" s="395">
        <f>SUMPRODUCT(B170:B187,F170:F187)</f>
        <v>110250</v>
      </c>
      <c r="G190" s="395">
        <f>SUMPRODUCT(B170:B187,G170:G187)</f>
        <v>110250</v>
      </c>
      <c r="H190" s="395">
        <f>SUMPRODUCT(B170:B187,H170:H187)</f>
        <v>0</v>
      </c>
      <c r="I190" s="395">
        <f>SUMPRODUCT(B170:B187,I170:I187)</f>
        <v>0</v>
      </c>
      <c r="J190" s="395">
        <f>SUMPRODUCT(B170:B187,J170:J187)</f>
        <v>0</v>
      </c>
      <c r="K190" s="395">
        <f>SUMPRODUCT(B170:B187,K170:K187)</f>
        <v>0</v>
      </c>
      <c r="L190" s="395">
        <f>SUMPRODUCT(B170:B187,L170:L187)</f>
        <v>0</v>
      </c>
      <c r="M190" s="395">
        <f>SUMPRODUCT(B170:B187,M170:M187)</f>
        <v>0</v>
      </c>
      <c r="N190" s="395">
        <f>SUMPRODUCT(B170:B187,N170:N187)</f>
        <v>0</v>
      </c>
      <c r="O190" s="444">
        <f>SUMPRODUCT(B170:B187,O170:O187)</f>
        <v>0</v>
      </c>
      <c r="P190" s="445">
        <f>SUM(D190:O190)</f>
        <v>441000</v>
      </c>
      <c r="Q190" s="373"/>
      <c r="R190" s="373"/>
      <c r="S190" s="373"/>
      <c r="T190" s="373"/>
      <c r="U190" s="373"/>
      <c r="V190" s="373"/>
      <c r="W190" s="373"/>
      <c r="X190" s="372"/>
      <c r="Y190" s="372"/>
    </row>
    <row r="191" spans="2:25" ht="15.75" thickBot="1">
      <c r="B191" s="88" t="s">
        <v>226</v>
      </c>
      <c r="C191" s="592"/>
      <c r="D191" s="598">
        <f>SUM(D188:D190)</f>
        <v>116130</v>
      </c>
      <c r="E191" s="595">
        <f t="shared" ref="E191:O191" si="66">SUM(E188:E190)</f>
        <v>116130</v>
      </c>
      <c r="F191" s="438">
        <f t="shared" si="66"/>
        <v>116130</v>
      </c>
      <c r="G191" s="438">
        <f t="shared" si="66"/>
        <v>116130</v>
      </c>
      <c r="H191" s="438">
        <f t="shared" si="66"/>
        <v>0</v>
      </c>
      <c r="I191" s="438">
        <f t="shared" si="66"/>
        <v>0</v>
      </c>
      <c r="J191" s="438">
        <f t="shared" si="66"/>
        <v>0</v>
      </c>
      <c r="K191" s="438">
        <f t="shared" si="66"/>
        <v>0</v>
      </c>
      <c r="L191" s="438">
        <f t="shared" si="66"/>
        <v>0</v>
      </c>
      <c r="M191" s="438">
        <f t="shared" si="66"/>
        <v>0</v>
      </c>
      <c r="N191" s="438">
        <f t="shared" si="66"/>
        <v>0</v>
      </c>
      <c r="O191" s="446">
        <f t="shared" si="66"/>
        <v>0</v>
      </c>
      <c r="P191" s="447">
        <f>SUM(D191:O191)</f>
        <v>464520</v>
      </c>
      <c r="Q191" s="373"/>
      <c r="R191" s="373"/>
      <c r="S191" s="373"/>
      <c r="T191" s="373"/>
      <c r="U191" s="373"/>
      <c r="V191" s="373"/>
      <c r="W191" s="373"/>
      <c r="X191" s="372"/>
      <c r="Y191" s="372"/>
    </row>
    <row r="192" spans="2:25" ht="15.75" thickBot="1">
      <c r="B192" s="28"/>
      <c r="C192" s="24"/>
      <c r="D192" s="400"/>
      <c r="E192" s="400"/>
      <c r="F192" s="400"/>
      <c r="G192" s="400"/>
      <c r="H192" s="400"/>
      <c r="I192" s="400"/>
      <c r="J192" s="400"/>
      <c r="K192" s="400"/>
      <c r="L192" s="400"/>
      <c r="M192" s="400"/>
      <c r="N192" s="400"/>
      <c r="O192" s="400"/>
      <c r="P192" s="400"/>
      <c r="Q192" s="373"/>
      <c r="R192" s="373"/>
      <c r="S192" s="373"/>
      <c r="T192" s="373"/>
      <c r="U192" s="373"/>
      <c r="V192" s="373"/>
      <c r="W192" s="373"/>
      <c r="X192" s="372"/>
      <c r="Y192" s="372"/>
    </row>
    <row r="193" spans="2:25" ht="15.75" thickTop="1">
      <c r="B193" s="1008" t="s">
        <v>934</v>
      </c>
      <c r="C193" s="1009"/>
      <c r="D193" s="1009"/>
      <c r="E193" s="1009"/>
      <c r="F193" s="1009"/>
      <c r="G193" s="1009"/>
      <c r="H193" s="1009"/>
      <c r="I193" s="1009"/>
      <c r="J193" s="1009"/>
      <c r="K193" s="1009"/>
      <c r="L193" s="1009"/>
      <c r="M193" s="1009"/>
      <c r="N193" s="1009"/>
      <c r="O193" s="1058"/>
      <c r="P193" s="46" t="s">
        <v>205</v>
      </c>
      <c r="Q193" s="373"/>
      <c r="R193" s="373"/>
      <c r="S193" s="373"/>
      <c r="T193" s="373"/>
      <c r="U193" s="373"/>
      <c r="V193" s="373"/>
      <c r="W193" s="373"/>
      <c r="X193" s="372"/>
      <c r="Y193" s="372"/>
    </row>
    <row r="194" spans="2:25" ht="15.75" thickBot="1">
      <c r="B194" s="96" t="s">
        <v>905</v>
      </c>
      <c r="C194" s="1025" t="s">
        <v>660</v>
      </c>
      <c r="D194" s="1056"/>
      <c r="E194" s="1056"/>
      <c r="F194" s="1056"/>
      <c r="G194" s="1056"/>
      <c r="H194" s="1056"/>
      <c r="I194" s="1056"/>
      <c r="J194" s="1056"/>
      <c r="K194" s="1056"/>
      <c r="L194" s="1056"/>
      <c r="M194" s="1056"/>
      <c r="N194" s="1056"/>
      <c r="O194" s="1061"/>
      <c r="P194" s="448"/>
      <c r="Q194" s="373"/>
      <c r="R194" s="373"/>
      <c r="S194" s="373"/>
      <c r="T194" s="373"/>
      <c r="U194" s="373"/>
      <c r="V194" s="373"/>
      <c r="W194" s="373"/>
      <c r="X194" s="372"/>
      <c r="Y194" s="372"/>
    </row>
    <row r="195" spans="2:25" ht="15">
      <c r="B195" s="212">
        <f>IF(ISBLANK(C195),"",INDEX([1]List!$AK$2:$AK$99,MATCH($C195,[1]List!$AJ$2:$AJ$99,0)))</f>
        <v>1250</v>
      </c>
      <c r="C195" s="599" t="s">
        <v>661</v>
      </c>
      <c r="D195" s="793">
        <v>30</v>
      </c>
      <c r="E195" s="793">
        <v>30</v>
      </c>
      <c r="F195" s="449">
        <v>30</v>
      </c>
      <c r="G195" s="601">
        <v>30</v>
      </c>
      <c r="H195" s="601"/>
      <c r="I195" s="601"/>
      <c r="J195" s="601"/>
      <c r="K195" s="601"/>
      <c r="L195" s="601"/>
      <c r="M195" s="601"/>
      <c r="N195" s="601"/>
      <c r="O195" s="602"/>
      <c r="P195" s="600">
        <f>IF(ISBLANK(C195),"",(((SUM(D195:O195))*B195)))</f>
        <v>150000</v>
      </c>
      <c r="Q195" s="373"/>
      <c r="R195" s="373"/>
      <c r="S195" s="373"/>
      <c r="T195" s="373"/>
      <c r="U195" s="373"/>
      <c r="V195" s="373"/>
      <c r="W195" s="373"/>
      <c r="X195" s="372"/>
      <c r="Y195" s="372"/>
    </row>
    <row r="196" spans="2:25" ht="15">
      <c r="B196" s="212">
        <f>IF(ISBLANK(C196),"",INDEX([1]List!$AK$2:$AK$99,MATCH($C196,[1]List!$AJ$2:$AJ$99,0)))</f>
        <v>4000</v>
      </c>
      <c r="C196" s="599" t="s">
        <v>668</v>
      </c>
      <c r="D196" s="603">
        <v>5</v>
      </c>
      <c r="E196" s="603">
        <v>5</v>
      </c>
      <c r="F196" s="449">
        <v>5</v>
      </c>
      <c r="G196" s="449">
        <v>5</v>
      </c>
      <c r="H196" s="449"/>
      <c r="I196" s="449"/>
      <c r="J196" s="449"/>
      <c r="K196" s="449"/>
      <c r="L196" s="449"/>
      <c r="M196" s="449"/>
      <c r="N196" s="449"/>
      <c r="O196" s="604"/>
      <c r="P196" s="600">
        <f>IF(ISBLANK(C196),"",(((SUM(D196:O196))*B196)))</f>
        <v>80000</v>
      </c>
      <c r="Q196" s="373"/>
      <c r="R196" s="373"/>
      <c r="S196" s="373"/>
      <c r="T196" s="373"/>
      <c r="U196" s="373"/>
      <c r="V196" s="373"/>
      <c r="W196" s="373"/>
      <c r="X196" s="372"/>
      <c r="Y196" s="372"/>
    </row>
    <row r="197" spans="2:25" ht="15">
      <c r="B197" s="212">
        <f>IF(ISBLANK(C197),"",INDEX([1]List!$AK$2:$AK$99,MATCH($C197,[1]List!$AJ$2:$AJ$99,0)))</f>
        <v>2000</v>
      </c>
      <c r="C197" s="599" t="s">
        <v>669</v>
      </c>
      <c r="D197" s="603">
        <v>30</v>
      </c>
      <c r="E197" s="603">
        <v>30</v>
      </c>
      <c r="F197" s="449">
        <v>30</v>
      </c>
      <c r="G197" s="449">
        <v>30</v>
      </c>
      <c r="H197" s="449"/>
      <c r="I197" s="449"/>
      <c r="J197" s="449"/>
      <c r="K197" s="449"/>
      <c r="L197" s="449"/>
      <c r="M197" s="449"/>
      <c r="N197" s="449"/>
      <c r="O197" s="604"/>
      <c r="P197" s="600">
        <f t="shared" ref="P197:P255" si="67">IF(ISBLANK(C197),"",(((SUM(D197:O197))*B197)))</f>
        <v>240000</v>
      </c>
      <c r="Q197" s="373"/>
      <c r="R197" s="373"/>
      <c r="S197" s="373"/>
      <c r="T197" s="373"/>
      <c r="U197" s="373"/>
      <c r="V197" s="373"/>
      <c r="W197" s="373"/>
      <c r="X197" s="372"/>
      <c r="Y197" s="372"/>
    </row>
    <row r="198" spans="2:25" ht="15">
      <c r="B198" s="212">
        <f>IF(ISBLANK(C198),"",INDEX([1]List!$AK$2:$AK$99,MATCH($C198,[1]List!$AJ$2:$AJ$99,0)))</f>
        <v>8000</v>
      </c>
      <c r="C198" s="599" t="s">
        <v>671</v>
      </c>
      <c r="D198" s="603">
        <v>5</v>
      </c>
      <c r="E198" s="603">
        <v>5</v>
      </c>
      <c r="F198" s="449">
        <v>5</v>
      </c>
      <c r="G198" s="449">
        <v>5</v>
      </c>
      <c r="H198" s="449"/>
      <c r="I198" s="449"/>
      <c r="J198" s="449"/>
      <c r="K198" s="449"/>
      <c r="L198" s="449"/>
      <c r="M198" s="449"/>
      <c r="N198" s="449"/>
      <c r="O198" s="604"/>
      <c r="P198" s="600">
        <f t="shared" si="67"/>
        <v>160000</v>
      </c>
      <c r="Q198" s="373"/>
      <c r="R198" s="373"/>
      <c r="S198" s="373"/>
      <c r="T198" s="373"/>
      <c r="U198" s="373"/>
      <c r="V198" s="373"/>
      <c r="W198" s="373"/>
      <c r="X198" s="372"/>
      <c r="Y198" s="372"/>
    </row>
    <row r="199" spans="2:25" ht="15">
      <c r="B199" s="212">
        <f>IF(ISBLANK(C199),"",INDEX([1]List!$AK$2:$AK$99,MATCH($C199,[1]List!$AJ$2:$AJ$99,0)))</f>
        <v>20000</v>
      </c>
      <c r="C199" s="599" t="s">
        <v>682</v>
      </c>
      <c r="D199" s="603">
        <v>1</v>
      </c>
      <c r="E199" s="603"/>
      <c r="F199" s="449"/>
      <c r="G199" s="449"/>
      <c r="H199" s="449"/>
      <c r="I199" s="449"/>
      <c r="J199" s="449"/>
      <c r="K199" s="449"/>
      <c r="L199" s="449"/>
      <c r="M199" s="449"/>
      <c r="N199" s="449"/>
      <c r="O199" s="604"/>
      <c r="P199" s="600">
        <f t="shared" si="67"/>
        <v>20000</v>
      </c>
      <c r="Q199" s="373"/>
      <c r="R199" s="373"/>
      <c r="S199" s="373"/>
      <c r="T199" s="373"/>
      <c r="U199" s="373"/>
      <c r="V199" s="373"/>
      <c r="W199" s="373"/>
      <c r="X199" s="372"/>
      <c r="Y199" s="372"/>
    </row>
    <row r="200" spans="2:25" ht="15">
      <c r="B200" s="212">
        <f>IF(ISBLANK(C200),"",INDEX([1]List!$AK$2:$AK$99,MATCH($C200,[1]List!$AJ$2:$AJ$99,0)))</f>
        <v>22000</v>
      </c>
      <c r="C200" s="599" t="s">
        <v>683</v>
      </c>
      <c r="D200" s="603">
        <v>1</v>
      </c>
      <c r="E200" s="603"/>
      <c r="F200" s="449"/>
      <c r="G200" s="449"/>
      <c r="H200" s="449"/>
      <c r="I200" s="449"/>
      <c r="J200" s="449"/>
      <c r="K200" s="449"/>
      <c r="L200" s="449"/>
      <c r="M200" s="449"/>
      <c r="N200" s="449"/>
      <c r="O200" s="604"/>
      <c r="P200" s="600">
        <f t="shared" si="67"/>
        <v>22000</v>
      </c>
      <c r="Q200" s="373"/>
      <c r="R200" s="373"/>
      <c r="S200" s="373"/>
      <c r="T200" s="373"/>
      <c r="U200" s="373"/>
      <c r="V200" s="373"/>
      <c r="W200" s="373"/>
      <c r="X200" s="372"/>
      <c r="Y200" s="372"/>
    </row>
    <row r="201" spans="2:25" ht="15">
      <c r="B201" s="212">
        <f>IF(ISBLANK(C201),"",INDEX([1]List!$AK$2:$AK$99,MATCH($C201,[1]List!$AJ$2:$AJ$99,0)))</f>
        <v>25000</v>
      </c>
      <c r="C201" s="599" t="s">
        <v>684</v>
      </c>
      <c r="D201" s="603">
        <v>1</v>
      </c>
      <c r="E201" s="603"/>
      <c r="F201" s="449"/>
      <c r="G201" s="449"/>
      <c r="H201" s="449"/>
      <c r="I201" s="449"/>
      <c r="J201" s="449"/>
      <c r="K201" s="449"/>
      <c r="L201" s="449"/>
      <c r="M201" s="449"/>
      <c r="N201" s="449"/>
      <c r="O201" s="604"/>
      <c r="P201" s="600">
        <f t="shared" si="67"/>
        <v>25000</v>
      </c>
      <c r="Q201" s="373"/>
      <c r="R201" s="373"/>
      <c r="S201" s="373"/>
      <c r="T201" s="373"/>
      <c r="U201" s="373"/>
      <c r="V201" s="373"/>
      <c r="W201" s="373"/>
      <c r="X201" s="372"/>
      <c r="Y201" s="372"/>
    </row>
    <row r="202" spans="2:25" ht="15">
      <c r="B202" s="212">
        <f>IF(ISBLANK(C202),"",INDEX([1]List!$AK$2:$AK$99,MATCH($C202,[1]List!$AJ$2:$AJ$99,0)))</f>
        <v>2500</v>
      </c>
      <c r="C202" s="599" t="s">
        <v>687</v>
      </c>
      <c r="D202" s="603">
        <v>30</v>
      </c>
      <c r="E202" s="603">
        <v>30</v>
      </c>
      <c r="F202" s="449">
        <v>30</v>
      </c>
      <c r="G202" s="449">
        <v>30</v>
      </c>
      <c r="H202" s="449"/>
      <c r="I202" s="449"/>
      <c r="J202" s="449"/>
      <c r="K202" s="449"/>
      <c r="L202" s="449"/>
      <c r="M202" s="449"/>
      <c r="N202" s="449"/>
      <c r="O202" s="604"/>
      <c r="P202" s="600">
        <f t="shared" si="67"/>
        <v>300000</v>
      </c>
      <c r="Q202" s="373"/>
      <c r="R202" s="373"/>
      <c r="S202" s="373"/>
      <c r="T202" s="373"/>
      <c r="U202" s="373"/>
      <c r="V202" s="373"/>
      <c r="W202" s="373"/>
      <c r="X202" s="372"/>
      <c r="Y202" s="372"/>
    </row>
    <row r="203" spans="2:25" ht="15">
      <c r="B203" s="212">
        <f>IF(ISBLANK(C203),"",INDEX([1]List!$AK$2:$AK$99,MATCH($C203,[1]List!$AJ$2:$AJ$99,0)))</f>
        <v>200</v>
      </c>
      <c r="C203" s="599" t="s">
        <v>690</v>
      </c>
      <c r="D203" s="603">
        <v>10</v>
      </c>
      <c r="E203" s="603">
        <v>10</v>
      </c>
      <c r="F203" s="449">
        <v>10</v>
      </c>
      <c r="G203" s="449">
        <v>10</v>
      </c>
      <c r="H203" s="449"/>
      <c r="I203" s="449"/>
      <c r="J203" s="449"/>
      <c r="K203" s="449"/>
      <c r="L203" s="449"/>
      <c r="M203" s="449"/>
      <c r="N203" s="449"/>
      <c r="O203" s="604"/>
      <c r="P203" s="600">
        <f t="shared" si="67"/>
        <v>8000</v>
      </c>
      <c r="Q203" s="373"/>
      <c r="R203" s="373"/>
      <c r="S203" s="373"/>
      <c r="T203" s="373"/>
      <c r="U203" s="373"/>
      <c r="V203" s="373"/>
      <c r="W203" s="373"/>
      <c r="X203" s="372"/>
      <c r="Y203" s="372"/>
    </row>
    <row r="204" spans="2:25" ht="15">
      <c r="B204" s="212">
        <f>IF(ISBLANK(C204),"",INDEX([1]List!$AK$2:$AK$99,MATCH($C204,[1]List!$AJ$2:$AJ$99,0)))</f>
        <v>300</v>
      </c>
      <c r="C204" s="599" t="s">
        <v>694</v>
      </c>
      <c r="D204" s="603">
        <v>30</v>
      </c>
      <c r="E204" s="603">
        <v>30</v>
      </c>
      <c r="F204" s="449">
        <v>30</v>
      </c>
      <c r="G204" s="449">
        <v>30</v>
      </c>
      <c r="H204" s="449"/>
      <c r="I204" s="449"/>
      <c r="J204" s="449"/>
      <c r="K204" s="449"/>
      <c r="L204" s="449"/>
      <c r="M204" s="449"/>
      <c r="N204" s="449"/>
      <c r="O204" s="604"/>
      <c r="P204" s="600">
        <f t="shared" si="67"/>
        <v>36000</v>
      </c>
      <c r="Q204" s="373"/>
      <c r="R204" s="373"/>
      <c r="S204" s="373"/>
      <c r="T204" s="373"/>
      <c r="U204" s="373"/>
      <c r="V204" s="373"/>
      <c r="W204" s="373"/>
      <c r="X204" s="372"/>
      <c r="Y204" s="372"/>
    </row>
    <row r="205" spans="2:25" ht="15">
      <c r="B205" s="212" t="str">
        <f>IF(ISBLANK(C205),"",INDEX([1]List!$AK$2:$AK$99,MATCH($C205,[1]List!$AJ$2:$AJ$99,0)))</f>
        <v/>
      </c>
      <c r="C205" s="599"/>
      <c r="D205" s="603"/>
      <c r="E205" s="603"/>
      <c r="F205" s="449"/>
      <c r="G205" s="449"/>
      <c r="H205" s="449"/>
      <c r="I205" s="449"/>
      <c r="J205" s="449"/>
      <c r="K205" s="449"/>
      <c r="L205" s="449"/>
      <c r="M205" s="449"/>
      <c r="N205" s="449"/>
      <c r="O205" s="604"/>
      <c r="P205" s="600" t="str">
        <f t="shared" si="67"/>
        <v/>
      </c>
      <c r="Q205" s="373"/>
      <c r="R205" s="373"/>
      <c r="S205" s="373"/>
      <c r="T205" s="373"/>
      <c r="U205" s="373"/>
      <c r="V205" s="373"/>
      <c r="W205" s="373"/>
      <c r="X205" s="372"/>
      <c r="Y205" s="372"/>
    </row>
    <row r="206" spans="2:25" ht="15">
      <c r="B206" s="212">
        <f>IF(ISBLANK(C206),"",INDEX([1]List!$AK$2:$AK$99,MATCH($C206,[1]List!$AJ$2:$AJ$99,0)))</f>
        <v>2500</v>
      </c>
      <c r="C206" s="599" t="s">
        <v>697</v>
      </c>
      <c r="D206" s="603">
        <v>3</v>
      </c>
      <c r="E206" s="603">
        <v>3</v>
      </c>
      <c r="F206" s="449">
        <v>3</v>
      </c>
      <c r="G206" s="449">
        <v>3</v>
      </c>
      <c r="H206" s="449"/>
      <c r="I206" s="449"/>
      <c r="J206" s="449"/>
      <c r="K206" s="449"/>
      <c r="L206" s="449"/>
      <c r="M206" s="449"/>
      <c r="N206" s="449"/>
      <c r="O206" s="604"/>
      <c r="P206" s="600">
        <f t="shared" si="67"/>
        <v>30000</v>
      </c>
      <c r="Q206" s="373"/>
      <c r="R206" s="373"/>
      <c r="S206" s="373"/>
      <c r="T206" s="373"/>
      <c r="U206" s="373"/>
      <c r="V206" s="373"/>
      <c r="W206" s="373"/>
      <c r="X206" s="372"/>
      <c r="Y206" s="372"/>
    </row>
    <row r="207" spans="2:25" ht="15">
      <c r="B207" s="212">
        <f>IF(ISBLANK(C207),"",INDEX([1]List!$AK$2:$AK$99,MATCH($C207,[1]List!$AJ$2:$AJ$99,0)))</f>
        <v>2500</v>
      </c>
      <c r="C207" s="599" t="s">
        <v>700</v>
      </c>
      <c r="D207" s="603">
        <v>3</v>
      </c>
      <c r="E207" s="603">
        <v>3</v>
      </c>
      <c r="F207" s="449">
        <v>3</v>
      </c>
      <c r="G207" s="449">
        <v>3</v>
      </c>
      <c r="H207" s="449"/>
      <c r="I207" s="449"/>
      <c r="J207" s="449"/>
      <c r="K207" s="449"/>
      <c r="L207" s="449"/>
      <c r="M207" s="449"/>
      <c r="N207" s="449"/>
      <c r="O207" s="604"/>
      <c r="P207" s="600">
        <f t="shared" si="67"/>
        <v>30000</v>
      </c>
      <c r="Q207" s="373"/>
      <c r="R207" s="373"/>
      <c r="S207" s="373"/>
      <c r="T207" s="373"/>
      <c r="U207" s="373"/>
      <c r="V207" s="373"/>
      <c r="W207" s="373"/>
      <c r="X207" s="372"/>
      <c r="Y207" s="372"/>
    </row>
    <row r="208" spans="2:25" ht="15">
      <c r="B208" s="212">
        <f>IF(ISBLANK(C208),"",INDEX([1]List!$AK$2:$AK$99,MATCH($C208,[1]List!$AJ$2:$AJ$99,0)))</f>
        <v>300</v>
      </c>
      <c r="C208" s="599" t="s">
        <v>703</v>
      </c>
      <c r="D208" s="603">
        <v>5</v>
      </c>
      <c r="E208" s="603">
        <v>5</v>
      </c>
      <c r="F208" s="449">
        <v>5</v>
      </c>
      <c r="G208" s="449">
        <v>5</v>
      </c>
      <c r="H208" s="449"/>
      <c r="I208" s="449"/>
      <c r="J208" s="449"/>
      <c r="K208" s="449"/>
      <c r="L208" s="449"/>
      <c r="M208" s="449"/>
      <c r="N208" s="449"/>
      <c r="O208" s="604"/>
      <c r="P208" s="600">
        <f t="shared" si="67"/>
        <v>6000</v>
      </c>
      <c r="Q208" s="373"/>
      <c r="R208" s="373"/>
      <c r="S208" s="373"/>
      <c r="T208" s="373"/>
      <c r="U208" s="373"/>
      <c r="V208" s="373"/>
      <c r="W208" s="373"/>
      <c r="X208" s="372"/>
      <c r="Y208" s="372"/>
    </row>
    <row r="209" spans="2:25" ht="15">
      <c r="B209" s="212">
        <f>IF(ISBLANK(C209),"",INDEX([1]List!$AK$2:$AK$99,MATCH($C209,[1]List!$AJ$2:$AJ$99,0)))</f>
        <v>3000</v>
      </c>
      <c r="C209" s="599" t="s">
        <v>708</v>
      </c>
      <c r="D209" s="603">
        <v>3</v>
      </c>
      <c r="E209" s="603">
        <v>3</v>
      </c>
      <c r="F209" s="449">
        <v>3</v>
      </c>
      <c r="G209" s="449">
        <v>3</v>
      </c>
      <c r="H209" s="449"/>
      <c r="I209" s="449"/>
      <c r="J209" s="449"/>
      <c r="K209" s="449"/>
      <c r="L209" s="449"/>
      <c r="M209" s="449"/>
      <c r="N209" s="449"/>
      <c r="O209" s="604"/>
      <c r="P209" s="600">
        <f>IF(ISBLANK(C209),"",(((SUM(D209:O209))*B209)))</f>
        <v>36000</v>
      </c>
      <c r="Q209" s="373"/>
      <c r="R209" s="373"/>
      <c r="S209" s="373"/>
      <c r="T209" s="373"/>
      <c r="U209" s="373"/>
      <c r="V209" s="373"/>
      <c r="W209" s="373"/>
      <c r="X209" s="372"/>
      <c r="Y209" s="372"/>
    </row>
    <row r="210" spans="2:25" ht="15">
      <c r="B210" s="212">
        <f>IF(ISBLANK(C210),"",INDEX([1]List!$AK$2:$AK$99,MATCH($C210,[1]List!$AJ$2:$AJ$99,0)))</f>
        <v>1200</v>
      </c>
      <c r="C210" s="599" t="s">
        <v>711</v>
      </c>
      <c r="D210" s="603">
        <v>15</v>
      </c>
      <c r="E210" s="603">
        <v>15</v>
      </c>
      <c r="F210" s="449">
        <v>15</v>
      </c>
      <c r="G210" s="449">
        <v>15</v>
      </c>
      <c r="H210" s="449"/>
      <c r="I210" s="449"/>
      <c r="J210" s="449"/>
      <c r="K210" s="449"/>
      <c r="L210" s="449"/>
      <c r="M210" s="449"/>
      <c r="N210" s="449"/>
      <c r="O210" s="604"/>
      <c r="P210" s="600">
        <f>IF(ISBLANK(C210),"",(((SUM(D210:O210))*B210)))</f>
        <v>72000</v>
      </c>
      <c r="Q210" s="373"/>
      <c r="R210" s="373"/>
      <c r="S210" s="373"/>
      <c r="T210" s="373"/>
      <c r="U210" s="373"/>
      <c r="V210" s="373"/>
      <c r="W210" s="373"/>
      <c r="X210" s="372"/>
      <c r="Y210" s="372"/>
    </row>
    <row r="211" spans="2:25" ht="15">
      <c r="B211" s="212">
        <f>IF(ISBLANK(C211),"",INDEX([1]List!$AK$2:$AK$99,MATCH($C211,[1]List!$AJ$2:$AJ$99,0)))</f>
        <v>4000</v>
      </c>
      <c r="C211" s="599" t="s">
        <v>698</v>
      </c>
      <c r="D211" s="603">
        <v>3</v>
      </c>
      <c r="E211" s="603">
        <v>3</v>
      </c>
      <c r="F211" s="449">
        <v>3</v>
      </c>
      <c r="G211" s="449">
        <v>3</v>
      </c>
      <c r="H211" s="449"/>
      <c r="I211" s="449"/>
      <c r="J211" s="449"/>
      <c r="K211" s="449"/>
      <c r="L211" s="449"/>
      <c r="M211" s="449"/>
      <c r="N211" s="449"/>
      <c r="O211" s="604"/>
      <c r="P211" s="600">
        <f t="shared" si="67"/>
        <v>48000</v>
      </c>
      <c r="Q211" s="373"/>
      <c r="R211" s="373"/>
      <c r="S211" s="373"/>
      <c r="T211" s="373"/>
      <c r="U211" s="373"/>
      <c r="V211" s="373"/>
      <c r="W211" s="373"/>
      <c r="X211" s="372"/>
      <c r="Y211" s="372"/>
    </row>
    <row r="212" spans="2:25" ht="15">
      <c r="B212" s="212" t="str">
        <f>IF(ISBLANK(C212),"",INDEX(List!$AK$2:$AK$99,MATCH($C212,List!$AJ$2:$AJ$99,0)))</f>
        <v/>
      </c>
      <c r="C212" s="599"/>
      <c r="D212" s="603"/>
      <c r="E212" s="449"/>
      <c r="F212" s="449"/>
      <c r="G212" s="449"/>
      <c r="H212" s="449"/>
      <c r="I212" s="449"/>
      <c r="J212" s="449"/>
      <c r="K212" s="449"/>
      <c r="L212" s="449"/>
      <c r="M212" s="449"/>
      <c r="N212" s="449"/>
      <c r="O212" s="604"/>
      <c r="P212" s="600" t="str">
        <f t="shared" si="67"/>
        <v/>
      </c>
      <c r="Q212" s="373"/>
      <c r="R212" s="373"/>
      <c r="S212" s="373"/>
      <c r="T212" s="373"/>
      <c r="U212" s="373"/>
      <c r="V212" s="373"/>
      <c r="W212" s="373"/>
      <c r="X212" s="372"/>
      <c r="Y212" s="372"/>
    </row>
    <row r="213" spans="2:25" ht="15">
      <c r="B213" s="212" t="str">
        <f>IF(ISBLANK(C213),"",INDEX(List!$AK$2:$AK$99,MATCH($C213,List!$AJ$2:$AJ$99,0)))</f>
        <v/>
      </c>
      <c r="C213" s="599"/>
      <c r="D213" s="603"/>
      <c r="E213" s="449"/>
      <c r="F213" s="449"/>
      <c r="G213" s="449"/>
      <c r="H213" s="449"/>
      <c r="I213" s="449"/>
      <c r="J213" s="449"/>
      <c r="K213" s="449"/>
      <c r="L213" s="449"/>
      <c r="M213" s="449"/>
      <c r="N213" s="449"/>
      <c r="O213" s="604"/>
      <c r="P213" s="600" t="str">
        <f t="shared" si="67"/>
        <v/>
      </c>
      <c r="Q213" s="373"/>
      <c r="R213" s="373"/>
      <c r="S213" s="373"/>
      <c r="T213" s="373"/>
      <c r="U213" s="373"/>
      <c r="V213" s="373"/>
      <c r="W213" s="373"/>
      <c r="X213" s="372"/>
      <c r="Y213" s="372"/>
    </row>
    <row r="214" spans="2:25" ht="15">
      <c r="B214" s="212" t="str">
        <f>IF(ISBLANK(C214),"",INDEX(List!$AK$2:$AK$99,MATCH($C214,List!$AJ$2:$AJ$99,0)))</f>
        <v/>
      </c>
      <c r="C214" s="599"/>
      <c r="D214" s="603"/>
      <c r="E214" s="449"/>
      <c r="F214" s="449"/>
      <c r="G214" s="449"/>
      <c r="H214" s="449"/>
      <c r="I214" s="449"/>
      <c r="J214" s="449"/>
      <c r="K214" s="449"/>
      <c r="L214" s="449"/>
      <c r="M214" s="449"/>
      <c r="N214" s="449"/>
      <c r="O214" s="604"/>
      <c r="P214" s="600" t="str">
        <f t="shared" si="67"/>
        <v/>
      </c>
      <c r="Q214" s="373"/>
      <c r="R214" s="373"/>
      <c r="S214" s="373"/>
      <c r="T214" s="373"/>
      <c r="U214" s="373"/>
      <c r="V214" s="373"/>
      <c r="W214" s="373"/>
      <c r="X214" s="372"/>
      <c r="Y214" s="372"/>
    </row>
    <row r="215" spans="2:25" ht="15">
      <c r="B215" s="212" t="str">
        <f>IF(ISBLANK(C215),"",INDEX(List!$AK$2:$AK$99,MATCH($C215,List!$AJ$2:$AJ$99,0)))</f>
        <v/>
      </c>
      <c r="C215" s="599"/>
      <c r="D215" s="603"/>
      <c r="E215" s="449"/>
      <c r="F215" s="449"/>
      <c r="G215" s="449"/>
      <c r="H215" s="449"/>
      <c r="I215" s="449"/>
      <c r="J215" s="449"/>
      <c r="K215" s="449"/>
      <c r="L215" s="449"/>
      <c r="M215" s="449"/>
      <c r="N215" s="449"/>
      <c r="O215" s="604"/>
      <c r="P215" s="600" t="str">
        <f t="shared" si="67"/>
        <v/>
      </c>
      <c r="Q215" s="373"/>
      <c r="R215" s="373"/>
      <c r="S215" s="373"/>
      <c r="T215" s="373"/>
      <c r="U215" s="373"/>
      <c r="V215" s="373"/>
      <c r="W215" s="373"/>
      <c r="X215" s="372"/>
      <c r="Y215" s="372"/>
    </row>
    <row r="216" spans="2:25" ht="15">
      <c r="B216" s="212" t="str">
        <f>IF(ISBLANK(C216),"",INDEX(List!$AK$2:$AK$99,MATCH($C216,List!$AJ$2:$AJ$99,0)))</f>
        <v/>
      </c>
      <c r="C216" s="599"/>
      <c r="D216" s="603"/>
      <c r="E216" s="449"/>
      <c r="F216" s="449"/>
      <c r="G216" s="449"/>
      <c r="H216" s="449"/>
      <c r="I216" s="449"/>
      <c r="J216" s="449"/>
      <c r="K216" s="449"/>
      <c r="L216" s="449"/>
      <c r="M216" s="449"/>
      <c r="N216" s="449"/>
      <c r="O216" s="604"/>
      <c r="P216" s="600" t="str">
        <f t="shared" si="67"/>
        <v/>
      </c>
      <c r="Q216" s="373"/>
      <c r="R216" s="373"/>
      <c r="S216" s="373"/>
      <c r="T216" s="373"/>
      <c r="U216" s="373"/>
      <c r="V216" s="373"/>
      <c r="W216" s="373"/>
      <c r="X216" s="372"/>
      <c r="Y216" s="372"/>
    </row>
    <row r="217" spans="2:25" ht="15">
      <c r="B217" s="212" t="str">
        <f>IF(ISBLANK(C217),"",INDEX(List!$AK$2:$AK$99,MATCH($C217,List!$AJ$2:$AJ$99,0)))</f>
        <v/>
      </c>
      <c r="C217" s="599"/>
      <c r="D217" s="603"/>
      <c r="E217" s="449"/>
      <c r="F217" s="449"/>
      <c r="G217" s="449"/>
      <c r="H217" s="449"/>
      <c r="I217" s="449"/>
      <c r="J217" s="449"/>
      <c r="K217" s="449"/>
      <c r="L217" s="449"/>
      <c r="M217" s="449"/>
      <c r="N217" s="449"/>
      <c r="O217" s="604"/>
      <c r="P217" s="600" t="str">
        <f t="shared" si="67"/>
        <v/>
      </c>
      <c r="Q217" s="373"/>
      <c r="R217" s="373"/>
      <c r="S217" s="373"/>
      <c r="T217" s="373"/>
      <c r="U217" s="373"/>
      <c r="V217" s="373"/>
      <c r="W217" s="373"/>
      <c r="X217" s="372"/>
      <c r="Y217" s="372"/>
    </row>
    <row r="218" spans="2:25" ht="15">
      <c r="B218" s="212" t="str">
        <f>IF(ISBLANK(C218),"",INDEX(List!$AK$2:$AK$99,MATCH($C218,List!$AJ$2:$AJ$99,0)))</f>
        <v/>
      </c>
      <c r="C218" s="599"/>
      <c r="D218" s="603"/>
      <c r="E218" s="449"/>
      <c r="F218" s="449"/>
      <c r="G218" s="449"/>
      <c r="H218" s="449"/>
      <c r="I218" s="449"/>
      <c r="J218" s="449"/>
      <c r="K218" s="449"/>
      <c r="L218" s="449"/>
      <c r="M218" s="449"/>
      <c r="N218" s="449"/>
      <c r="O218" s="604"/>
      <c r="P218" s="600" t="str">
        <f t="shared" si="67"/>
        <v/>
      </c>
      <c r="Q218" s="373"/>
      <c r="R218" s="373"/>
      <c r="S218" s="373"/>
      <c r="T218" s="373"/>
      <c r="U218" s="373"/>
      <c r="V218" s="373"/>
      <c r="W218" s="373"/>
      <c r="X218" s="372"/>
      <c r="Y218" s="372"/>
    </row>
    <row r="219" spans="2:25" ht="15">
      <c r="B219" s="212" t="str">
        <f>IF(ISBLANK(C219),"",INDEX(List!$AK$2:$AK$99,MATCH($C219,List!$AJ$2:$AJ$99,0)))</f>
        <v/>
      </c>
      <c r="C219" s="599"/>
      <c r="D219" s="603"/>
      <c r="E219" s="449"/>
      <c r="F219" s="449"/>
      <c r="G219" s="449"/>
      <c r="H219" s="449"/>
      <c r="I219" s="449"/>
      <c r="J219" s="449"/>
      <c r="K219" s="449"/>
      <c r="L219" s="449"/>
      <c r="M219" s="449"/>
      <c r="N219" s="449"/>
      <c r="O219" s="604"/>
      <c r="P219" s="600" t="str">
        <f t="shared" si="67"/>
        <v/>
      </c>
      <c r="Q219" s="373"/>
      <c r="R219" s="373"/>
      <c r="S219" s="373"/>
      <c r="T219" s="373"/>
      <c r="U219" s="373"/>
      <c r="V219" s="373"/>
      <c r="W219" s="373"/>
      <c r="X219" s="372"/>
      <c r="Y219" s="372"/>
    </row>
    <row r="220" spans="2:25" ht="15">
      <c r="B220" s="212" t="str">
        <f>IF(ISBLANK(C220),"",INDEX(List!$AK$2:$AK$99,MATCH($C220,List!$AJ$2:$AJ$99,0)))</f>
        <v/>
      </c>
      <c r="C220" s="599"/>
      <c r="D220" s="603"/>
      <c r="E220" s="449"/>
      <c r="F220" s="449"/>
      <c r="G220" s="449"/>
      <c r="H220" s="449"/>
      <c r="I220" s="449"/>
      <c r="J220" s="449"/>
      <c r="K220" s="449"/>
      <c r="L220" s="449"/>
      <c r="M220" s="449"/>
      <c r="N220" s="449"/>
      <c r="O220" s="604"/>
      <c r="P220" s="600" t="str">
        <f t="shared" si="67"/>
        <v/>
      </c>
      <c r="Q220" s="373"/>
      <c r="R220" s="373"/>
      <c r="S220" s="373"/>
      <c r="T220" s="373"/>
      <c r="U220" s="373"/>
      <c r="V220" s="373"/>
      <c r="W220" s="373"/>
      <c r="X220" s="372"/>
      <c r="Y220" s="372"/>
    </row>
    <row r="221" spans="2:25" ht="15">
      <c r="B221" s="212" t="str">
        <f>IF(ISBLANK(C221),"",INDEX(List!$AK$2:$AK$99,MATCH($C221,List!$AJ$2:$AJ$99,0)))</f>
        <v/>
      </c>
      <c r="C221" s="599"/>
      <c r="D221" s="603"/>
      <c r="E221" s="449"/>
      <c r="F221" s="449"/>
      <c r="G221" s="449"/>
      <c r="H221" s="449"/>
      <c r="I221" s="449"/>
      <c r="J221" s="449"/>
      <c r="K221" s="449"/>
      <c r="L221" s="449"/>
      <c r="M221" s="449"/>
      <c r="N221" s="449"/>
      <c r="O221" s="604"/>
      <c r="P221" s="600" t="str">
        <f t="shared" si="67"/>
        <v/>
      </c>
      <c r="Q221" s="373"/>
      <c r="R221" s="373"/>
      <c r="S221" s="373"/>
      <c r="T221" s="373"/>
      <c r="U221" s="373"/>
      <c r="V221" s="373"/>
      <c r="W221" s="373"/>
      <c r="X221" s="372"/>
      <c r="Y221" s="372"/>
    </row>
    <row r="222" spans="2:25" ht="15">
      <c r="B222" s="212" t="str">
        <f>IF(ISBLANK(C222),"",INDEX(List!$AK$2:$AK$99,MATCH($C222,List!$AJ$2:$AJ$99,0)))</f>
        <v/>
      </c>
      <c r="C222" s="599"/>
      <c r="D222" s="603"/>
      <c r="E222" s="449"/>
      <c r="F222" s="449"/>
      <c r="G222" s="449"/>
      <c r="H222" s="449"/>
      <c r="I222" s="449"/>
      <c r="J222" s="449"/>
      <c r="K222" s="449"/>
      <c r="L222" s="449"/>
      <c r="M222" s="449"/>
      <c r="N222" s="449"/>
      <c r="O222" s="604"/>
      <c r="P222" s="600" t="str">
        <f t="shared" si="67"/>
        <v/>
      </c>
      <c r="Q222" s="373"/>
      <c r="R222" s="373"/>
      <c r="S222" s="373"/>
      <c r="T222" s="373"/>
      <c r="U222" s="373"/>
      <c r="V222" s="373"/>
      <c r="W222" s="373"/>
      <c r="X222" s="372"/>
      <c r="Y222" s="372"/>
    </row>
    <row r="223" spans="2:25" ht="15">
      <c r="B223" s="212" t="str">
        <f>IF(ISBLANK(C223),"",INDEX(List!$AK$2:$AK$99,MATCH($C223,List!$AJ$2:$AJ$99,0)))</f>
        <v/>
      </c>
      <c r="C223" s="599"/>
      <c r="D223" s="603"/>
      <c r="E223" s="449"/>
      <c r="F223" s="449"/>
      <c r="G223" s="449"/>
      <c r="H223" s="449"/>
      <c r="I223" s="449"/>
      <c r="J223" s="449"/>
      <c r="K223" s="449"/>
      <c r="L223" s="449"/>
      <c r="M223" s="449"/>
      <c r="N223" s="449"/>
      <c r="O223" s="604"/>
      <c r="P223" s="600" t="str">
        <f t="shared" si="67"/>
        <v/>
      </c>
      <c r="Q223" s="373"/>
      <c r="R223" s="373"/>
      <c r="S223" s="373"/>
      <c r="T223" s="373"/>
      <c r="U223" s="373"/>
      <c r="V223" s="373"/>
      <c r="W223" s="373"/>
      <c r="X223" s="372"/>
      <c r="Y223" s="372"/>
    </row>
    <row r="224" spans="2:25" ht="15">
      <c r="B224" s="212" t="str">
        <f>IF(ISBLANK(C224),"",INDEX(List!$AK$2:$AK$99,MATCH($C224,List!$AJ$2:$AJ$99,0)))</f>
        <v/>
      </c>
      <c r="C224" s="599"/>
      <c r="D224" s="603"/>
      <c r="E224" s="449"/>
      <c r="F224" s="449"/>
      <c r="G224" s="449"/>
      <c r="H224" s="449"/>
      <c r="I224" s="449"/>
      <c r="J224" s="449"/>
      <c r="K224" s="449"/>
      <c r="L224" s="449"/>
      <c r="M224" s="449"/>
      <c r="N224" s="449"/>
      <c r="O224" s="604"/>
      <c r="P224" s="600" t="str">
        <f t="shared" si="67"/>
        <v/>
      </c>
      <c r="Q224" s="373"/>
      <c r="R224" s="373"/>
      <c r="S224" s="373"/>
      <c r="T224" s="373"/>
      <c r="U224" s="373"/>
      <c r="V224" s="373"/>
      <c r="W224" s="373"/>
      <c r="X224" s="372"/>
      <c r="Y224" s="372"/>
    </row>
    <row r="225" spans="2:25" ht="15.75" thickBot="1">
      <c r="B225" s="212" t="str">
        <f>IF(ISBLANK(C225),"",INDEX(List!$AK$2:$AK$99,MATCH($C225,List!$AJ$2:$AJ$99,0)))</f>
        <v/>
      </c>
      <c r="C225" s="599"/>
      <c r="D225" s="605"/>
      <c r="E225" s="606"/>
      <c r="F225" s="606"/>
      <c r="G225" s="606"/>
      <c r="H225" s="606"/>
      <c r="I225" s="606"/>
      <c r="J225" s="606"/>
      <c r="K225" s="606"/>
      <c r="L225" s="606"/>
      <c r="M225" s="606"/>
      <c r="N225" s="606"/>
      <c r="O225" s="607"/>
      <c r="P225" s="600" t="str">
        <f t="shared" si="67"/>
        <v/>
      </c>
      <c r="Q225" s="373"/>
      <c r="R225" s="373"/>
      <c r="S225" s="373"/>
      <c r="T225" s="373"/>
      <c r="U225" s="373"/>
      <c r="V225" s="373"/>
      <c r="W225" s="373"/>
      <c r="X225" s="372"/>
      <c r="Y225" s="372"/>
    </row>
    <row r="226" spans="2:25" ht="15.75" thickBot="1">
      <c r="B226" s="96" t="s">
        <v>905</v>
      </c>
      <c r="C226" s="1025" t="s">
        <v>414</v>
      </c>
      <c r="D226" s="1059"/>
      <c r="E226" s="1059"/>
      <c r="F226" s="1059"/>
      <c r="G226" s="1059"/>
      <c r="H226" s="1059"/>
      <c r="I226" s="1059"/>
      <c r="J226" s="1059"/>
      <c r="K226" s="1059"/>
      <c r="L226" s="1059"/>
      <c r="M226" s="1059"/>
      <c r="N226" s="1059"/>
      <c r="O226" s="1060"/>
      <c r="P226" s="450"/>
      <c r="Q226" s="373"/>
      <c r="R226" s="373"/>
      <c r="S226" s="373"/>
      <c r="T226" s="373"/>
      <c r="U226" s="373"/>
      <c r="V226" s="373"/>
      <c r="W226" s="373"/>
      <c r="X226" s="372"/>
      <c r="Y226" s="372"/>
    </row>
    <row r="227" spans="2:25" ht="15">
      <c r="B227" s="212">
        <f>IF(ISBLANK(C227),"",INDEX([1]List!$AK$2:$AK$99,MATCH($C227,[1]List!$AJ$2:$AJ$99,0)))</f>
        <v>1250</v>
      </c>
      <c r="C227" s="599" t="s">
        <v>661</v>
      </c>
      <c r="D227" s="608">
        <v>15</v>
      </c>
      <c r="E227" s="608">
        <v>15</v>
      </c>
      <c r="F227" s="609">
        <v>15</v>
      </c>
      <c r="G227" s="609">
        <v>15</v>
      </c>
      <c r="H227" s="609"/>
      <c r="I227" s="609"/>
      <c r="J227" s="609"/>
      <c r="K227" s="609"/>
      <c r="L227" s="609"/>
      <c r="M227" s="609"/>
      <c r="N227" s="609"/>
      <c r="O227" s="610"/>
      <c r="P227" s="450">
        <f t="shared" si="67"/>
        <v>75000</v>
      </c>
      <c r="Q227" s="373"/>
      <c r="R227" s="373"/>
      <c r="S227" s="373"/>
      <c r="T227" s="373"/>
      <c r="U227" s="373"/>
      <c r="V227" s="373"/>
      <c r="W227" s="373"/>
      <c r="X227" s="372"/>
      <c r="Y227" s="372"/>
    </row>
    <row r="228" spans="2:25" ht="15">
      <c r="B228" s="212">
        <f>IF(ISBLANK(C228),"",INDEX([1]List!$AK$2:$AK$99,MATCH($C228,[1]List!$AJ$2:$AJ$99,0)))</f>
        <v>4000</v>
      </c>
      <c r="C228" s="599" t="s">
        <v>668</v>
      </c>
      <c r="D228" s="611">
        <v>5</v>
      </c>
      <c r="E228" s="611">
        <v>5</v>
      </c>
      <c r="F228" s="449">
        <v>5</v>
      </c>
      <c r="G228" s="449">
        <v>5</v>
      </c>
      <c r="H228" s="449"/>
      <c r="I228" s="449"/>
      <c r="J228" s="449"/>
      <c r="K228" s="449"/>
      <c r="L228" s="449"/>
      <c r="M228" s="449"/>
      <c r="N228" s="449"/>
      <c r="O228" s="612"/>
      <c r="P228" s="450">
        <f t="shared" si="67"/>
        <v>80000</v>
      </c>
      <c r="Q228" s="373"/>
      <c r="R228" s="373"/>
      <c r="S228" s="373"/>
      <c r="T228" s="373"/>
      <c r="U228" s="373"/>
      <c r="V228" s="373"/>
      <c r="W228" s="373"/>
      <c r="X228" s="372"/>
      <c r="Y228" s="372"/>
    </row>
    <row r="229" spans="2:25" ht="15">
      <c r="B229" s="212">
        <f>IF(ISBLANK(C229),"",INDEX([1]List!$AK$2:$AK$99,MATCH($C229,[1]List!$AJ$2:$AJ$99,0)))</f>
        <v>2000</v>
      </c>
      <c r="C229" s="599" t="s">
        <v>669</v>
      </c>
      <c r="D229" s="611">
        <v>15</v>
      </c>
      <c r="E229" s="611">
        <v>15</v>
      </c>
      <c r="F229" s="449">
        <v>15</v>
      </c>
      <c r="G229" s="449">
        <v>15</v>
      </c>
      <c r="H229" s="449"/>
      <c r="I229" s="449"/>
      <c r="J229" s="449"/>
      <c r="K229" s="449"/>
      <c r="L229" s="449"/>
      <c r="M229" s="449"/>
      <c r="N229" s="449"/>
      <c r="O229" s="612"/>
      <c r="P229" s="450">
        <f t="shared" si="67"/>
        <v>120000</v>
      </c>
      <c r="Q229" s="373"/>
      <c r="R229" s="373"/>
      <c r="S229" s="373"/>
      <c r="T229" s="373"/>
      <c r="U229" s="373"/>
      <c r="V229" s="373"/>
      <c r="W229" s="373"/>
      <c r="X229" s="372"/>
      <c r="Y229" s="372"/>
    </row>
    <row r="230" spans="2:25" ht="15">
      <c r="B230" s="212">
        <f>IF(ISBLANK(C230),"",INDEX([1]List!$AK$2:$AK$99,MATCH($C230,[1]List!$AJ$2:$AJ$99,0)))</f>
        <v>8000</v>
      </c>
      <c r="C230" s="599" t="s">
        <v>671</v>
      </c>
      <c r="D230" s="611">
        <v>5</v>
      </c>
      <c r="E230" s="611">
        <v>5</v>
      </c>
      <c r="F230" s="449">
        <v>5</v>
      </c>
      <c r="G230" s="449">
        <v>5</v>
      </c>
      <c r="H230" s="449"/>
      <c r="I230" s="449"/>
      <c r="J230" s="449"/>
      <c r="K230" s="449"/>
      <c r="L230" s="449"/>
      <c r="M230" s="449"/>
      <c r="N230" s="449"/>
      <c r="O230" s="612"/>
      <c r="P230" s="450">
        <f t="shared" si="67"/>
        <v>160000</v>
      </c>
      <c r="Q230" s="373"/>
      <c r="R230" s="373"/>
      <c r="S230" s="373"/>
      <c r="T230" s="373"/>
      <c r="U230" s="373"/>
      <c r="V230" s="373"/>
      <c r="W230" s="373"/>
      <c r="X230" s="372"/>
      <c r="Y230" s="372"/>
    </row>
    <row r="231" spans="2:25" ht="15">
      <c r="B231" s="212">
        <f>IF(ISBLANK(C231),"",INDEX([1]List!$AK$2:$AK$99,MATCH($C231,[1]List!$AJ$2:$AJ$99,0)))</f>
        <v>2500</v>
      </c>
      <c r="C231" s="599" t="s">
        <v>687</v>
      </c>
      <c r="D231" s="611">
        <v>15</v>
      </c>
      <c r="E231" s="611">
        <v>15</v>
      </c>
      <c r="F231" s="449">
        <v>15</v>
      </c>
      <c r="G231" s="449">
        <v>15</v>
      </c>
      <c r="H231" s="449"/>
      <c r="I231" s="449"/>
      <c r="J231" s="449"/>
      <c r="K231" s="449"/>
      <c r="L231" s="449"/>
      <c r="M231" s="449"/>
      <c r="N231" s="449"/>
      <c r="O231" s="612"/>
      <c r="P231" s="450">
        <f t="shared" si="67"/>
        <v>150000</v>
      </c>
      <c r="Q231" s="373"/>
      <c r="R231" s="373"/>
      <c r="S231" s="373"/>
      <c r="T231" s="373"/>
      <c r="U231" s="373"/>
      <c r="V231" s="373"/>
      <c r="W231" s="373"/>
      <c r="X231" s="372"/>
      <c r="Y231" s="372"/>
    </row>
    <row r="232" spans="2:25" ht="15">
      <c r="B232" s="212">
        <f>IF(ISBLANK(C232),"",INDEX([1]List!$AK$2:$AK$99,MATCH($C232,[1]List!$AJ$2:$AJ$99,0)))</f>
        <v>200</v>
      </c>
      <c r="C232" s="599" t="s">
        <v>690</v>
      </c>
      <c r="D232" s="611">
        <v>10</v>
      </c>
      <c r="E232" s="611">
        <v>10</v>
      </c>
      <c r="F232" s="449">
        <v>10</v>
      </c>
      <c r="G232" s="449">
        <v>10</v>
      </c>
      <c r="H232" s="449"/>
      <c r="I232" s="449"/>
      <c r="J232" s="449"/>
      <c r="K232" s="449"/>
      <c r="L232" s="449"/>
      <c r="M232" s="449"/>
      <c r="N232" s="449"/>
      <c r="O232" s="612"/>
      <c r="P232" s="450">
        <f t="shared" si="67"/>
        <v>8000</v>
      </c>
      <c r="Q232" s="373"/>
      <c r="R232" s="373"/>
      <c r="S232" s="373"/>
      <c r="T232" s="373"/>
      <c r="U232" s="373"/>
      <c r="V232" s="373"/>
      <c r="W232" s="373"/>
      <c r="X232" s="372"/>
      <c r="Y232" s="372"/>
    </row>
    <row r="233" spans="2:25" ht="15">
      <c r="B233" s="212">
        <f>IF(ISBLANK(C233),"",INDEX([1]List!$AK$2:$AK$99,MATCH($C233,[1]List!$AJ$2:$AJ$99,0)))</f>
        <v>300</v>
      </c>
      <c r="C233" s="599" t="s">
        <v>694</v>
      </c>
      <c r="D233" s="611">
        <v>15</v>
      </c>
      <c r="E233" s="611">
        <v>15</v>
      </c>
      <c r="F233" s="449">
        <v>15</v>
      </c>
      <c r="G233" s="449">
        <v>15</v>
      </c>
      <c r="H233" s="449"/>
      <c r="I233" s="449"/>
      <c r="J233" s="449"/>
      <c r="K233" s="449"/>
      <c r="L233" s="449"/>
      <c r="M233" s="449"/>
      <c r="N233" s="449"/>
      <c r="O233" s="612"/>
      <c r="P233" s="450">
        <f t="shared" si="67"/>
        <v>18000</v>
      </c>
      <c r="Q233" s="373"/>
      <c r="R233" s="373"/>
      <c r="S233" s="373"/>
      <c r="T233" s="373"/>
      <c r="U233" s="373"/>
      <c r="V233" s="373"/>
      <c r="W233" s="373"/>
      <c r="X233" s="372"/>
      <c r="Y233" s="372"/>
    </row>
    <row r="234" spans="2:25" ht="15">
      <c r="B234" s="212" t="str">
        <f>IF(ISBLANK(C234),"",INDEX([1]List!$AK$2:$AK$99,MATCH($C234,[1]List!$AJ$2:$AJ$99,0)))</f>
        <v/>
      </c>
      <c r="C234" s="599"/>
      <c r="D234" s="611"/>
      <c r="E234" s="611"/>
      <c r="F234" s="449"/>
      <c r="G234" s="449"/>
      <c r="H234" s="449"/>
      <c r="I234" s="449"/>
      <c r="J234" s="449"/>
      <c r="K234" s="449"/>
      <c r="L234" s="449"/>
      <c r="M234" s="449"/>
      <c r="N234" s="449"/>
      <c r="O234" s="612"/>
      <c r="P234" s="450" t="str">
        <f t="shared" si="67"/>
        <v/>
      </c>
      <c r="Q234" s="373"/>
      <c r="R234" s="373"/>
      <c r="S234" s="373"/>
      <c r="T234" s="373"/>
      <c r="U234" s="373"/>
      <c r="V234" s="373"/>
      <c r="W234" s="373"/>
      <c r="X234" s="372"/>
      <c r="Y234" s="372"/>
    </row>
    <row r="235" spans="2:25" ht="15">
      <c r="B235" s="212">
        <f>IF(ISBLANK(C235),"",INDEX([1]List!$AK$2:$AK$99,MATCH($C235,[1]List!$AJ$2:$AJ$99,0)))</f>
        <v>2500</v>
      </c>
      <c r="C235" s="599" t="s">
        <v>697</v>
      </c>
      <c r="D235" s="611">
        <v>1</v>
      </c>
      <c r="E235" s="611">
        <v>1</v>
      </c>
      <c r="F235" s="449">
        <v>1</v>
      </c>
      <c r="G235" s="449">
        <v>1</v>
      </c>
      <c r="H235" s="449"/>
      <c r="I235" s="449"/>
      <c r="J235" s="449"/>
      <c r="K235" s="449"/>
      <c r="L235" s="449"/>
      <c r="M235" s="449"/>
      <c r="N235" s="449"/>
      <c r="O235" s="612"/>
      <c r="P235" s="450">
        <f t="shared" si="67"/>
        <v>10000</v>
      </c>
      <c r="Q235" s="373"/>
      <c r="R235" s="373"/>
      <c r="S235" s="373"/>
      <c r="T235" s="373"/>
      <c r="U235" s="373"/>
      <c r="V235" s="373"/>
      <c r="W235" s="373"/>
      <c r="X235" s="372"/>
      <c r="Y235" s="372"/>
    </row>
    <row r="236" spans="2:25" ht="15">
      <c r="B236" s="212">
        <f>IF(ISBLANK(C236),"",INDEX([1]List!$AK$2:$AK$99,MATCH($C236,[1]List!$AJ$2:$AJ$99,0)))</f>
        <v>2500</v>
      </c>
      <c r="C236" s="599" t="s">
        <v>700</v>
      </c>
      <c r="D236" s="611">
        <v>1</v>
      </c>
      <c r="E236" s="611">
        <v>1</v>
      </c>
      <c r="F236" s="449">
        <v>1</v>
      </c>
      <c r="G236" s="449">
        <v>1</v>
      </c>
      <c r="H236" s="449"/>
      <c r="I236" s="449"/>
      <c r="J236" s="449"/>
      <c r="K236" s="449"/>
      <c r="L236" s="449"/>
      <c r="M236" s="449"/>
      <c r="N236" s="449"/>
      <c r="O236" s="612"/>
      <c r="P236" s="450">
        <f t="shared" si="67"/>
        <v>10000</v>
      </c>
      <c r="Q236" s="373"/>
      <c r="R236" s="373"/>
      <c r="S236" s="373"/>
      <c r="T236" s="373"/>
      <c r="U236" s="373"/>
      <c r="V236" s="373"/>
      <c r="W236" s="373"/>
      <c r="X236" s="372"/>
      <c r="Y236" s="372"/>
    </row>
    <row r="237" spans="2:25" ht="15">
      <c r="B237" s="212">
        <f>IF(ISBLANK(C237),"",INDEX([1]List!$AK$2:$AK$99,MATCH($C237,[1]List!$AJ$2:$AJ$99,0)))</f>
        <v>3000</v>
      </c>
      <c r="C237" s="599" t="s">
        <v>708</v>
      </c>
      <c r="D237" s="611">
        <v>1</v>
      </c>
      <c r="E237" s="611">
        <v>1</v>
      </c>
      <c r="F237" s="449">
        <v>1</v>
      </c>
      <c r="G237" s="449">
        <v>1</v>
      </c>
      <c r="H237" s="449"/>
      <c r="I237" s="449"/>
      <c r="J237" s="449"/>
      <c r="K237" s="449"/>
      <c r="L237" s="449"/>
      <c r="M237" s="449"/>
      <c r="N237" s="449"/>
      <c r="O237" s="612"/>
      <c r="P237" s="450">
        <f t="shared" si="67"/>
        <v>12000</v>
      </c>
      <c r="Q237" s="373"/>
      <c r="R237" s="373"/>
      <c r="S237" s="373"/>
      <c r="T237" s="373"/>
      <c r="U237" s="373"/>
      <c r="V237" s="373"/>
      <c r="W237" s="373"/>
      <c r="X237" s="372"/>
      <c r="Y237" s="372"/>
    </row>
    <row r="238" spans="2:25" ht="15">
      <c r="B238" s="212">
        <f>IF(ISBLANK(C238),"",INDEX([1]List!$AK$2:$AK$99,MATCH($C238,[1]List!$AJ$2:$AJ$99,0)))</f>
        <v>1200</v>
      </c>
      <c r="C238" s="599" t="s">
        <v>711</v>
      </c>
      <c r="D238" s="611">
        <v>5</v>
      </c>
      <c r="E238" s="611">
        <v>5</v>
      </c>
      <c r="F238" s="449">
        <v>5</v>
      </c>
      <c r="G238" s="449">
        <v>5</v>
      </c>
      <c r="H238" s="449"/>
      <c r="I238" s="449"/>
      <c r="J238" s="449"/>
      <c r="K238" s="449"/>
      <c r="L238" s="449"/>
      <c r="M238" s="449"/>
      <c r="N238" s="449"/>
      <c r="O238" s="612"/>
      <c r="P238" s="450">
        <f t="shared" si="67"/>
        <v>24000</v>
      </c>
      <c r="Q238" s="373"/>
      <c r="R238" s="373"/>
      <c r="S238" s="373"/>
      <c r="T238" s="373"/>
      <c r="U238" s="373"/>
      <c r="V238" s="373"/>
      <c r="W238" s="373"/>
      <c r="X238" s="372"/>
      <c r="Y238" s="372"/>
    </row>
    <row r="239" spans="2:25" ht="15">
      <c r="B239" s="212">
        <f>IF(ISBLANK(C239),"",INDEX([1]List!$AK$2:$AK$99,MATCH($C239,[1]List!$AJ$2:$AJ$99,0)))</f>
        <v>4000</v>
      </c>
      <c r="C239" s="599" t="s">
        <v>698</v>
      </c>
      <c r="D239" s="611">
        <v>3</v>
      </c>
      <c r="E239" s="611">
        <v>3</v>
      </c>
      <c r="F239" s="449">
        <v>3</v>
      </c>
      <c r="G239" s="449">
        <v>3</v>
      </c>
      <c r="H239" s="449"/>
      <c r="I239" s="449"/>
      <c r="J239" s="449"/>
      <c r="K239" s="449"/>
      <c r="L239" s="449"/>
      <c r="M239" s="449"/>
      <c r="N239" s="449"/>
      <c r="O239" s="612"/>
      <c r="P239" s="450">
        <f t="shared" si="67"/>
        <v>48000</v>
      </c>
      <c r="Q239" s="373"/>
      <c r="R239" s="373"/>
      <c r="S239" s="373"/>
      <c r="T239" s="373"/>
      <c r="U239" s="373"/>
      <c r="V239" s="373"/>
      <c r="W239" s="373"/>
      <c r="X239" s="372"/>
      <c r="Y239" s="372"/>
    </row>
    <row r="240" spans="2:25" ht="15">
      <c r="B240" s="212" t="str">
        <f>IF(ISBLANK(C240),"",INDEX(List!$AK$2:$AK$97,MATCH($C240,List!$AJ$2:$AJ$97,0)))</f>
        <v/>
      </c>
      <c r="C240" s="599"/>
      <c r="D240" s="611"/>
      <c r="E240" s="449"/>
      <c r="F240" s="449"/>
      <c r="G240" s="449"/>
      <c r="H240" s="449"/>
      <c r="I240" s="449"/>
      <c r="J240" s="449"/>
      <c r="K240" s="449"/>
      <c r="L240" s="449"/>
      <c r="M240" s="449"/>
      <c r="N240" s="449"/>
      <c r="O240" s="612"/>
      <c r="P240" s="450" t="str">
        <f t="shared" si="67"/>
        <v/>
      </c>
      <c r="Q240" s="373"/>
      <c r="R240" s="373"/>
      <c r="S240" s="373"/>
      <c r="T240" s="373"/>
      <c r="U240" s="373"/>
      <c r="V240" s="373"/>
      <c r="W240" s="373"/>
      <c r="X240" s="372"/>
      <c r="Y240" s="372"/>
    </row>
    <row r="241" spans="2:25" ht="15">
      <c r="B241" s="212" t="str">
        <f>IF(ISBLANK(C241),"",INDEX(List!$AK$2:$AK$97,MATCH($C241,List!$AJ$2:$AJ$97,0)))</f>
        <v/>
      </c>
      <c r="C241" s="599"/>
      <c r="D241" s="611"/>
      <c r="E241" s="449"/>
      <c r="F241" s="449"/>
      <c r="G241" s="449"/>
      <c r="H241" s="449"/>
      <c r="I241" s="449"/>
      <c r="J241" s="449"/>
      <c r="K241" s="449"/>
      <c r="L241" s="449"/>
      <c r="M241" s="449"/>
      <c r="N241" s="449"/>
      <c r="O241" s="612"/>
      <c r="P241" s="450" t="str">
        <f t="shared" si="67"/>
        <v/>
      </c>
      <c r="Q241" s="373"/>
      <c r="R241" s="373"/>
      <c r="S241" s="373"/>
      <c r="T241" s="373"/>
      <c r="U241" s="373"/>
      <c r="V241" s="373"/>
      <c r="W241" s="373"/>
      <c r="X241" s="372"/>
      <c r="Y241" s="372"/>
    </row>
    <row r="242" spans="2:25" ht="15">
      <c r="B242" s="212" t="str">
        <f>IF(ISBLANK(C242),"",INDEX(List!$AK$2:$AK$97,MATCH($C242,List!$AJ$2:$AJ$97,0)))</f>
        <v/>
      </c>
      <c r="C242" s="599"/>
      <c r="D242" s="611"/>
      <c r="E242" s="449"/>
      <c r="F242" s="449"/>
      <c r="G242" s="449"/>
      <c r="H242" s="449"/>
      <c r="I242" s="449"/>
      <c r="J242" s="449"/>
      <c r="K242" s="449"/>
      <c r="L242" s="449"/>
      <c r="M242" s="449"/>
      <c r="N242" s="449"/>
      <c r="O242" s="612"/>
      <c r="P242" s="450" t="str">
        <f t="shared" si="67"/>
        <v/>
      </c>
      <c r="Q242" s="373"/>
      <c r="R242" s="373"/>
      <c r="S242" s="373"/>
      <c r="T242" s="373"/>
      <c r="U242" s="373"/>
      <c r="V242" s="373"/>
      <c r="W242" s="373"/>
      <c r="X242" s="372"/>
      <c r="Y242" s="372"/>
    </row>
    <row r="243" spans="2:25" ht="15">
      <c r="B243" s="212" t="str">
        <f>IF(ISBLANK(C243),"",INDEX(List!$AK$2:$AK$97,MATCH($C243,List!$AJ$2:$AJ$97,0)))</f>
        <v/>
      </c>
      <c r="C243" s="599"/>
      <c r="D243" s="611"/>
      <c r="E243" s="449"/>
      <c r="F243" s="449"/>
      <c r="G243" s="449"/>
      <c r="H243" s="449"/>
      <c r="I243" s="449"/>
      <c r="J243" s="449"/>
      <c r="K243" s="449"/>
      <c r="L243" s="449"/>
      <c r="M243" s="449"/>
      <c r="N243" s="449"/>
      <c r="O243" s="612"/>
      <c r="P243" s="450" t="str">
        <f t="shared" si="67"/>
        <v/>
      </c>
      <c r="Q243" s="373"/>
      <c r="R243" s="373"/>
      <c r="S243" s="373"/>
      <c r="T243" s="373"/>
      <c r="U243" s="373"/>
      <c r="V243" s="373"/>
      <c r="W243" s="373"/>
      <c r="X243" s="372"/>
      <c r="Y243" s="372"/>
    </row>
    <row r="244" spans="2:25" ht="15">
      <c r="B244" s="212"/>
      <c r="C244" s="599"/>
      <c r="D244" s="611"/>
      <c r="E244" s="449"/>
      <c r="F244" s="449"/>
      <c r="G244" s="449"/>
      <c r="H244" s="449"/>
      <c r="I244" s="449"/>
      <c r="J244" s="449"/>
      <c r="K244" s="449"/>
      <c r="L244" s="449"/>
      <c r="M244" s="449"/>
      <c r="N244" s="449"/>
      <c r="O244" s="612"/>
      <c r="P244" s="450"/>
      <c r="Q244" s="373"/>
      <c r="R244" s="373"/>
      <c r="S244" s="373"/>
      <c r="T244" s="373"/>
      <c r="U244" s="373"/>
      <c r="V244" s="373"/>
      <c r="W244" s="373"/>
      <c r="X244" s="372"/>
      <c r="Y244" s="372"/>
    </row>
    <row r="245" spans="2:25" ht="15">
      <c r="B245" s="212"/>
      <c r="C245" s="599"/>
      <c r="D245" s="611"/>
      <c r="E245" s="449"/>
      <c r="F245" s="449"/>
      <c r="G245" s="449"/>
      <c r="H245" s="449"/>
      <c r="I245" s="449"/>
      <c r="J245" s="449"/>
      <c r="K245" s="449"/>
      <c r="L245" s="449"/>
      <c r="M245" s="449"/>
      <c r="N245" s="449"/>
      <c r="O245" s="612"/>
      <c r="P245" s="450"/>
      <c r="Q245" s="373"/>
      <c r="R245" s="373"/>
      <c r="S245" s="373"/>
      <c r="T245" s="373"/>
      <c r="U245" s="373"/>
      <c r="V245" s="373"/>
      <c r="W245" s="373"/>
      <c r="X245" s="372"/>
      <c r="Y245" s="372"/>
    </row>
    <row r="246" spans="2:25" ht="15.75" thickBot="1">
      <c r="B246" s="212"/>
      <c r="C246" s="599"/>
      <c r="D246" s="613"/>
      <c r="E246" s="614"/>
      <c r="F246" s="614"/>
      <c r="G246" s="614"/>
      <c r="H246" s="614"/>
      <c r="I246" s="614"/>
      <c r="J246" s="614"/>
      <c r="K246" s="614"/>
      <c r="L246" s="614"/>
      <c r="M246" s="614"/>
      <c r="N246" s="614"/>
      <c r="O246" s="615"/>
      <c r="P246" s="450"/>
      <c r="Q246" s="373"/>
      <c r="R246" s="373"/>
      <c r="S246" s="373"/>
      <c r="T246" s="373"/>
      <c r="U246" s="373"/>
      <c r="V246" s="373"/>
      <c r="W246" s="373"/>
      <c r="X246" s="372"/>
      <c r="Y246" s="372"/>
    </row>
    <row r="247" spans="2:25" ht="15.75" thickBot="1">
      <c r="B247" s="96" t="s">
        <v>905</v>
      </c>
      <c r="C247" s="1025" t="s">
        <v>219</v>
      </c>
      <c r="D247" s="1059"/>
      <c r="E247" s="1059"/>
      <c r="F247" s="1059"/>
      <c r="G247" s="1059"/>
      <c r="H247" s="1059"/>
      <c r="I247" s="1059"/>
      <c r="J247" s="1059"/>
      <c r="K247" s="1059"/>
      <c r="L247" s="1059"/>
      <c r="M247" s="1059"/>
      <c r="N247" s="1059"/>
      <c r="O247" s="1060"/>
      <c r="P247" s="450"/>
      <c r="Q247" s="373"/>
      <c r="R247" s="373"/>
      <c r="S247" s="373"/>
      <c r="T247" s="373"/>
      <c r="U247" s="373"/>
      <c r="V247" s="373"/>
      <c r="W247" s="373"/>
      <c r="X247" s="372"/>
      <c r="Y247" s="372"/>
    </row>
    <row r="248" spans="2:25" ht="15">
      <c r="B248" s="212">
        <f>IF(ISBLANK(C248),"",INDEX([1]List!$AK$2:$AK$99,MATCH($C248,[1]List!$AJ$2:$AJ$99,0)))</f>
        <v>1250</v>
      </c>
      <c r="C248" s="599" t="s">
        <v>661</v>
      </c>
      <c r="D248" s="608">
        <v>45</v>
      </c>
      <c r="E248" s="608">
        <v>45</v>
      </c>
      <c r="F248" s="608">
        <v>45</v>
      </c>
      <c r="G248" s="608">
        <v>45</v>
      </c>
      <c r="H248" s="609"/>
      <c r="I248" s="609"/>
      <c r="J248" s="609"/>
      <c r="K248" s="609"/>
      <c r="L248" s="609"/>
      <c r="M248" s="609"/>
      <c r="N248" s="609"/>
      <c r="O248" s="610"/>
      <c r="P248" s="450">
        <f t="shared" si="67"/>
        <v>225000</v>
      </c>
      <c r="Q248" s="373"/>
      <c r="R248" s="373"/>
      <c r="S248" s="373"/>
      <c r="T248" s="373"/>
      <c r="U248" s="373"/>
      <c r="V248" s="373"/>
      <c r="W248" s="373"/>
      <c r="X248" s="372"/>
      <c r="Y248" s="372"/>
    </row>
    <row r="249" spans="2:25" ht="15">
      <c r="B249" s="212">
        <f>IF(ISBLANK(C249),"",INDEX([1]List!$AK$2:$AK$99,MATCH($C249,[1]List!$AJ$2:$AJ$99,0)))</f>
        <v>4000</v>
      </c>
      <c r="C249" s="599" t="s">
        <v>668</v>
      </c>
      <c r="D249" s="611">
        <v>15</v>
      </c>
      <c r="E249" s="611">
        <v>15</v>
      </c>
      <c r="F249" s="611">
        <v>15</v>
      </c>
      <c r="G249" s="611">
        <v>15</v>
      </c>
      <c r="H249" s="449"/>
      <c r="I249" s="449"/>
      <c r="J249" s="449"/>
      <c r="K249" s="449"/>
      <c r="L249" s="449"/>
      <c r="M249" s="449"/>
      <c r="N249" s="449"/>
      <c r="O249" s="612"/>
      <c r="P249" s="450">
        <f t="shared" si="67"/>
        <v>240000</v>
      </c>
      <c r="Q249" s="373"/>
      <c r="R249" s="373"/>
      <c r="S249" s="373"/>
      <c r="T249" s="373"/>
      <c r="U249" s="373"/>
      <c r="V249" s="373"/>
      <c r="W249" s="373"/>
      <c r="X249" s="372"/>
      <c r="Y249" s="372"/>
    </row>
    <row r="250" spans="2:25" ht="15">
      <c r="B250" s="212">
        <f>IF(ISBLANK(C250),"",INDEX([1]List!$AK$2:$AK$99,MATCH($C250,[1]List!$AJ$2:$AJ$99,0)))</f>
        <v>2000</v>
      </c>
      <c r="C250" s="599" t="s">
        <v>669</v>
      </c>
      <c r="D250" s="611">
        <v>45</v>
      </c>
      <c r="E250" s="611">
        <v>45</v>
      </c>
      <c r="F250" s="611">
        <v>45</v>
      </c>
      <c r="G250" s="611">
        <v>45</v>
      </c>
      <c r="H250" s="449"/>
      <c r="I250" s="449"/>
      <c r="J250" s="449"/>
      <c r="K250" s="449"/>
      <c r="L250" s="449"/>
      <c r="M250" s="449"/>
      <c r="N250" s="449"/>
      <c r="O250" s="612"/>
      <c r="P250" s="450">
        <f t="shared" si="67"/>
        <v>360000</v>
      </c>
      <c r="Q250" s="373"/>
      <c r="R250" s="373"/>
      <c r="S250" s="373"/>
      <c r="T250" s="373"/>
      <c r="U250" s="373"/>
      <c r="V250" s="373"/>
      <c r="W250" s="373"/>
      <c r="X250" s="372"/>
      <c r="Y250" s="372"/>
    </row>
    <row r="251" spans="2:25" ht="15">
      <c r="B251" s="212">
        <f>IF(ISBLANK(C251),"",INDEX([1]List!$AK$2:$AK$99,MATCH($C251,[1]List!$AJ$2:$AJ$99,0)))</f>
        <v>8000</v>
      </c>
      <c r="C251" s="599" t="s">
        <v>671</v>
      </c>
      <c r="D251" s="611">
        <v>15</v>
      </c>
      <c r="E251" s="611">
        <v>15</v>
      </c>
      <c r="F251" s="611">
        <v>15</v>
      </c>
      <c r="G251" s="611">
        <v>15</v>
      </c>
      <c r="H251" s="449"/>
      <c r="I251" s="449"/>
      <c r="J251" s="449"/>
      <c r="K251" s="449"/>
      <c r="L251" s="449"/>
      <c r="M251" s="449"/>
      <c r="N251" s="449"/>
      <c r="O251" s="612"/>
      <c r="P251" s="450">
        <f t="shared" si="67"/>
        <v>480000</v>
      </c>
      <c r="Q251" s="373"/>
      <c r="R251" s="373"/>
      <c r="S251" s="373"/>
      <c r="T251" s="373"/>
      <c r="U251" s="373"/>
      <c r="V251" s="373"/>
      <c r="W251" s="373"/>
      <c r="X251" s="372"/>
      <c r="Y251" s="372"/>
    </row>
    <row r="252" spans="2:25" ht="15">
      <c r="B252" s="212">
        <f>IF(ISBLANK(C252),"",INDEX([1]List!$AK$2:$AK$99,MATCH($C252,[1]List!$AJ$2:$AJ$99,0)))</f>
        <v>2500</v>
      </c>
      <c r="C252" s="599" t="s">
        <v>687</v>
      </c>
      <c r="D252" s="611">
        <v>45</v>
      </c>
      <c r="E252" s="611">
        <v>45</v>
      </c>
      <c r="F252" s="611">
        <v>45</v>
      </c>
      <c r="G252" s="611">
        <v>45</v>
      </c>
      <c r="H252" s="449"/>
      <c r="I252" s="449"/>
      <c r="J252" s="449"/>
      <c r="K252" s="449"/>
      <c r="L252" s="449"/>
      <c r="M252" s="449"/>
      <c r="N252" s="449"/>
      <c r="O252" s="612"/>
      <c r="P252" s="450">
        <f t="shared" si="67"/>
        <v>450000</v>
      </c>
      <c r="Q252" s="373"/>
      <c r="R252" s="373"/>
      <c r="S252" s="373"/>
      <c r="T252" s="373"/>
      <c r="U252" s="373"/>
      <c r="V252" s="373"/>
      <c r="W252" s="373"/>
      <c r="X252" s="372"/>
      <c r="Y252" s="372"/>
    </row>
    <row r="253" spans="2:25" ht="15">
      <c r="B253" s="212">
        <f>IF(ISBLANK(C253),"",INDEX([1]List!$AK$2:$AK$99,MATCH($C253,[1]List!$AJ$2:$AJ$99,0)))</f>
        <v>3500</v>
      </c>
      <c r="C253" s="599" t="s">
        <v>692</v>
      </c>
      <c r="D253" s="611">
        <v>15</v>
      </c>
      <c r="E253" s="611">
        <v>15</v>
      </c>
      <c r="F253" s="611">
        <v>15</v>
      </c>
      <c r="G253" s="611">
        <v>15</v>
      </c>
      <c r="H253" s="449"/>
      <c r="I253" s="449"/>
      <c r="J253" s="449"/>
      <c r="K253" s="449"/>
      <c r="L253" s="449"/>
      <c r="M253" s="449"/>
      <c r="N253" s="449"/>
      <c r="O253" s="612"/>
      <c r="P253" s="450">
        <f t="shared" si="67"/>
        <v>210000</v>
      </c>
      <c r="Q253" s="373"/>
      <c r="R253" s="373"/>
      <c r="S253" s="373"/>
      <c r="T253" s="373"/>
      <c r="U253" s="373"/>
      <c r="V253" s="373"/>
      <c r="W253" s="373"/>
      <c r="X253" s="372"/>
      <c r="Y253" s="372"/>
    </row>
    <row r="254" spans="2:25" ht="15">
      <c r="B254" s="212">
        <f>IF(ISBLANK(C254),"",INDEX([1]List!$AK$2:$AK$99,MATCH($C254,[1]List!$AJ$2:$AJ$99,0)))</f>
        <v>300</v>
      </c>
      <c r="C254" s="599" t="s">
        <v>694</v>
      </c>
      <c r="D254" s="611">
        <v>45</v>
      </c>
      <c r="E254" s="611">
        <v>45</v>
      </c>
      <c r="F254" s="611">
        <v>45</v>
      </c>
      <c r="G254" s="611">
        <v>45</v>
      </c>
      <c r="H254" s="449"/>
      <c r="I254" s="449"/>
      <c r="J254" s="449"/>
      <c r="K254" s="449"/>
      <c r="L254" s="449"/>
      <c r="M254" s="449"/>
      <c r="N254" s="449"/>
      <c r="O254" s="612"/>
      <c r="P254" s="450">
        <f t="shared" si="67"/>
        <v>54000</v>
      </c>
      <c r="Q254" s="373"/>
      <c r="R254" s="373"/>
      <c r="S254" s="373"/>
      <c r="T254" s="373"/>
      <c r="U254" s="373"/>
      <c r="V254" s="373"/>
      <c r="W254" s="373"/>
      <c r="X254" s="372"/>
      <c r="Y254" s="372"/>
    </row>
    <row r="255" spans="2:25" ht="15">
      <c r="B255" s="212" t="str">
        <f>IF(ISBLANK(C255),"",INDEX([1]List!$AK$2:$AK$99,MATCH($C255,[1]List!$AJ$2:$AJ$99,0)))</f>
        <v/>
      </c>
      <c r="C255" s="599"/>
      <c r="D255" s="611"/>
      <c r="E255" s="611"/>
      <c r="F255" s="611"/>
      <c r="G255" s="611"/>
      <c r="H255" s="449"/>
      <c r="I255" s="449"/>
      <c r="J255" s="449"/>
      <c r="K255" s="449"/>
      <c r="L255" s="449"/>
      <c r="M255" s="449"/>
      <c r="N255" s="449"/>
      <c r="O255" s="612"/>
      <c r="P255" s="450" t="str">
        <f t="shared" si="67"/>
        <v/>
      </c>
      <c r="Q255" s="373"/>
      <c r="R255" s="373"/>
      <c r="S255" s="373"/>
      <c r="T255" s="373"/>
      <c r="U255" s="373"/>
      <c r="V255" s="373"/>
      <c r="W255" s="373"/>
      <c r="X255" s="372"/>
      <c r="Y255" s="372"/>
    </row>
    <row r="256" spans="2:25" ht="15">
      <c r="B256" s="212">
        <f>IF(ISBLANK(C256),"",INDEX([1]List!$AK$2:$AK$99,MATCH($C256,[1]List!$AJ$2:$AJ$99,0)))</f>
        <v>2500</v>
      </c>
      <c r="C256" s="599" t="s">
        <v>697</v>
      </c>
      <c r="D256" s="611">
        <v>3</v>
      </c>
      <c r="E256" s="611">
        <v>3</v>
      </c>
      <c r="F256" s="611">
        <v>3</v>
      </c>
      <c r="G256" s="611">
        <v>3</v>
      </c>
      <c r="H256" s="449"/>
      <c r="I256" s="449"/>
      <c r="J256" s="449"/>
      <c r="K256" s="449"/>
      <c r="L256" s="449"/>
      <c r="M256" s="449"/>
      <c r="N256" s="449"/>
      <c r="O256" s="612"/>
      <c r="P256" s="450">
        <f t="shared" ref="P256:P264" si="68">IF(ISBLANK(C256),"",(((SUM(D256:O256))*B256)))</f>
        <v>30000</v>
      </c>
      <c r="Q256" s="373"/>
      <c r="R256" s="373"/>
      <c r="S256" s="373"/>
      <c r="T256" s="373"/>
      <c r="U256" s="373"/>
      <c r="V256" s="373"/>
      <c r="W256" s="373"/>
      <c r="X256" s="372"/>
      <c r="Y256" s="372"/>
    </row>
    <row r="257" spans="2:25" ht="15">
      <c r="B257" s="212">
        <f>IF(ISBLANK(C257),"",INDEX([1]List!$AK$2:$AK$99,MATCH($C257,[1]List!$AJ$2:$AJ$99,0)))</f>
        <v>2500</v>
      </c>
      <c r="C257" s="599" t="s">
        <v>700</v>
      </c>
      <c r="D257" s="611">
        <v>3</v>
      </c>
      <c r="E257" s="611">
        <v>3</v>
      </c>
      <c r="F257" s="611">
        <v>3</v>
      </c>
      <c r="G257" s="611">
        <v>3</v>
      </c>
      <c r="H257" s="449"/>
      <c r="I257" s="449"/>
      <c r="J257" s="449"/>
      <c r="K257" s="449"/>
      <c r="L257" s="449"/>
      <c r="M257" s="449"/>
      <c r="N257" s="449"/>
      <c r="O257" s="612"/>
      <c r="P257" s="450">
        <f t="shared" si="68"/>
        <v>30000</v>
      </c>
      <c r="Q257" s="373"/>
      <c r="R257" s="373"/>
      <c r="S257" s="373"/>
      <c r="T257" s="373"/>
      <c r="U257" s="373"/>
      <c r="V257" s="373"/>
      <c r="W257" s="373"/>
      <c r="X257" s="372"/>
      <c r="Y257" s="372"/>
    </row>
    <row r="258" spans="2:25" ht="15">
      <c r="B258" s="212">
        <f>IF(ISBLANK(C258),"",INDEX([1]List!$AK$2:$AK$99,MATCH($C258,[1]List!$AJ$2:$AJ$99,0)))</f>
        <v>3000</v>
      </c>
      <c r="C258" s="599" t="s">
        <v>708</v>
      </c>
      <c r="D258" s="611">
        <v>1</v>
      </c>
      <c r="E258" s="611">
        <v>1</v>
      </c>
      <c r="F258" s="611">
        <v>1</v>
      </c>
      <c r="G258" s="611">
        <v>1</v>
      </c>
      <c r="H258" s="449"/>
      <c r="I258" s="449"/>
      <c r="J258" s="449"/>
      <c r="K258" s="449"/>
      <c r="L258" s="449"/>
      <c r="M258" s="449"/>
      <c r="N258" s="449"/>
      <c r="O258" s="612"/>
      <c r="P258" s="450">
        <f t="shared" si="68"/>
        <v>12000</v>
      </c>
      <c r="Q258" s="373"/>
      <c r="R258" s="373"/>
      <c r="S258" s="373"/>
      <c r="T258" s="373"/>
      <c r="U258" s="373"/>
      <c r="V258" s="373"/>
      <c r="W258" s="373"/>
      <c r="X258" s="372"/>
      <c r="Y258" s="372"/>
    </row>
    <row r="259" spans="2:25" ht="15">
      <c r="B259" s="212">
        <f>IF(ISBLANK(C259),"",INDEX([1]List!$AK$2:$AK$99,MATCH($C259,[1]List!$AJ$2:$AJ$99,0)))</f>
        <v>1200</v>
      </c>
      <c r="C259" s="599" t="s">
        <v>711</v>
      </c>
      <c r="D259" s="611">
        <v>15</v>
      </c>
      <c r="E259" s="611">
        <v>15</v>
      </c>
      <c r="F259" s="611">
        <v>15</v>
      </c>
      <c r="G259" s="611">
        <v>15</v>
      </c>
      <c r="H259" s="449"/>
      <c r="I259" s="449"/>
      <c r="J259" s="449"/>
      <c r="K259" s="449"/>
      <c r="L259" s="449"/>
      <c r="M259" s="449"/>
      <c r="N259" s="449"/>
      <c r="O259" s="612"/>
      <c r="P259" s="450">
        <f t="shared" si="68"/>
        <v>72000</v>
      </c>
      <c r="Q259" s="373"/>
      <c r="R259" s="373"/>
      <c r="S259" s="373"/>
      <c r="T259" s="373"/>
      <c r="U259" s="373"/>
      <c r="V259" s="373"/>
      <c r="W259" s="373"/>
      <c r="X259" s="372"/>
      <c r="Y259" s="372"/>
    </row>
    <row r="260" spans="2:25" ht="15">
      <c r="B260" s="212">
        <f>IF(ISBLANK(C260),"",INDEX([1]List!$AK$2:$AK$99,MATCH($C260,[1]List!$AJ$2:$AJ$99,0)))</f>
        <v>4000</v>
      </c>
      <c r="C260" s="599" t="s">
        <v>698</v>
      </c>
      <c r="D260" s="611">
        <v>15</v>
      </c>
      <c r="E260" s="611">
        <v>15</v>
      </c>
      <c r="F260" s="611">
        <v>15</v>
      </c>
      <c r="G260" s="611">
        <v>15</v>
      </c>
      <c r="H260" s="449"/>
      <c r="I260" s="449"/>
      <c r="J260" s="449"/>
      <c r="K260" s="449"/>
      <c r="L260" s="449"/>
      <c r="M260" s="449"/>
      <c r="N260" s="449"/>
      <c r="O260" s="612"/>
      <c r="P260" s="450">
        <f t="shared" si="68"/>
        <v>240000</v>
      </c>
      <c r="Q260" s="373"/>
      <c r="R260" s="373"/>
      <c r="S260" s="373"/>
      <c r="T260" s="373"/>
      <c r="U260" s="373"/>
      <c r="V260" s="373"/>
      <c r="W260" s="373"/>
      <c r="X260" s="372"/>
      <c r="Y260" s="372"/>
    </row>
    <row r="261" spans="2:25" ht="15">
      <c r="B261" s="212" t="str">
        <f>IF(ISBLANK(C261),"",INDEX(List!$AK$2:$AK$99,MATCH($C261,List!$AJ$2:$AJ$99,0)))</f>
        <v/>
      </c>
      <c r="C261" s="599"/>
      <c r="D261" s="611"/>
      <c r="E261" s="449"/>
      <c r="F261" s="449"/>
      <c r="G261" s="449"/>
      <c r="H261" s="449"/>
      <c r="I261" s="449"/>
      <c r="J261" s="449"/>
      <c r="K261" s="449"/>
      <c r="L261" s="449"/>
      <c r="M261" s="449"/>
      <c r="N261" s="449"/>
      <c r="O261" s="612"/>
      <c r="P261" s="450" t="str">
        <f t="shared" si="68"/>
        <v/>
      </c>
      <c r="Q261" s="373"/>
      <c r="R261" s="373"/>
      <c r="S261" s="373"/>
      <c r="T261" s="373"/>
      <c r="U261" s="373"/>
      <c r="V261" s="373"/>
      <c r="W261" s="373"/>
      <c r="X261" s="372"/>
      <c r="Y261" s="372"/>
    </row>
    <row r="262" spans="2:25" ht="15">
      <c r="B262" s="212" t="str">
        <f>IF(ISBLANK(C262),"",INDEX(List!$AK$2:$AK$99,MATCH($C262,List!$AJ$2:$AJ$99,0)))</f>
        <v/>
      </c>
      <c r="C262" s="599"/>
      <c r="D262" s="611"/>
      <c r="E262" s="449"/>
      <c r="F262" s="449"/>
      <c r="G262" s="449"/>
      <c r="H262" s="449"/>
      <c r="I262" s="449"/>
      <c r="J262" s="449"/>
      <c r="K262" s="449"/>
      <c r="L262" s="449"/>
      <c r="M262" s="449"/>
      <c r="N262" s="449"/>
      <c r="O262" s="612"/>
      <c r="P262" s="450" t="str">
        <f t="shared" si="68"/>
        <v/>
      </c>
      <c r="Q262" s="373"/>
      <c r="R262" s="373"/>
      <c r="S262" s="373"/>
      <c r="T262" s="373"/>
      <c r="U262" s="373"/>
      <c r="V262" s="373"/>
      <c r="W262" s="373"/>
      <c r="X262" s="372"/>
      <c r="Y262" s="372"/>
    </row>
    <row r="263" spans="2:25" ht="15">
      <c r="B263" s="212" t="str">
        <f>IF(ISBLANK(C263),"",INDEX(List!$AK$2:$AK$99,MATCH($C263,List!$AJ$2:$AJ$99,0)))</f>
        <v/>
      </c>
      <c r="C263" s="599"/>
      <c r="D263" s="611"/>
      <c r="E263" s="449"/>
      <c r="F263" s="449"/>
      <c r="G263" s="449"/>
      <c r="H263" s="449"/>
      <c r="I263" s="449"/>
      <c r="J263" s="449"/>
      <c r="K263" s="449"/>
      <c r="L263" s="449"/>
      <c r="M263" s="449"/>
      <c r="N263" s="449"/>
      <c r="O263" s="612"/>
      <c r="P263" s="450" t="str">
        <f t="shared" si="68"/>
        <v/>
      </c>
      <c r="Q263" s="373"/>
      <c r="R263" s="373"/>
      <c r="S263" s="373"/>
      <c r="T263" s="373"/>
      <c r="U263" s="373"/>
      <c r="V263" s="373"/>
      <c r="W263" s="373"/>
      <c r="X263" s="372"/>
      <c r="Y263" s="372"/>
    </row>
    <row r="264" spans="2:25" ht="15.75" thickBot="1">
      <c r="B264" s="212" t="str">
        <f>IF(ISBLANK(C264),"",INDEX(List!$AK$2:$AK$99,MATCH($C264,List!$AJ$2:$AJ$99,0)))</f>
        <v/>
      </c>
      <c r="C264" s="599"/>
      <c r="D264" s="613"/>
      <c r="E264" s="614"/>
      <c r="F264" s="614"/>
      <c r="G264" s="614"/>
      <c r="H264" s="614"/>
      <c r="I264" s="614"/>
      <c r="J264" s="614"/>
      <c r="K264" s="614"/>
      <c r="L264" s="614"/>
      <c r="M264" s="614"/>
      <c r="N264" s="614"/>
      <c r="O264" s="615"/>
      <c r="P264" s="450" t="str">
        <f t="shared" si="68"/>
        <v/>
      </c>
      <c r="Q264" s="373"/>
      <c r="R264" s="373"/>
      <c r="S264" s="373"/>
      <c r="T264" s="373"/>
      <c r="U264" s="373"/>
      <c r="V264" s="373"/>
      <c r="W264" s="373"/>
      <c r="X264" s="372"/>
      <c r="Y264" s="372"/>
    </row>
    <row r="265" spans="2:25" ht="15">
      <c r="B265" s="96" t="s">
        <v>905</v>
      </c>
      <c r="C265" s="1025" t="s">
        <v>994</v>
      </c>
      <c r="D265" s="1026"/>
      <c r="E265" s="1026"/>
      <c r="F265" s="1026"/>
      <c r="G265" s="1026"/>
      <c r="H265" s="1026"/>
      <c r="I265" s="1026"/>
      <c r="J265" s="1026"/>
      <c r="K265" s="1026"/>
      <c r="L265" s="1026"/>
      <c r="M265" s="1026"/>
      <c r="N265" s="1026"/>
      <c r="O265" s="1027"/>
      <c r="P265" s="450"/>
      <c r="Q265" s="373"/>
      <c r="R265" s="373"/>
      <c r="S265" s="373"/>
      <c r="T265" s="373"/>
      <c r="U265" s="373"/>
      <c r="V265" s="373"/>
      <c r="W265" s="373"/>
      <c r="X265" s="372"/>
      <c r="Y265" s="372"/>
    </row>
    <row r="266" spans="2:25" ht="15.75" thickBot="1">
      <c r="B266" s="212">
        <v>700000</v>
      </c>
      <c r="C266" s="221" t="s">
        <v>1007</v>
      </c>
      <c r="D266" s="449">
        <f t="shared" ref="D266:O266" si="69">IF(D267=FALSE,"0",$B$266/$P$267)</f>
        <v>700000</v>
      </c>
      <c r="E266" s="449" t="str">
        <f t="shared" si="69"/>
        <v>0</v>
      </c>
      <c r="F266" s="449"/>
      <c r="G266" s="449" t="str">
        <f t="shared" si="69"/>
        <v>0</v>
      </c>
      <c r="H266" s="449" t="str">
        <f t="shared" si="69"/>
        <v>0</v>
      </c>
      <c r="I266" s="449" t="str">
        <f t="shared" si="69"/>
        <v>0</v>
      </c>
      <c r="J266" s="449" t="str">
        <f t="shared" si="69"/>
        <v>0</v>
      </c>
      <c r="K266" s="449" t="str">
        <f t="shared" si="69"/>
        <v>0</v>
      </c>
      <c r="L266" s="449" t="str">
        <f t="shared" si="69"/>
        <v>0</v>
      </c>
      <c r="M266" s="449" t="str">
        <f t="shared" si="69"/>
        <v>0</v>
      </c>
      <c r="N266" s="449" t="str">
        <f t="shared" si="69"/>
        <v>0</v>
      </c>
      <c r="O266" s="449" t="str">
        <f t="shared" si="69"/>
        <v>0</v>
      </c>
      <c r="P266" s="450">
        <f>SUM(D266:O266)</f>
        <v>700000</v>
      </c>
      <c r="Q266" s="373"/>
      <c r="R266" s="373"/>
      <c r="S266" s="373"/>
      <c r="T266" s="373"/>
      <c r="U266" s="373"/>
      <c r="V266" s="373"/>
      <c r="W266" s="373"/>
      <c r="X266" s="372"/>
      <c r="Y266" s="372"/>
    </row>
    <row r="267" spans="2:25" ht="15.75" hidden="1" thickBot="1">
      <c r="B267" s="212" t="str">
        <f>IF(ISBLANK(C267),"",INDEX(List!$AK$2:$AK$97,MATCH($C267,List!$AJ$2:$AJ$97,0)))</f>
        <v/>
      </c>
      <c r="C267" s="221"/>
      <c r="D267" s="616" t="b">
        <v>1</v>
      </c>
      <c r="E267" s="616" t="b">
        <v>0</v>
      </c>
      <c r="F267" s="616" t="b">
        <v>0</v>
      </c>
      <c r="G267" s="616" t="b">
        <v>0</v>
      </c>
      <c r="H267" s="616" t="b">
        <v>0</v>
      </c>
      <c r="I267" s="616" t="b">
        <v>0</v>
      </c>
      <c r="J267" s="616" t="b">
        <v>0</v>
      </c>
      <c r="K267" s="616" t="b">
        <v>0</v>
      </c>
      <c r="L267" s="616" t="b">
        <v>0</v>
      </c>
      <c r="M267" s="616" t="b">
        <v>0</v>
      </c>
      <c r="N267" s="616" t="b">
        <v>0</v>
      </c>
      <c r="O267" s="616" t="b">
        <v>0</v>
      </c>
      <c r="P267" s="524">
        <f>COUNTIF(D267:O267,TRUE)</f>
        <v>1</v>
      </c>
      <c r="Q267" s="373"/>
      <c r="R267" s="373"/>
      <c r="S267" s="373"/>
      <c r="T267" s="373"/>
      <c r="U267" s="373"/>
      <c r="V267" s="373"/>
      <c r="W267" s="373"/>
      <c r="X267" s="372"/>
      <c r="Y267" s="372"/>
    </row>
    <row r="268" spans="2:25" ht="15">
      <c r="B268" s="97" t="s">
        <v>217</v>
      </c>
      <c r="C268" s="590" t="s">
        <v>154</v>
      </c>
      <c r="D268" s="618">
        <f>SUMPRODUCT(B195:B225,D195:D225)</f>
        <v>366000</v>
      </c>
      <c r="E268" s="619">
        <f>SUMPRODUCT(B195:B225,E195:E225)</f>
        <v>299000</v>
      </c>
      <c r="F268" s="619">
        <f>SUMPRODUCT(B195:B225,F195:F225)</f>
        <v>299000</v>
      </c>
      <c r="G268" s="619">
        <f>SUMPRODUCT(B195:B225,G195:G225)</f>
        <v>299000</v>
      </c>
      <c r="H268" s="619">
        <f>SUMPRODUCT(B195:B225,H195:H225)</f>
        <v>0</v>
      </c>
      <c r="I268" s="619">
        <f>SUMPRODUCT(B195:B225,I195:I225)</f>
        <v>0</v>
      </c>
      <c r="J268" s="619">
        <f>SUMPRODUCT(B195:B225,J195:J225)</f>
        <v>0</v>
      </c>
      <c r="K268" s="619">
        <f>SUMPRODUCT(B195:B225,K195:K225)</f>
        <v>0</v>
      </c>
      <c r="L268" s="619">
        <f>SUMPRODUCT(B195:B225,L195:L225)</f>
        <v>0</v>
      </c>
      <c r="M268" s="619">
        <f>SUMPRODUCT(B195:B225,M195:M225)</f>
        <v>0</v>
      </c>
      <c r="N268" s="619">
        <f>SUMPRODUCT(B195:B225,N195:N225)</f>
        <v>0</v>
      </c>
      <c r="O268" s="620">
        <f>SUMPRODUCT(B195:B225,O195:O225)</f>
        <v>0</v>
      </c>
      <c r="P268" s="394">
        <f>SUM(D268:O268)</f>
        <v>1263000</v>
      </c>
      <c r="Q268" s="373"/>
      <c r="R268" s="373"/>
      <c r="S268" s="373"/>
      <c r="T268" s="373"/>
      <c r="U268" s="373"/>
      <c r="V268" s="373"/>
      <c r="W268" s="373"/>
      <c r="X268" s="372"/>
      <c r="Y268" s="372"/>
    </row>
    <row r="269" spans="2:25" ht="15">
      <c r="B269" s="87"/>
      <c r="C269" s="591" t="s">
        <v>218</v>
      </c>
      <c r="D269" s="621">
        <f>SUMPRODUCT(B227:B243,D227:D243)</f>
        <v>178750</v>
      </c>
      <c r="E269" s="395">
        <f>SUMPRODUCT(B227:B243,E227:E243)</f>
        <v>178750</v>
      </c>
      <c r="F269" s="395">
        <f>SUMPRODUCT(B227:B243,F227:F243)</f>
        <v>178750</v>
      </c>
      <c r="G269" s="395">
        <f>SUMPRODUCT(B227:B243,G227:G243)</f>
        <v>178750</v>
      </c>
      <c r="H269" s="395">
        <f>SUMPRODUCT(B227:B243,H227:H243)</f>
        <v>0</v>
      </c>
      <c r="I269" s="395">
        <f>SUMPRODUCT(B227:B243,I227:I243)</f>
        <v>0</v>
      </c>
      <c r="J269" s="395">
        <f>SUMPRODUCT(B227:B243,J227:J243)</f>
        <v>0</v>
      </c>
      <c r="K269" s="395">
        <f>SUMPRODUCT(B227:B243,K227:K243)</f>
        <v>0</v>
      </c>
      <c r="L269" s="395">
        <f>SUMPRODUCT(B227:B243,L227:L243)</f>
        <v>0</v>
      </c>
      <c r="M269" s="395">
        <f>SUMPRODUCT(B227:B243,M227:M243)</f>
        <v>0</v>
      </c>
      <c r="N269" s="395">
        <f>SUMPRODUCT(B227:B243,N227:N243)</f>
        <v>0</v>
      </c>
      <c r="O269" s="622">
        <f>SUMPRODUCT(B227:B243,O227:O243)</f>
        <v>0</v>
      </c>
      <c r="P269" s="396">
        <f>SUM(D269:O269)</f>
        <v>715000</v>
      </c>
      <c r="Q269" s="373"/>
      <c r="R269" s="373"/>
      <c r="S269" s="373"/>
      <c r="T269" s="373"/>
      <c r="U269" s="373"/>
      <c r="V269" s="373"/>
      <c r="W269" s="373"/>
      <c r="X269" s="372"/>
      <c r="Y269" s="372"/>
    </row>
    <row r="270" spans="2:25" ht="15.75" thickBot="1">
      <c r="B270" s="87"/>
      <c r="C270" s="591" t="s">
        <v>219</v>
      </c>
      <c r="D270" s="623">
        <f>SUMPRODUCT($B$248:$B$264,D248:D264)</f>
        <v>600750</v>
      </c>
      <c r="E270" s="624">
        <f t="shared" ref="E270:O270" si="70">SUMPRODUCT($B$248:$B$264,E248:E264)</f>
        <v>600750</v>
      </c>
      <c r="F270" s="624">
        <f t="shared" si="70"/>
        <v>600750</v>
      </c>
      <c r="G270" s="624">
        <f t="shared" si="70"/>
        <v>600750</v>
      </c>
      <c r="H270" s="624">
        <f t="shared" si="70"/>
        <v>0</v>
      </c>
      <c r="I270" s="624">
        <f t="shared" si="70"/>
        <v>0</v>
      </c>
      <c r="J270" s="624">
        <f t="shared" si="70"/>
        <v>0</v>
      </c>
      <c r="K270" s="624">
        <f t="shared" si="70"/>
        <v>0</v>
      </c>
      <c r="L270" s="624">
        <f t="shared" si="70"/>
        <v>0</v>
      </c>
      <c r="M270" s="624">
        <f t="shared" si="70"/>
        <v>0</v>
      </c>
      <c r="N270" s="624">
        <f t="shared" si="70"/>
        <v>0</v>
      </c>
      <c r="O270" s="625">
        <f t="shared" si="70"/>
        <v>0</v>
      </c>
      <c r="P270" s="396">
        <f>SUM(D270:O270)</f>
        <v>2403000</v>
      </c>
      <c r="Q270" s="373"/>
      <c r="R270" s="373"/>
      <c r="S270" s="373"/>
      <c r="T270" s="373"/>
      <c r="U270" s="373"/>
      <c r="V270" s="373"/>
      <c r="W270" s="373"/>
      <c r="X270" s="372"/>
      <c r="Y270" s="372"/>
    </row>
    <row r="271" spans="2:25" ht="15.75" thickBot="1">
      <c r="B271" s="88" t="s">
        <v>226</v>
      </c>
      <c r="C271" s="592"/>
      <c r="D271" s="626">
        <f t="shared" ref="D271:O271" si="71">SUM(D268:D270)</f>
        <v>1145500</v>
      </c>
      <c r="E271" s="627">
        <f t="shared" si="71"/>
        <v>1078500</v>
      </c>
      <c r="F271" s="627">
        <f t="shared" si="71"/>
        <v>1078500</v>
      </c>
      <c r="G271" s="627">
        <f t="shared" si="71"/>
        <v>1078500</v>
      </c>
      <c r="H271" s="627">
        <f t="shared" si="71"/>
        <v>0</v>
      </c>
      <c r="I271" s="627">
        <f t="shared" si="71"/>
        <v>0</v>
      </c>
      <c r="J271" s="627">
        <f t="shared" si="71"/>
        <v>0</v>
      </c>
      <c r="K271" s="627">
        <f t="shared" si="71"/>
        <v>0</v>
      </c>
      <c r="L271" s="627">
        <f t="shared" si="71"/>
        <v>0</v>
      </c>
      <c r="M271" s="627">
        <f t="shared" si="71"/>
        <v>0</v>
      </c>
      <c r="N271" s="627">
        <f t="shared" si="71"/>
        <v>0</v>
      </c>
      <c r="O271" s="628">
        <f t="shared" si="71"/>
        <v>0</v>
      </c>
      <c r="P271" s="399">
        <f>SUM(D271:O271)</f>
        <v>4381000</v>
      </c>
      <c r="Q271" s="373"/>
      <c r="R271" s="373"/>
      <c r="S271" s="373"/>
      <c r="T271" s="373"/>
      <c r="U271" s="373"/>
      <c r="V271" s="373"/>
      <c r="W271" s="373"/>
      <c r="X271" s="372"/>
      <c r="Y271" s="372"/>
    </row>
    <row r="272" spans="2:25" ht="15.75" thickBot="1">
      <c r="B272" s="28"/>
      <c r="C272" s="24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0"/>
      <c r="P272" s="400"/>
      <c r="Q272" s="373"/>
      <c r="R272" s="373"/>
      <c r="S272" s="373"/>
      <c r="T272" s="373"/>
      <c r="U272" s="373"/>
      <c r="V272" s="373"/>
      <c r="W272" s="373"/>
      <c r="X272" s="372"/>
      <c r="Y272" s="372"/>
    </row>
    <row r="273" spans="2:25" ht="16.5" thickTop="1" thickBot="1">
      <c r="B273" s="1008" t="s">
        <v>214</v>
      </c>
      <c r="C273" s="1009"/>
      <c r="D273" s="1041"/>
      <c r="E273" s="1041"/>
      <c r="F273" s="1041"/>
      <c r="G273" s="1041"/>
      <c r="H273" s="1041"/>
      <c r="I273" s="1041"/>
      <c r="J273" s="1041"/>
      <c r="K273" s="1041"/>
      <c r="L273" s="1041"/>
      <c r="M273" s="1041"/>
      <c r="N273" s="1041"/>
      <c r="O273" s="1042"/>
      <c r="P273" s="46" t="s">
        <v>205</v>
      </c>
      <c r="Q273" s="373"/>
      <c r="R273" s="373"/>
      <c r="S273" s="373"/>
      <c r="T273" s="373"/>
      <c r="U273" s="373"/>
      <c r="V273" s="373"/>
      <c r="W273" s="373"/>
      <c r="X273" s="372"/>
      <c r="Y273" s="372"/>
    </row>
    <row r="274" spans="2:25" ht="15">
      <c r="B274" s="1052" t="s">
        <v>213</v>
      </c>
      <c r="C274" s="990"/>
      <c r="D274" s="454"/>
      <c r="E274" s="454"/>
      <c r="F274" s="454"/>
      <c r="G274" s="629"/>
      <c r="H274" s="629"/>
      <c r="I274" s="629"/>
      <c r="J274" s="629"/>
      <c r="K274" s="629"/>
      <c r="L274" s="629"/>
      <c r="M274" s="629"/>
      <c r="N274" s="629"/>
      <c r="O274" s="630"/>
      <c r="P274" s="453"/>
      <c r="Q274" s="373"/>
      <c r="R274" s="373"/>
      <c r="S274" s="373"/>
      <c r="T274" s="373"/>
      <c r="U274" s="373"/>
      <c r="V274" s="373"/>
      <c r="W274" s="373"/>
      <c r="X274" s="372"/>
      <c r="Y274" s="372"/>
    </row>
    <row r="275" spans="2:25" ht="15">
      <c r="B275" s="1052" t="s">
        <v>215</v>
      </c>
      <c r="C275" s="990"/>
      <c r="D275" s="631"/>
      <c r="E275" s="454"/>
      <c r="F275" s="454"/>
      <c r="G275" s="454"/>
      <c r="H275" s="454"/>
      <c r="I275" s="454"/>
      <c r="J275" s="454"/>
      <c r="K275" s="454"/>
      <c r="L275" s="454"/>
      <c r="M275" s="454"/>
      <c r="N275" s="454"/>
      <c r="O275" s="455"/>
      <c r="P275" s="450">
        <f>SUMPRODUCT(D275:O275,D274:O274)</f>
        <v>0</v>
      </c>
      <c r="Q275" s="373"/>
      <c r="R275" s="373"/>
      <c r="S275" s="373"/>
      <c r="T275" s="373"/>
      <c r="U275" s="373"/>
      <c r="V275" s="373"/>
      <c r="W275" s="373"/>
      <c r="X275" s="372"/>
      <c r="Y275" s="372"/>
    </row>
    <row r="276" spans="2:25" ht="15">
      <c r="B276" s="1052" t="s">
        <v>29</v>
      </c>
      <c r="C276" s="990"/>
      <c r="D276" s="631"/>
      <c r="E276" s="454"/>
      <c r="F276" s="454"/>
      <c r="G276" s="454"/>
      <c r="H276" s="454"/>
      <c r="I276" s="454"/>
      <c r="J276" s="454"/>
      <c r="K276" s="454"/>
      <c r="L276" s="454"/>
      <c r="M276" s="454"/>
      <c r="N276" s="454"/>
      <c r="O276" s="455"/>
      <c r="P276" s="450">
        <f>SUMPRODUCT(D276:O276,D274:O274)</f>
        <v>0</v>
      </c>
      <c r="Q276" s="373"/>
      <c r="R276" s="373"/>
      <c r="S276" s="373"/>
      <c r="T276" s="373"/>
      <c r="U276" s="373"/>
      <c r="V276" s="373"/>
      <c r="W276" s="373"/>
      <c r="X276" s="372"/>
      <c r="Y276" s="372"/>
    </row>
    <row r="277" spans="2:25" ht="15" hidden="1" customHeight="1">
      <c r="B277" s="22"/>
      <c r="C277" s="22"/>
      <c r="D277" s="632"/>
      <c r="E277" s="633"/>
      <c r="F277" s="633"/>
      <c r="G277" s="633">
        <f t="shared" ref="G277:O277" si="72">SUM(G275:G276)</f>
        <v>0</v>
      </c>
      <c r="H277" s="633">
        <f t="shared" si="72"/>
        <v>0</v>
      </c>
      <c r="I277" s="633">
        <f t="shared" si="72"/>
        <v>0</v>
      </c>
      <c r="J277" s="633">
        <f t="shared" si="72"/>
        <v>0</v>
      </c>
      <c r="K277" s="633">
        <f t="shared" si="72"/>
        <v>0</v>
      </c>
      <c r="L277" s="633">
        <f t="shared" si="72"/>
        <v>0</v>
      </c>
      <c r="M277" s="633">
        <f t="shared" si="72"/>
        <v>0</v>
      </c>
      <c r="N277" s="633">
        <f t="shared" si="72"/>
        <v>0</v>
      </c>
      <c r="O277" s="634">
        <f t="shared" si="72"/>
        <v>0</v>
      </c>
      <c r="P277" s="450">
        <f>P276+P275</f>
        <v>0</v>
      </c>
      <c r="Q277" s="373"/>
      <c r="R277" s="373"/>
      <c r="S277" s="373"/>
      <c r="T277" s="373"/>
      <c r="U277" s="373"/>
      <c r="V277" s="373"/>
      <c r="W277" s="373"/>
      <c r="X277" s="372"/>
      <c r="Y277" s="372"/>
    </row>
    <row r="278" spans="2:25" s="120" customFormat="1" ht="15">
      <c r="B278" s="1052" t="s">
        <v>928</v>
      </c>
      <c r="C278" s="990"/>
      <c r="D278" s="631"/>
      <c r="E278" s="454"/>
      <c r="F278" s="454"/>
      <c r="G278" s="454"/>
      <c r="H278" s="454"/>
      <c r="I278" s="454"/>
      <c r="J278" s="454"/>
      <c r="K278" s="454"/>
      <c r="L278" s="454"/>
      <c r="M278" s="454"/>
      <c r="N278" s="454"/>
      <c r="O278" s="455"/>
      <c r="P278" s="450">
        <f>SUMPRODUCT(D278:O278,D274:O274)</f>
        <v>0</v>
      </c>
      <c r="Q278" s="457"/>
      <c r="R278" s="457"/>
      <c r="S278" s="457"/>
      <c r="T278" s="457"/>
      <c r="U278" s="457"/>
      <c r="V278" s="457"/>
      <c r="W278" s="457"/>
    </row>
    <row r="279" spans="2:25" ht="15.75" thickBot="1">
      <c r="B279" s="1052" t="s">
        <v>212</v>
      </c>
      <c r="C279" s="990"/>
      <c r="D279" s="635">
        <v>300000</v>
      </c>
      <c r="E279" s="636"/>
      <c r="F279" s="636"/>
      <c r="G279" s="636"/>
      <c r="H279" s="636"/>
      <c r="I279" s="636"/>
      <c r="J279" s="636"/>
      <c r="K279" s="636"/>
      <c r="L279" s="636"/>
      <c r="M279" s="636"/>
      <c r="N279" s="636"/>
      <c r="O279" s="637"/>
      <c r="P279" s="450">
        <f>SUMPRODUCT(D279:O279,D274:O274)</f>
        <v>0</v>
      </c>
      <c r="Q279" s="373"/>
      <c r="R279" s="373"/>
      <c r="S279" s="373"/>
      <c r="T279" s="373"/>
      <c r="U279" s="373"/>
      <c r="V279" s="373"/>
      <c r="W279" s="373"/>
      <c r="X279" s="372"/>
      <c r="Y279" s="372"/>
    </row>
    <row r="280" spans="2:25" ht="15.75" hidden="1" thickBot="1">
      <c r="B280" s="335"/>
      <c r="C280" s="336"/>
      <c r="D280" s="456">
        <f t="shared" ref="D280:O280" si="73">SUM(D278:D279)</f>
        <v>300000</v>
      </c>
      <c r="E280" s="456">
        <f t="shared" si="73"/>
        <v>0</v>
      </c>
      <c r="F280" s="456">
        <f t="shared" si="73"/>
        <v>0</v>
      </c>
      <c r="G280" s="456">
        <f t="shared" si="73"/>
        <v>0</v>
      </c>
      <c r="H280" s="456">
        <f t="shared" si="73"/>
        <v>0</v>
      </c>
      <c r="I280" s="456">
        <f t="shared" si="73"/>
        <v>0</v>
      </c>
      <c r="J280" s="456">
        <f t="shared" si="73"/>
        <v>0</v>
      </c>
      <c r="K280" s="456">
        <f t="shared" si="73"/>
        <v>0</v>
      </c>
      <c r="L280" s="456">
        <f t="shared" si="73"/>
        <v>0</v>
      </c>
      <c r="M280" s="456">
        <f t="shared" si="73"/>
        <v>0</v>
      </c>
      <c r="N280" s="456">
        <f t="shared" si="73"/>
        <v>0</v>
      </c>
      <c r="O280" s="456">
        <f t="shared" si="73"/>
        <v>0</v>
      </c>
      <c r="P280" s="450">
        <f>P279+P278</f>
        <v>0</v>
      </c>
      <c r="Q280" s="373"/>
      <c r="R280" s="373"/>
      <c r="S280" s="373"/>
      <c r="T280" s="373"/>
      <c r="U280" s="373"/>
      <c r="V280" s="373"/>
      <c r="W280" s="373"/>
      <c r="X280" s="372"/>
      <c r="Y280" s="372"/>
    </row>
    <row r="281" spans="2:25" ht="15.75" thickBot="1">
      <c r="B281" s="84" t="s">
        <v>216</v>
      </c>
      <c r="C281" s="638"/>
      <c r="D281" s="626">
        <v>300000</v>
      </c>
      <c r="E281" s="627">
        <f t="shared" ref="E281:N281" si="74">(SUM(E275:E276,E278:E279)*E274)</f>
        <v>0</v>
      </c>
      <c r="F281" s="627">
        <f t="shared" si="74"/>
        <v>0</v>
      </c>
      <c r="G281" s="627">
        <f t="shared" si="74"/>
        <v>0</v>
      </c>
      <c r="H281" s="627">
        <f t="shared" si="74"/>
        <v>0</v>
      </c>
      <c r="I281" s="627">
        <f t="shared" si="74"/>
        <v>0</v>
      </c>
      <c r="J281" s="627">
        <f t="shared" si="74"/>
        <v>0</v>
      </c>
      <c r="K281" s="627">
        <f t="shared" si="74"/>
        <v>0</v>
      </c>
      <c r="L281" s="627">
        <f t="shared" si="74"/>
        <v>0</v>
      </c>
      <c r="M281" s="627">
        <f t="shared" si="74"/>
        <v>0</v>
      </c>
      <c r="N281" s="627">
        <f t="shared" si="74"/>
        <v>0</v>
      </c>
      <c r="O281" s="628"/>
      <c r="P281" s="458">
        <f>SUM(D281:O281)</f>
        <v>300000</v>
      </c>
      <c r="Q281" s="373"/>
      <c r="R281" s="373"/>
      <c r="S281" s="373"/>
      <c r="T281" s="373"/>
      <c r="U281" s="373"/>
      <c r="V281" s="373"/>
      <c r="W281" s="373"/>
      <c r="X281" s="372"/>
      <c r="Y281" s="372"/>
    </row>
    <row r="282" spans="2:25" ht="15" hidden="1">
      <c r="B282" s="28"/>
      <c r="C282" s="24"/>
      <c r="D282" s="400"/>
      <c r="E282" s="400"/>
      <c r="F282" s="400"/>
      <c r="G282" s="400"/>
      <c r="H282" s="400"/>
      <c r="I282" s="400"/>
      <c r="J282" s="400"/>
      <c r="K282" s="400"/>
      <c r="L282" s="400"/>
      <c r="M282" s="400"/>
      <c r="N282" s="400"/>
      <c r="O282" s="400"/>
      <c r="P282" s="400"/>
      <c r="Q282" s="373"/>
      <c r="R282" s="373"/>
      <c r="S282" s="373"/>
      <c r="T282" s="373"/>
      <c r="U282" s="373"/>
      <c r="V282" s="373"/>
      <c r="W282" s="373"/>
      <c r="X282" s="372"/>
      <c r="Y282" s="372"/>
    </row>
    <row r="283" spans="2:25" ht="15" hidden="1">
      <c r="B283" s="24"/>
      <c r="C283" s="411" t="s">
        <v>154</v>
      </c>
      <c r="D283" s="412">
        <f>SUM(D275:D276)*D274</f>
        <v>0</v>
      </c>
      <c r="E283" s="412">
        <f t="shared" ref="E283:O283" si="75">SUM(E275:E276)*E274</f>
        <v>0</v>
      </c>
      <c r="F283" s="412">
        <f t="shared" si="75"/>
        <v>0</v>
      </c>
      <c r="G283" s="412">
        <f t="shared" si="75"/>
        <v>0</v>
      </c>
      <c r="H283" s="412">
        <f t="shared" si="75"/>
        <v>0</v>
      </c>
      <c r="I283" s="412">
        <f t="shared" si="75"/>
        <v>0</v>
      </c>
      <c r="J283" s="412">
        <f t="shared" si="75"/>
        <v>0</v>
      </c>
      <c r="K283" s="412">
        <f t="shared" si="75"/>
        <v>0</v>
      </c>
      <c r="L283" s="412">
        <f t="shared" si="75"/>
        <v>0</v>
      </c>
      <c r="M283" s="412">
        <f t="shared" si="75"/>
        <v>0</v>
      </c>
      <c r="N283" s="412">
        <f t="shared" si="75"/>
        <v>0</v>
      </c>
      <c r="O283" s="412">
        <f t="shared" si="75"/>
        <v>0</v>
      </c>
      <c r="P283" s="400"/>
      <c r="Q283" s="373"/>
      <c r="R283" s="373"/>
      <c r="S283" s="373"/>
      <c r="T283" s="373"/>
      <c r="U283" s="373"/>
      <c r="V283" s="373"/>
      <c r="W283" s="373"/>
      <c r="X283" s="372"/>
      <c r="Y283" s="372"/>
    </row>
    <row r="284" spans="2:25" ht="15" hidden="1">
      <c r="B284" s="24"/>
      <c r="C284" s="411" t="s">
        <v>842</v>
      </c>
      <c r="D284" s="412">
        <f>D278*D274</f>
        <v>0</v>
      </c>
      <c r="E284" s="412">
        <f t="shared" ref="E284:O284" si="76">E278*E274</f>
        <v>0</v>
      </c>
      <c r="F284" s="412">
        <f t="shared" si="76"/>
        <v>0</v>
      </c>
      <c r="G284" s="412">
        <f t="shared" si="76"/>
        <v>0</v>
      </c>
      <c r="H284" s="412">
        <f t="shared" si="76"/>
        <v>0</v>
      </c>
      <c r="I284" s="412">
        <f t="shared" si="76"/>
        <v>0</v>
      </c>
      <c r="J284" s="412">
        <f t="shared" si="76"/>
        <v>0</v>
      </c>
      <c r="K284" s="412">
        <f t="shared" si="76"/>
        <v>0</v>
      </c>
      <c r="L284" s="412">
        <f t="shared" si="76"/>
        <v>0</v>
      </c>
      <c r="M284" s="412">
        <f t="shared" si="76"/>
        <v>0</v>
      </c>
      <c r="N284" s="412">
        <f t="shared" si="76"/>
        <v>0</v>
      </c>
      <c r="O284" s="412">
        <f t="shared" si="76"/>
        <v>0</v>
      </c>
      <c r="P284" s="400"/>
      <c r="Q284" s="373"/>
      <c r="R284" s="373"/>
      <c r="S284" s="373"/>
      <c r="T284" s="373"/>
      <c r="U284" s="373"/>
      <c r="V284" s="373"/>
      <c r="W284" s="373"/>
      <c r="X284" s="372"/>
      <c r="Y284" s="372"/>
    </row>
    <row r="285" spans="2:25" ht="15" hidden="1">
      <c r="B285" s="24"/>
      <c r="C285" s="411" t="s">
        <v>843</v>
      </c>
      <c r="D285" s="412">
        <f>D279*D274</f>
        <v>0</v>
      </c>
      <c r="E285" s="412">
        <f t="shared" ref="E285:O285" si="77">E279*E274</f>
        <v>0</v>
      </c>
      <c r="F285" s="412">
        <f t="shared" si="77"/>
        <v>0</v>
      </c>
      <c r="G285" s="412">
        <f t="shared" si="77"/>
        <v>0</v>
      </c>
      <c r="H285" s="412">
        <f t="shared" si="77"/>
        <v>0</v>
      </c>
      <c r="I285" s="412">
        <f t="shared" si="77"/>
        <v>0</v>
      </c>
      <c r="J285" s="412">
        <f t="shared" si="77"/>
        <v>0</v>
      </c>
      <c r="K285" s="412">
        <f t="shared" si="77"/>
        <v>0</v>
      </c>
      <c r="L285" s="412">
        <f t="shared" si="77"/>
        <v>0</v>
      </c>
      <c r="M285" s="412">
        <f t="shared" si="77"/>
        <v>0</v>
      </c>
      <c r="N285" s="412">
        <f t="shared" si="77"/>
        <v>0</v>
      </c>
      <c r="O285" s="412">
        <f t="shared" si="77"/>
        <v>0</v>
      </c>
      <c r="P285" s="400"/>
      <c r="Q285" s="373"/>
      <c r="R285" s="373"/>
      <c r="S285" s="373"/>
      <c r="T285" s="373"/>
      <c r="U285" s="373"/>
      <c r="V285" s="373"/>
      <c r="W285" s="373"/>
      <c r="X285" s="372"/>
      <c r="Y285" s="372"/>
    </row>
    <row r="286" spans="2:25" ht="15.75" thickBot="1">
      <c r="B286" s="24"/>
      <c r="C286" s="24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373"/>
      <c r="R286" s="373"/>
      <c r="S286" s="373"/>
      <c r="T286" s="373"/>
      <c r="U286" s="373"/>
      <c r="V286" s="373"/>
      <c r="W286" s="373"/>
      <c r="X286" s="372"/>
      <c r="Y286" s="372"/>
    </row>
    <row r="287" spans="2:25" ht="15.75" thickTop="1">
      <c r="B287" s="1017" t="s">
        <v>225</v>
      </c>
      <c r="C287" s="1001"/>
      <c r="D287" s="1001" t="str">
        <f>IF(('1.PM'!N2)="Injectables","NOT APPLICABLE","")</f>
        <v/>
      </c>
      <c r="E287" s="1001"/>
      <c r="F287" s="1001"/>
      <c r="G287" s="1001"/>
      <c r="H287" s="1001"/>
      <c r="I287" s="1001"/>
      <c r="J287" s="1001"/>
      <c r="K287" s="1001"/>
      <c r="L287" s="1001"/>
      <c r="M287" s="1001"/>
      <c r="N287" s="1001"/>
      <c r="O287" s="1032"/>
      <c r="P287" s="46" t="s">
        <v>205</v>
      </c>
      <c r="Q287" s="373"/>
      <c r="R287" s="373"/>
      <c r="S287" s="373"/>
      <c r="T287" s="373"/>
      <c r="U287" s="373"/>
      <c r="V287" s="373"/>
      <c r="W287" s="373"/>
      <c r="X287" s="372"/>
      <c r="Y287" s="372"/>
    </row>
    <row r="288" spans="2:25" ht="15.75" thickBot="1">
      <c r="B288" s="1047" t="s">
        <v>211</v>
      </c>
      <c r="C288" s="1048"/>
      <c r="D288" s="1049"/>
      <c r="E288" s="1049"/>
      <c r="F288" s="1049"/>
      <c r="G288" s="1049"/>
      <c r="H288" s="1049"/>
      <c r="I288" s="1049"/>
      <c r="J288" s="1049"/>
      <c r="K288" s="1049"/>
      <c r="L288" s="1049"/>
      <c r="M288" s="1049"/>
      <c r="N288" s="1049"/>
      <c r="O288" s="1050"/>
      <c r="P288" s="51"/>
      <c r="Q288" s="459"/>
      <c r="R288" s="373"/>
      <c r="S288" s="373"/>
      <c r="T288" s="373"/>
      <c r="U288" s="373"/>
      <c r="V288" s="373"/>
      <c r="W288" s="373"/>
      <c r="X288" s="372"/>
      <c r="Y288" s="372"/>
    </row>
    <row r="289" spans="2:25" ht="15">
      <c r="B289" s="99" t="s">
        <v>38</v>
      </c>
      <c r="C289" s="639" t="s">
        <v>415</v>
      </c>
      <c r="D289" s="642"/>
      <c r="E289" s="643"/>
      <c r="F289" s="643"/>
      <c r="G289" s="643"/>
      <c r="H289" s="643">
        <f>IF('1.PM'!G$5=TRUE,$B$290,0)</f>
        <v>0</v>
      </c>
      <c r="I289" s="643">
        <f>IF('1.PM'!H$5=TRUE,$B$290,0)</f>
        <v>0</v>
      </c>
      <c r="J289" s="643">
        <f>IF('1.PM'!I$5=TRUE,$B$290,0)</f>
        <v>0</v>
      </c>
      <c r="K289" s="643">
        <f>IF('1.PM'!J$5=TRUE,$B$290,0)</f>
        <v>0</v>
      </c>
      <c r="L289" s="643">
        <f>IF('1.PM'!K$5=TRUE,$B$290,0)</f>
        <v>0</v>
      </c>
      <c r="M289" s="643">
        <f>IF('1.PM'!L$5=TRUE,$B$290,0)</f>
        <v>0</v>
      </c>
      <c r="N289" s="643">
        <f>IF('1.PM'!M$5=TRUE,$B$290,0)</f>
        <v>0</v>
      </c>
      <c r="O289" s="644">
        <f>IF('1.PM'!N$5=TRUE,$B$290,0)</f>
        <v>0</v>
      </c>
      <c r="P289" s="461">
        <f>SUM(D289:O289)</f>
        <v>0</v>
      </c>
      <c r="Q289" s="372"/>
      <c r="R289" s="373"/>
      <c r="S289" s="373"/>
      <c r="T289" s="373"/>
      <c r="U289" s="373"/>
      <c r="V289" s="373"/>
      <c r="W289" s="373"/>
      <c r="X289" s="372"/>
      <c r="Y289" s="372"/>
    </row>
    <row r="290" spans="2:25" ht="15" hidden="1">
      <c r="B290" s="462">
        <v>1</v>
      </c>
      <c r="C290" s="639"/>
      <c r="D290" s="645"/>
      <c r="E290" s="460"/>
      <c r="F290" s="460"/>
      <c r="G290" s="460"/>
      <c r="H290" s="460"/>
      <c r="I290" s="460"/>
      <c r="J290" s="460"/>
      <c r="K290" s="460"/>
      <c r="L290" s="460"/>
      <c r="M290" s="460"/>
      <c r="N290" s="460"/>
      <c r="O290" s="646"/>
      <c r="P290" s="463"/>
      <c r="Q290" s="462"/>
      <c r="R290" s="373"/>
      <c r="S290" s="373"/>
      <c r="T290" s="373"/>
      <c r="U290" s="373"/>
      <c r="V290" s="373"/>
      <c r="W290" s="373"/>
      <c r="X290" s="372"/>
      <c r="Y290" s="372"/>
    </row>
    <row r="291" spans="2:25" ht="15">
      <c r="B291" s="99" t="s">
        <v>417</v>
      </c>
      <c r="C291" s="639" t="s">
        <v>416</v>
      </c>
      <c r="D291" s="645"/>
      <c r="E291" s="460"/>
      <c r="F291" s="460"/>
      <c r="G291" s="460"/>
      <c r="H291" s="460">
        <f>IF('1.PM'!G$5=TRUE,$B$292,0)</f>
        <v>0</v>
      </c>
      <c r="I291" s="460">
        <f>IF('1.PM'!H$5=TRUE,$B$292,0)</f>
        <v>0</v>
      </c>
      <c r="J291" s="460">
        <f>IF('1.PM'!I$5=TRUE,$B$292,0)</f>
        <v>0</v>
      </c>
      <c r="K291" s="460">
        <f>IF('1.PM'!J$5=TRUE,$B$292,0)</f>
        <v>0</v>
      </c>
      <c r="L291" s="460">
        <f>IF('1.PM'!K$5=TRUE,$B$292,0)</f>
        <v>0</v>
      </c>
      <c r="M291" s="460">
        <f>IF('1.PM'!L$5=TRUE,$B$292,0)</f>
        <v>0</v>
      </c>
      <c r="N291" s="460">
        <f>IF('1.PM'!M$5=TRUE,$B$292,0)</f>
        <v>0</v>
      </c>
      <c r="O291" s="646">
        <f>IF('1.PM'!N$5=TRUE,$B$292,0)</f>
        <v>0</v>
      </c>
      <c r="P291" s="464">
        <f>SUM(D291:O291)</f>
        <v>0</v>
      </c>
      <c r="Q291" s="372"/>
      <c r="R291" s="373"/>
      <c r="S291" s="373"/>
      <c r="T291" s="373"/>
      <c r="U291" s="373"/>
      <c r="V291" s="373"/>
      <c r="W291" s="373"/>
      <c r="X291" s="372"/>
      <c r="Y291" s="372"/>
    </row>
    <row r="292" spans="2:25" ht="15" hidden="1">
      <c r="B292" s="462">
        <v>1</v>
      </c>
      <c r="C292" s="639"/>
      <c r="D292" s="645"/>
      <c r="E292" s="460"/>
      <c r="F292" s="460"/>
      <c r="G292" s="460"/>
      <c r="H292" s="460"/>
      <c r="I292" s="460"/>
      <c r="J292" s="460"/>
      <c r="K292" s="460"/>
      <c r="L292" s="460"/>
      <c r="M292" s="460"/>
      <c r="N292" s="460"/>
      <c r="O292" s="646"/>
      <c r="P292" s="463"/>
      <c r="Q292" s="459"/>
      <c r="R292" s="373"/>
      <c r="S292" s="373"/>
      <c r="T292" s="373"/>
      <c r="U292" s="373"/>
      <c r="V292" s="373"/>
      <c r="W292" s="373"/>
      <c r="X292" s="372"/>
      <c r="Y292" s="372"/>
    </row>
    <row r="293" spans="2:25" ht="15">
      <c r="B293" s="99" t="s">
        <v>41</v>
      </c>
      <c r="C293" s="639" t="s">
        <v>418</v>
      </c>
      <c r="D293" s="645">
        <f>IF('1.PM'!C$5=TRUE,$B$294,0)</f>
        <v>30</v>
      </c>
      <c r="E293" s="460">
        <v>35</v>
      </c>
      <c r="F293" s="460">
        <v>48</v>
      </c>
      <c r="G293" s="460">
        <f>IF('1.PM'!F$5=TRUE,$B$294,0)</f>
        <v>30</v>
      </c>
      <c r="H293" s="460">
        <f>IF('1.PM'!G$5=TRUE,$B$294,0)</f>
        <v>0</v>
      </c>
      <c r="I293" s="460">
        <f>IF('1.PM'!H$5=TRUE,$B$294,0)</f>
        <v>0</v>
      </c>
      <c r="J293" s="460">
        <f>IF('1.PM'!I$5=TRUE,$B$294,0)</f>
        <v>0</v>
      </c>
      <c r="K293" s="460">
        <f>IF('1.PM'!J$5=TRUE,$B$294,0)</f>
        <v>0</v>
      </c>
      <c r="L293" s="460">
        <f>IF('1.PM'!K$5=TRUE,$B$294,0)</f>
        <v>0</v>
      </c>
      <c r="M293" s="460">
        <f>IF('1.PM'!L$5=TRUE,$B$294,0)</f>
        <v>0</v>
      </c>
      <c r="N293" s="460">
        <f>IF('1.PM'!M$5=TRUE,$B$294,0)</f>
        <v>0</v>
      </c>
      <c r="O293" s="646">
        <f>IF('1.PM'!N$5=TRUE,$B$294,0)</f>
        <v>0</v>
      </c>
      <c r="P293" s="465">
        <f>SUM(D293:O293)</f>
        <v>143</v>
      </c>
      <c r="Q293" s="372"/>
      <c r="R293" s="373"/>
      <c r="S293" s="373"/>
      <c r="T293" s="373"/>
      <c r="U293" s="373"/>
      <c r="V293" s="373"/>
      <c r="W293" s="373"/>
      <c r="X293" s="372"/>
      <c r="Y293" s="372"/>
    </row>
    <row r="294" spans="2:25" ht="15" hidden="1">
      <c r="B294" s="462">
        <v>30</v>
      </c>
      <c r="C294" s="639"/>
      <c r="D294" s="645"/>
      <c r="E294" s="460"/>
      <c r="F294" s="460"/>
      <c r="G294" s="460"/>
      <c r="H294" s="460"/>
      <c r="I294" s="460"/>
      <c r="J294" s="460"/>
      <c r="K294" s="460"/>
      <c r="L294" s="460"/>
      <c r="M294" s="460"/>
      <c r="N294" s="460"/>
      <c r="O294" s="646"/>
      <c r="P294" s="463"/>
      <c r="Q294" s="459"/>
      <c r="R294" s="373"/>
      <c r="S294" s="373"/>
      <c r="T294" s="373"/>
      <c r="U294" s="373"/>
      <c r="V294" s="373"/>
      <c r="W294" s="373"/>
      <c r="X294" s="372"/>
      <c r="Y294" s="372"/>
    </row>
    <row r="295" spans="2:25" ht="15">
      <c r="B295" s="99" t="s">
        <v>419</v>
      </c>
      <c r="C295" s="639" t="s">
        <v>420</v>
      </c>
      <c r="D295" s="647">
        <f>IF('1.PM'!C$5=TRUE,$B$296,0)</f>
        <v>30000</v>
      </c>
      <c r="E295" s="466">
        <v>30000</v>
      </c>
      <c r="F295" s="466">
        <v>30000</v>
      </c>
      <c r="G295" s="466">
        <f>IF('1.PM'!F$5=TRUE,$B$296,0)</f>
        <v>30000</v>
      </c>
      <c r="H295" s="466">
        <f>IF('1.PM'!G$5=TRUE,$B$296,0)</f>
        <v>0</v>
      </c>
      <c r="I295" s="466">
        <f>IF('1.PM'!H$5=TRUE,$B$296,0)</f>
        <v>0</v>
      </c>
      <c r="J295" s="466">
        <f>IF('1.PM'!I$5=TRUE,$B$296,0)</f>
        <v>0</v>
      </c>
      <c r="K295" s="466">
        <f>IF('1.PM'!J$5=TRUE,$B$296,0)</f>
        <v>0</v>
      </c>
      <c r="L295" s="466">
        <f>IF('1.PM'!K$5=TRUE,$B$296,0)</f>
        <v>0</v>
      </c>
      <c r="M295" s="466">
        <f>IF('1.PM'!L$5=TRUE,$B$296,0)</f>
        <v>0</v>
      </c>
      <c r="N295" s="466">
        <f>IF('1.PM'!M$5=TRUE,$B$296,0)</f>
        <v>0</v>
      </c>
      <c r="O295" s="648">
        <f>IF('1.PM'!N$5=TRUE,$B$296,0)</f>
        <v>0</v>
      </c>
      <c r="P295" s="450">
        <f>SUM(D295:O295)</f>
        <v>120000</v>
      </c>
      <c r="Q295" s="459"/>
      <c r="R295" s="373"/>
      <c r="S295" s="373"/>
      <c r="T295" s="373"/>
      <c r="U295" s="373"/>
      <c r="V295" s="373"/>
      <c r="W295" s="373"/>
      <c r="X295" s="372"/>
      <c r="Y295" s="372"/>
    </row>
    <row r="296" spans="2:25" ht="15" hidden="1" customHeight="1">
      <c r="B296" s="462">
        <v>30000</v>
      </c>
      <c r="C296" s="639"/>
      <c r="D296" s="649"/>
      <c r="E296" s="467"/>
      <c r="F296" s="467"/>
      <c r="G296" s="467"/>
      <c r="H296" s="467"/>
      <c r="I296" s="467"/>
      <c r="J296" s="467"/>
      <c r="K296" s="467"/>
      <c r="L296" s="467"/>
      <c r="M296" s="467"/>
      <c r="N296" s="467"/>
      <c r="O296" s="650"/>
      <c r="P296" s="450">
        <f t="shared" ref="P296:P306" si="78">SUM(D296:O296)</f>
        <v>0</v>
      </c>
      <c r="Q296" s="459"/>
      <c r="R296" s="373"/>
      <c r="S296" s="373"/>
      <c r="T296" s="373"/>
      <c r="U296" s="373"/>
      <c r="V296" s="373"/>
      <c r="W296" s="373"/>
      <c r="X296" s="372"/>
      <c r="Y296" s="372"/>
    </row>
    <row r="297" spans="2:25" ht="15">
      <c r="B297" s="99" t="s">
        <v>421</v>
      </c>
      <c r="C297" s="639" t="s">
        <v>978</v>
      </c>
      <c r="D297" s="647">
        <f>IF('1.PM'!C$5=TRUE,$B$298,0)</f>
        <v>28000</v>
      </c>
      <c r="E297" s="466">
        <v>80000</v>
      </c>
      <c r="F297" s="466">
        <v>50000</v>
      </c>
      <c r="G297" s="466">
        <f>IF('1.PM'!F$5=TRUE,$B$298,0)</f>
        <v>28000</v>
      </c>
      <c r="H297" s="466">
        <f>IF('1.PM'!G$5=TRUE,$B$298,0)</f>
        <v>0</v>
      </c>
      <c r="I297" s="466">
        <f>IF('1.PM'!H$5=TRUE,$B$298,0)</f>
        <v>0</v>
      </c>
      <c r="J297" s="466">
        <f>IF('1.PM'!I$5=TRUE,$B$298,0)</f>
        <v>0</v>
      </c>
      <c r="K297" s="466">
        <f>IF('1.PM'!J$5=TRUE,$B$298,0)</f>
        <v>0</v>
      </c>
      <c r="L297" s="466">
        <f>IF('1.PM'!K$5=TRUE,$B$298,0)</f>
        <v>0</v>
      </c>
      <c r="M297" s="466">
        <f>IF('1.PM'!L$5=TRUE,$B$298,0)</f>
        <v>0</v>
      </c>
      <c r="N297" s="466">
        <f>IF('1.PM'!M$5=TRUE,$B$298,0)</f>
        <v>0</v>
      </c>
      <c r="O297" s="648">
        <f>IF('1.PM'!N$5=TRUE,$B$298,0)</f>
        <v>0</v>
      </c>
      <c r="P297" s="450">
        <f t="shared" si="78"/>
        <v>186000</v>
      </c>
      <c r="Q297" s="459">
        <v>11000</v>
      </c>
      <c r="R297" s="373"/>
      <c r="S297" s="373"/>
      <c r="T297" s="373"/>
      <c r="U297" s="373"/>
      <c r="V297" s="373"/>
      <c r="W297" s="373"/>
      <c r="X297" s="372"/>
      <c r="Y297" s="372"/>
    </row>
    <row r="298" spans="2:25" ht="15" hidden="1" customHeight="1">
      <c r="B298" s="462">
        <v>28000</v>
      </c>
      <c r="C298" s="639"/>
      <c r="D298" s="647"/>
      <c r="E298" s="466"/>
      <c r="F298" s="466"/>
      <c r="G298" s="466"/>
      <c r="H298" s="466"/>
      <c r="I298" s="466"/>
      <c r="J298" s="466"/>
      <c r="K298" s="466"/>
      <c r="L298" s="466"/>
      <c r="M298" s="466"/>
      <c r="N298" s="466"/>
      <c r="O298" s="648"/>
      <c r="P298" s="450">
        <f t="shared" si="78"/>
        <v>0</v>
      </c>
      <c r="Q298" s="459"/>
      <c r="R298" s="373"/>
      <c r="S298" s="373"/>
      <c r="T298" s="373"/>
      <c r="U298" s="373"/>
      <c r="V298" s="373"/>
      <c r="W298" s="373"/>
      <c r="X298" s="372"/>
      <c r="Y298" s="372"/>
    </row>
    <row r="299" spans="2:25" ht="15.75" thickBot="1">
      <c r="B299" s="99" t="s">
        <v>423</v>
      </c>
      <c r="C299" s="639" t="s">
        <v>422</v>
      </c>
      <c r="D299" s="651">
        <f>IF('1.PM'!C$5=TRUE,$B$300*1000,0)</f>
        <v>110000</v>
      </c>
      <c r="E299" s="652">
        <f>IF('1.PM'!D$5=TRUE,$B$300*1000,0)</f>
        <v>110000</v>
      </c>
      <c r="F299" s="652">
        <f>IF('1.PM'!E$5=TRUE,$B$300*1000,0)</f>
        <v>110000</v>
      </c>
      <c r="G299" s="652">
        <f>IF('1.PM'!F$5=TRUE,$B$300*1000,0)</f>
        <v>110000</v>
      </c>
      <c r="H299" s="652">
        <f>IF('1.PM'!G$5=TRUE,$B$300*1000,0)</f>
        <v>0</v>
      </c>
      <c r="I299" s="652">
        <f>IF('1.PM'!H$5=TRUE,$B$300*1000,0)</f>
        <v>0</v>
      </c>
      <c r="J299" s="652">
        <f>IF('1.PM'!I$5=TRUE,$B$300*1000,0)</f>
        <v>0</v>
      </c>
      <c r="K299" s="652">
        <f>IF('1.PM'!J$5=TRUE,$B$300*1000,0)</f>
        <v>0</v>
      </c>
      <c r="L299" s="652">
        <f>IF('1.PM'!K$5=TRUE,$B$300*1000,0)</f>
        <v>0</v>
      </c>
      <c r="M299" s="652">
        <f>IF('1.PM'!L$5=TRUE,$B$300*1000,0)</f>
        <v>0</v>
      </c>
      <c r="N299" s="652">
        <f>IF('1.PM'!M$5=TRUE,$B$300*1000,0)</f>
        <v>0</v>
      </c>
      <c r="O299" s="653">
        <f>IF('1.PM'!N$5=TRUE,$B$300*1000,0)</f>
        <v>0</v>
      </c>
      <c r="P299" s="450">
        <f t="shared" si="78"/>
        <v>440000</v>
      </c>
      <c r="Q299" s="459"/>
      <c r="R299" s="373"/>
      <c r="S299" s="373"/>
      <c r="T299" s="373"/>
      <c r="U299" s="373"/>
      <c r="V299" s="373"/>
      <c r="W299" s="373"/>
      <c r="X299" s="372"/>
      <c r="Y299" s="372"/>
    </row>
    <row r="300" spans="2:25" ht="15" hidden="1" customHeight="1">
      <c r="B300" s="462">
        <v>110</v>
      </c>
      <c r="C300" s="349"/>
      <c r="D300" s="640"/>
      <c r="E300" s="640"/>
      <c r="F300" s="640"/>
      <c r="G300" s="640"/>
      <c r="H300" s="640"/>
      <c r="I300" s="640"/>
      <c r="J300" s="640"/>
      <c r="K300" s="640"/>
      <c r="L300" s="640"/>
      <c r="M300" s="640"/>
      <c r="N300" s="640"/>
      <c r="O300" s="641"/>
      <c r="P300" s="450">
        <f t="shared" si="78"/>
        <v>0</v>
      </c>
      <c r="Q300" s="459"/>
      <c r="R300" s="373"/>
      <c r="S300" s="373"/>
      <c r="T300" s="373"/>
      <c r="U300" s="373"/>
      <c r="V300" s="373"/>
      <c r="W300" s="373"/>
      <c r="X300" s="372"/>
      <c r="Y300" s="372"/>
    </row>
    <row r="301" spans="2:25" ht="15">
      <c r="B301" s="100" t="s">
        <v>424</v>
      </c>
      <c r="C301" s="345" t="s">
        <v>425</v>
      </c>
      <c r="D301" s="468">
        <f>IF(D293=0,0,((D289+D291)*((D293*(D295+D297)+D299))))</f>
        <v>0</v>
      </c>
      <c r="E301" s="468">
        <f t="shared" ref="E301:O301" si="79">IF(E293=0,0,((E289+E291)*((E293*(E295+E297)+E299))))</f>
        <v>0</v>
      </c>
      <c r="F301" s="468">
        <f t="shared" si="79"/>
        <v>0</v>
      </c>
      <c r="G301" s="468">
        <v>2000000</v>
      </c>
      <c r="H301" s="468">
        <f t="shared" si="79"/>
        <v>0</v>
      </c>
      <c r="I301" s="468">
        <f t="shared" si="79"/>
        <v>0</v>
      </c>
      <c r="J301" s="468">
        <f t="shared" si="79"/>
        <v>0</v>
      </c>
      <c r="K301" s="468">
        <f>IF(K293=0,0,((K289+K291)*((K293*(K295+K297)+K299))))</f>
        <v>0</v>
      </c>
      <c r="L301" s="468">
        <f t="shared" si="79"/>
        <v>0</v>
      </c>
      <c r="M301" s="468">
        <f t="shared" si="79"/>
        <v>0</v>
      </c>
      <c r="N301" s="468">
        <f t="shared" si="79"/>
        <v>0</v>
      </c>
      <c r="O301" s="468">
        <f t="shared" si="79"/>
        <v>0</v>
      </c>
      <c r="P301" s="450">
        <f t="shared" si="78"/>
        <v>2000000</v>
      </c>
      <c r="Q301" s="459"/>
      <c r="R301" s="373"/>
      <c r="S301" s="373"/>
      <c r="T301" s="373"/>
      <c r="U301" s="373"/>
      <c r="V301" s="373"/>
      <c r="W301" s="373"/>
      <c r="X301" s="372"/>
      <c r="Y301" s="372"/>
    </row>
    <row r="302" spans="2:25" ht="15.75" thickBot="1">
      <c r="B302" s="1047" t="s">
        <v>212</v>
      </c>
      <c r="C302" s="1048"/>
      <c r="D302" s="1049"/>
      <c r="E302" s="1049"/>
      <c r="F302" s="1049"/>
      <c r="G302" s="1049"/>
      <c r="H302" s="1049"/>
      <c r="I302" s="1049"/>
      <c r="J302" s="1049"/>
      <c r="K302" s="1049"/>
      <c r="L302" s="1049"/>
      <c r="M302" s="1049"/>
      <c r="N302" s="1049"/>
      <c r="O302" s="1050"/>
      <c r="P302" s="448">
        <f t="shared" si="78"/>
        <v>0</v>
      </c>
      <c r="Q302" s="373"/>
      <c r="R302" s="373"/>
      <c r="S302" s="373"/>
      <c r="T302" s="373"/>
      <c r="U302" s="373"/>
      <c r="V302" s="373"/>
      <c r="W302" s="373"/>
      <c r="X302" s="372"/>
      <c r="Y302" s="372"/>
    </row>
    <row r="303" spans="2:25" ht="15">
      <c r="B303" s="99" t="s">
        <v>38</v>
      </c>
      <c r="C303" s="639" t="s">
        <v>415</v>
      </c>
      <c r="D303" s="642"/>
      <c r="E303" s="643"/>
      <c r="F303" s="643">
        <f>IF('1.PM'!E$5=TRUE,$B$304,0)</f>
        <v>0</v>
      </c>
      <c r="G303" s="643"/>
      <c r="H303" s="643">
        <f>IF('1.PM'!G$5=TRUE,$B$304,0)</f>
        <v>0</v>
      </c>
      <c r="I303" s="643">
        <f>IF('1.PM'!H$5=TRUE,$B$304,0)</f>
        <v>0</v>
      </c>
      <c r="J303" s="643">
        <f>IF('1.PM'!I$5=TRUE,$B$304,0)</f>
        <v>0</v>
      </c>
      <c r="K303" s="643">
        <f>IF('1.PM'!J$5=TRUE,$B$304,0)</f>
        <v>0</v>
      </c>
      <c r="L303" s="643">
        <f>IF('1.PM'!K$5=TRUE,$B$304,0)</f>
        <v>0</v>
      </c>
      <c r="M303" s="643">
        <f>IF('1.PM'!L$5=TRUE,$B$304,0)</f>
        <v>0</v>
      </c>
      <c r="N303" s="643">
        <f>IF('1.PM'!M$5=TRUE,$B$304,0)</f>
        <v>0</v>
      </c>
      <c r="O303" s="644">
        <f>IF('1.PM'!N$5=TRUE,$B$304,0)</f>
        <v>0</v>
      </c>
      <c r="P303" s="461">
        <f t="shared" si="78"/>
        <v>0</v>
      </c>
      <c r="Q303" s="373"/>
      <c r="R303" s="373"/>
      <c r="S303" s="373"/>
      <c r="T303" s="373"/>
      <c r="U303" s="373"/>
      <c r="V303" s="373"/>
      <c r="W303" s="373"/>
      <c r="X303" s="372"/>
      <c r="Y303" s="372"/>
    </row>
    <row r="304" spans="2:25" ht="15" hidden="1">
      <c r="B304" s="462">
        <v>0</v>
      </c>
      <c r="C304" s="639"/>
      <c r="D304" s="645"/>
      <c r="E304" s="460"/>
      <c r="F304" s="460"/>
      <c r="G304" s="460"/>
      <c r="H304" s="460"/>
      <c r="I304" s="460"/>
      <c r="J304" s="460"/>
      <c r="K304" s="460"/>
      <c r="L304" s="460"/>
      <c r="M304" s="460"/>
      <c r="N304" s="460"/>
      <c r="O304" s="646"/>
      <c r="P304" s="463">
        <f t="shared" si="78"/>
        <v>0</v>
      </c>
      <c r="Q304" s="373"/>
      <c r="R304" s="373"/>
      <c r="S304" s="373"/>
      <c r="T304" s="373"/>
      <c r="U304" s="373"/>
      <c r="V304" s="373"/>
      <c r="W304" s="373"/>
      <c r="X304" s="372"/>
      <c r="Y304" s="372"/>
    </row>
    <row r="305" spans="2:25" ht="15">
      <c r="B305" s="99" t="s">
        <v>417</v>
      </c>
      <c r="C305" s="639" t="s">
        <v>416</v>
      </c>
      <c r="D305" s="645"/>
      <c r="E305" s="460"/>
      <c r="F305" s="460"/>
      <c r="G305" s="460"/>
      <c r="H305" s="460">
        <f>IF('1.PM'!G$5=TRUE,$B$306,0)</f>
        <v>0</v>
      </c>
      <c r="I305" s="460">
        <f>IF('1.PM'!H$5=TRUE,$B$306,0)</f>
        <v>0</v>
      </c>
      <c r="J305" s="460">
        <f>IF('1.PM'!I$5=TRUE,$B$306,0)</f>
        <v>0</v>
      </c>
      <c r="K305" s="460">
        <f>IF('1.PM'!J$5=TRUE,$B$306,0)</f>
        <v>0</v>
      </c>
      <c r="L305" s="460">
        <f>IF('1.PM'!K$5=TRUE,$B$306,0)</f>
        <v>0</v>
      </c>
      <c r="M305" s="460">
        <f>IF('1.PM'!L$5=TRUE,$B$306,0)</f>
        <v>0</v>
      </c>
      <c r="N305" s="460">
        <f>IF('1.PM'!M$5=TRUE,$B$306,0)</f>
        <v>0</v>
      </c>
      <c r="O305" s="646">
        <f>IF('1.PM'!N$5=TRUE,$B$306,0)</f>
        <v>0</v>
      </c>
      <c r="P305" s="464">
        <f t="shared" si="78"/>
        <v>0</v>
      </c>
      <c r="Q305" s="373"/>
      <c r="R305" s="373"/>
      <c r="S305" s="373"/>
      <c r="T305" s="373"/>
      <c r="U305" s="373"/>
      <c r="V305" s="373"/>
      <c r="W305" s="373"/>
      <c r="X305" s="372"/>
      <c r="Y305" s="372"/>
    </row>
    <row r="306" spans="2:25" ht="15" hidden="1">
      <c r="B306" s="462">
        <v>1</v>
      </c>
      <c r="C306" s="639"/>
      <c r="D306" s="645"/>
      <c r="E306" s="460"/>
      <c r="F306" s="460"/>
      <c r="G306" s="460"/>
      <c r="H306" s="460"/>
      <c r="I306" s="460"/>
      <c r="J306" s="460"/>
      <c r="K306" s="460"/>
      <c r="L306" s="460"/>
      <c r="M306" s="460"/>
      <c r="N306" s="460"/>
      <c r="O306" s="646"/>
      <c r="P306" s="463">
        <f t="shared" si="78"/>
        <v>0</v>
      </c>
      <c r="Q306" s="373"/>
      <c r="R306" s="373"/>
      <c r="S306" s="373"/>
      <c r="T306" s="373"/>
      <c r="U306" s="373"/>
      <c r="V306" s="373"/>
      <c r="W306" s="373"/>
      <c r="X306" s="372"/>
      <c r="Y306" s="372"/>
    </row>
    <row r="307" spans="2:25" ht="15">
      <c r="B307" s="99" t="s">
        <v>41</v>
      </c>
      <c r="C307" s="639" t="s">
        <v>418</v>
      </c>
      <c r="D307" s="645">
        <f>IF('1.PM'!C$5=TRUE,$B$308,0)</f>
        <v>48</v>
      </c>
      <c r="E307" s="460">
        <v>28</v>
      </c>
      <c r="F307" s="460">
        <v>72</v>
      </c>
      <c r="G307" s="460">
        <f>IF('1.PM'!F$5=TRUE,$B$308,0)</f>
        <v>48</v>
      </c>
      <c r="H307" s="460">
        <f>IF('1.PM'!G$5=TRUE,$B$308,0)</f>
        <v>0</v>
      </c>
      <c r="I307" s="460">
        <f>IF('1.PM'!H$5=TRUE,$B$308,0)</f>
        <v>0</v>
      </c>
      <c r="J307" s="460">
        <f>IF('1.PM'!I$5=TRUE,$B$308,0)</f>
        <v>0</v>
      </c>
      <c r="K307" s="460">
        <f>IF('1.PM'!J$5=TRUE,$B$308,0)</f>
        <v>0</v>
      </c>
      <c r="L307" s="460">
        <f>IF('1.PM'!K$5=TRUE,$B$308,0)</f>
        <v>0</v>
      </c>
      <c r="M307" s="460">
        <f>IF('1.PM'!L$5=TRUE,$B$308,0)</f>
        <v>0</v>
      </c>
      <c r="N307" s="460">
        <f>IF('1.PM'!M$5=TRUE,$B$308,0)</f>
        <v>0</v>
      </c>
      <c r="O307" s="646">
        <f>IF('1.PM'!N$5=TRUE,$B$308,0)</f>
        <v>0</v>
      </c>
      <c r="P307" s="465"/>
      <c r="Q307" s="373"/>
      <c r="R307" s="373"/>
      <c r="S307" s="373"/>
      <c r="T307" s="373"/>
      <c r="U307" s="373"/>
      <c r="V307" s="373"/>
      <c r="W307" s="373"/>
      <c r="X307" s="372"/>
      <c r="Y307" s="372"/>
    </row>
    <row r="308" spans="2:25" ht="15" hidden="1">
      <c r="B308" s="462">
        <v>48</v>
      </c>
      <c r="C308" s="639"/>
      <c r="D308" s="645"/>
      <c r="E308" s="460"/>
      <c r="F308" s="460"/>
      <c r="G308" s="460"/>
      <c r="H308" s="460"/>
      <c r="I308" s="460"/>
      <c r="J308" s="460"/>
      <c r="K308" s="460"/>
      <c r="L308" s="460"/>
      <c r="M308" s="460"/>
      <c r="N308" s="460"/>
      <c r="O308" s="646"/>
      <c r="P308" s="448"/>
      <c r="Q308" s="373"/>
      <c r="R308" s="373"/>
      <c r="S308" s="373"/>
      <c r="T308" s="373"/>
      <c r="U308" s="373"/>
      <c r="V308" s="373"/>
      <c r="W308" s="373"/>
      <c r="X308" s="372"/>
      <c r="Y308" s="372"/>
    </row>
    <row r="309" spans="2:25" ht="15">
      <c r="B309" s="99" t="s">
        <v>419</v>
      </c>
      <c r="C309" s="639" t="s">
        <v>420</v>
      </c>
      <c r="D309" s="647">
        <f>IF('1.PM'!C$5=TRUE,$B$310,0)</f>
        <v>24400</v>
      </c>
      <c r="E309" s="466">
        <v>45000</v>
      </c>
      <c r="F309" s="466">
        <v>50000</v>
      </c>
      <c r="G309" s="466">
        <f>IF('1.PM'!F$5=TRUE,$B$310,0)</f>
        <v>24400</v>
      </c>
      <c r="H309" s="466">
        <f>IF('1.PM'!G$5=TRUE,$B$310,0)</f>
        <v>0</v>
      </c>
      <c r="I309" s="466">
        <f>IF('1.PM'!H$5=TRUE,$B$310,0)</f>
        <v>0</v>
      </c>
      <c r="J309" s="466">
        <f>IF('1.PM'!I$5=TRUE,$B$310,0)</f>
        <v>0</v>
      </c>
      <c r="K309" s="466">
        <f>IF('1.PM'!J$5=TRUE,$B$310,0)</f>
        <v>0</v>
      </c>
      <c r="L309" s="466">
        <f>IF('1.PM'!K$5=TRUE,$B$310,0)</f>
        <v>0</v>
      </c>
      <c r="M309" s="466">
        <f>IF('1.PM'!L$5=TRUE,$B$310,0)</f>
        <v>0</v>
      </c>
      <c r="N309" s="466">
        <f>IF('1.PM'!M$5=TRUE,$B$310,0)</f>
        <v>0</v>
      </c>
      <c r="O309" s="648">
        <f>IF('1.PM'!N$5=TRUE,$B$310,0)</f>
        <v>0</v>
      </c>
      <c r="P309" s="450"/>
      <c r="Q309" s="373"/>
      <c r="R309" s="373"/>
      <c r="S309" s="373"/>
      <c r="T309" s="373"/>
      <c r="U309" s="373"/>
      <c r="V309" s="373"/>
      <c r="W309" s="373"/>
      <c r="X309" s="372"/>
      <c r="Y309" s="372"/>
    </row>
    <row r="310" spans="2:25" ht="15" hidden="1">
      <c r="B310" s="462">
        <v>24400</v>
      </c>
      <c r="C310" s="639"/>
      <c r="D310" s="647"/>
      <c r="E310" s="466"/>
      <c r="F310" s="466"/>
      <c r="G310" s="466"/>
      <c r="H310" s="466"/>
      <c r="I310" s="466"/>
      <c r="J310" s="466"/>
      <c r="K310" s="466"/>
      <c r="L310" s="466"/>
      <c r="M310" s="466"/>
      <c r="N310" s="466"/>
      <c r="O310" s="648"/>
      <c r="P310" s="450"/>
      <c r="Q310" s="373"/>
      <c r="R310" s="373"/>
      <c r="S310" s="373"/>
      <c r="T310" s="373"/>
      <c r="U310" s="373"/>
      <c r="V310" s="373"/>
      <c r="W310" s="373"/>
      <c r="X310" s="372"/>
      <c r="Y310" s="372"/>
    </row>
    <row r="311" spans="2:25" ht="15">
      <c r="B311" s="99" t="s">
        <v>421</v>
      </c>
      <c r="C311" s="639" t="s">
        <v>978</v>
      </c>
      <c r="D311" s="647">
        <f>IF('1.PM'!C$5=TRUE,$B$312,0)</f>
        <v>44044</v>
      </c>
      <c r="E311" s="466">
        <v>68000</v>
      </c>
      <c r="F311" s="466">
        <v>50000</v>
      </c>
      <c r="G311" s="466">
        <f>IF('1.PM'!F$5=TRUE,$B$312,0)</f>
        <v>44044</v>
      </c>
      <c r="H311" s="466">
        <f>IF('1.PM'!G$5=TRUE,$B$312,0)</f>
        <v>0</v>
      </c>
      <c r="I311" s="466">
        <f>IF('1.PM'!H$5=TRUE,$B$312,0)</f>
        <v>0</v>
      </c>
      <c r="J311" s="466">
        <f>IF('1.PM'!I$5=TRUE,$B$312,0)</f>
        <v>0</v>
      </c>
      <c r="K311" s="466">
        <f>IF('1.PM'!J$5=TRUE,$B$312,0)</f>
        <v>0</v>
      </c>
      <c r="L311" s="466">
        <f>IF('1.PM'!K$5=TRUE,$B$312,0)</f>
        <v>0</v>
      </c>
      <c r="M311" s="466">
        <f>IF('1.PM'!L$5=TRUE,$B$312,0)</f>
        <v>0</v>
      </c>
      <c r="N311" s="466">
        <f>IF('1.PM'!M$5=TRUE,$B$312,0)</f>
        <v>0</v>
      </c>
      <c r="O311" s="648">
        <f>IF('1.PM'!N$5=TRUE,$B$312,0)</f>
        <v>0</v>
      </c>
      <c r="P311" s="450"/>
      <c r="Q311" s="373"/>
      <c r="R311" s="373"/>
      <c r="S311" s="373"/>
      <c r="T311" s="373"/>
      <c r="U311" s="373"/>
      <c r="V311" s="373"/>
      <c r="W311" s="373"/>
      <c r="X311" s="372"/>
      <c r="Y311" s="372"/>
    </row>
    <row r="312" spans="2:25" ht="15" hidden="1">
      <c r="B312" s="462">
        <v>44044</v>
      </c>
      <c r="C312" s="639"/>
      <c r="D312" s="647"/>
      <c r="E312" s="466"/>
      <c r="F312" s="466"/>
      <c r="G312" s="466"/>
      <c r="H312" s="466"/>
      <c r="I312" s="466"/>
      <c r="J312" s="466"/>
      <c r="K312" s="466"/>
      <c r="L312" s="466"/>
      <c r="M312" s="466"/>
      <c r="N312" s="466"/>
      <c r="O312" s="648"/>
      <c r="P312" s="450"/>
      <c r="Q312" s="373"/>
      <c r="R312" s="373"/>
      <c r="S312" s="373"/>
      <c r="T312" s="373"/>
      <c r="U312" s="373"/>
      <c r="V312" s="373"/>
      <c r="W312" s="373"/>
      <c r="X312" s="372"/>
      <c r="Y312" s="372"/>
    </row>
    <row r="313" spans="2:25" ht="17.25" customHeight="1" thickBot="1">
      <c r="B313" s="99" t="s">
        <v>423</v>
      </c>
      <c r="C313" s="639" t="s">
        <v>422</v>
      </c>
      <c r="D313" s="651">
        <f>IF('1.PM'!C$5=TRUE,$B$314*1000,0)</f>
        <v>1000000</v>
      </c>
      <c r="E313" s="652">
        <v>1500000</v>
      </c>
      <c r="F313" s="652">
        <f>IF('1.PM'!E$5=TRUE,$B$314*1000,0)</f>
        <v>1000000</v>
      </c>
      <c r="G313" s="652">
        <f>IF('1.PM'!F$5=TRUE,$B$314*1000,0)</f>
        <v>1000000</v>
      </c>
      <c r="H313" s="652">
        <f>IF('1.PM'!G$5=TRUE,$B$314*1000,0)</f>
        <v>0</v>
      </c>
      <c r="I313" s="652">
        <f>IF('1.PM'!H$5=TRUE,$B$314*1000,0)</f>
        <v>0</v>
      </c>
      <c r="J313" s="652">
        <f>IF('1.PM'!I$5=TRUE,$B$314*1000,0)</f>
        <v>0</v>
      </c>
      <c r="K313" s="652">
        <f>IF('1.PM'!J$5=TRUE,$B$314*1000,0)</f>
        <v>0</v>
      </c>
      <c r="L313" s="652">
        <f>IF('1.PM'!K$5=TRUE,$B$314*1000,0)</f>
        <v>0</v>
      </c>
      <c r="M313" s="652">
        <f>IF('1.PM'!L$5=TRUE,$B$314*1000,0)</f>
        <v>0</v>
      </c>
      <c r="N313" s="652">
        <f>IF('1.PM'!M$5=TRUE,$B$314*1000,0)</f>
        <v>0</v>
      </c>
      <c r="O313" s="653">
        <f>IF('1.PM'!N$5=TRUE,$B$314*1000,0)</f>
        <v>0</v>
      </c>
      <c r="P313" s="450"/>
      <c r="Q313" s="373"/>
      <c r="R313" s="373"/>
      <c r="S313" s="373"/>
      <c r="T313" s="373"/>
      <c r="U313" s="373"/>
      <c r="V313" s="373"/>
      <c r="W313" s="373"/>
      <c r="X313" s="372"/>
      <c r="Y313" s="372"/>
    </row>
    <row r="314" spans="2:25" ht="15" hidden="1">
      <c r="B314" s="462">
        <v>1000</v>
      </c>
      <c r="C314" s="79"/>
      <c r="D314" s="654"/>
      <c r="E314" s="654"/>
      <c r="F314" s="654"/>
      <c r="G314" s="654"/>
      <c r="H314" s="654"/>
      <c r="I314" s="654"/>
      <c r="J314" s="654"/>
      <c r="K314" s="654"/>
      <c r="L314" s="654"/>
      <c r="M314" s="654"/>
      <c r="N314" s="654"/>
      <c r="O314" s="655"/>
      <c r="P314" s="469"/>
      <c r="Q314" s="373"/>
      <c r="R314" s="373"/>
      <c r="S314" s="373"/>
      <c r="T314" s="373"/>
      <c r="U314" s="373"/>
      <c r="V314" s="373"/>
      <c r="W314" s="373"/>
      <c r="X314" s="372"/>
      <c r="Y314" s="372"/>
    </row>
    <row r="315" spans="2:25" ht="15.75" thickBot="1">
      <c r="B315" s="101" t="s">
        <v>424</v>
      </c>
      <c r="C315" s="102" t="s">
        <v>427</v>
      </c>
      <c r="D315" s="470">
        <f>IF(D307=0,0,(D303+D305)*((D307*(D309+D311)+D313)))</f>
        <v>0</v>
      </c>
      <c r="E315" s="470">
        <f t="shared" ref="E315:O315" si="80">IF(E307=0,0,(E303+E305)*((E307*(E309+E311)+E313)))</f>
        <v>0</v>
      </c>
      <c r="F315" s="470">
        <f t="shared" si="80"/>
        <v>0</v>
      </c>
      <c r="G315" s="470">
        <f t="shared" si="80"/>
        <v>0</v>
      </c>
      <c r="H315" s="470">
        <f t="shared" si="80"/>
        <v>0</v>
      </c>
      <c r="I315" s="470">
        <f t="shared" si="80"/>
        <v>0</v>
      </c>
      <c r="J315" s="470">
        <f t="shared" si="80"/>
        <v>0</v>
      </c>
      <c r="K315" s="470">
        <f t="shared" si="80"/>
        <v>0</v>
      </c>
      <c r="L315" s="470">
        <f t="shared" si="80"/>
        <v>0</v>
      </c>
      <c r="M315" s="470">
        <f t="shared" si="80"/>
        <v>0</v>
      </c>
      <c r="N315" s="470">
        <f t="shared" si="80"/>
        <v>0</v>
      </c>
      <c r="O315" s="470">
        <f t="shared" si="80"/>
        <v>0</v>
      </c>
      <c r="P315" s="469">
        <f>SUM(D315:O315)</f>
        <v>0</v>
      </c>
      <c r="Q315" s="373"/>
      <c r="R315" s="373"/>
      <c r="S315" s="373"/>
      <c r="T315" s="373"/>
      <c r="U315" s="373"/>
      <c r="V315" s="373"/>
      <c r="W315" s="373"/>
      <c r="X315" s="372"/>
      <c r="Y315" s="372"/>
    </row>
    <row r="316" spans="2:25" ht="15.75" thickBot="1">
      <c r="B316" s="341" t="s">
        <v>426</v>
      </c>
      <c r="C316" s="103"/>
      <c r="D316" s="471">
        <f t="shared" ref="D316:O316" si="81">D315+D301</f>
        <v>0</v>
      </c>
      <c r="E316" s="471">
        <f t="shared" si="81"/>
        <v>0</v>
      </c>
      <c r="F316" s="471">
        <f t="shared" si="81"/>
        <v>0</v>
      </c>
      <c r="G316" s="471">
        <f t="shared" si="81"/>
        <v>2000000</v>
      </c>
      <c r="H316" s="471">
        <f t="shared" si="81"/>
        <v>0</v>
      </c>
      <c r="I316" s="471">
        <f t="shared" si="81"/>
        <v>0</v>
      </c>
      <c r="J316" s="471">
        <f t="shared" si="81"/>
        <v>0</v>
      </c>
      <c r="K316" s="471">
        <f t="shared" si="81"/>
        <v>0</v>
      </c>
      <c r="L316" s="471">
        <f t="shared" si="81"/>
        <v>0</v>
      </c>
      <c r="M316" s="471">
        <f t="shared" si="81"/>
        <v>0</v>
      </c>
      <c r="N316" s="471">
        <f t="shared" si="81"/>
        <v>0</v>
      </c>
      <c r="O316" s="472">
        <f t="shared" si="81"/>
        <v>0</v>
      </c>
      <c r="P316" s="473">
        <f>SUM(D316:O316)</f>
        <v>2000000</v>
      </c>
      <c r="Q316" s="373"/>
      <c r="R316" s="373"/>
      <c r="S316" s="373"/>
      <c r="T316" s="373"/>
      <c r="U316" s="373"/>
      <c r="V316" s="373"/>
      <c r="W316" s="373"/>
      <c r="X316" s="372"/>
      <c r="Y316" s="372"/>
    </row>
    <row r="317" spans="2:25" ht="15" hidden="1">
      <c r="B317" s="28"/>
      <c r="C317" s="24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373"/>
      <c r="R317" s="373"/>
      <c r="S317" s="373"/>
      <c r="T317" s="373"/>
      <c r="U317" s="373"/>
      <c r="V317" s="373"/>
      <c r="W317" s="373"/>
      <c r="X317" s="372"/>
      <c r="Y317" s="372"/>
    </row>
    <row r="318" spans="2:25" ht="15" hidden="1">
      <c r="B318" s="24"/>
      <c r="C318" s="411" t="s">
        <v>794</v>
      </c>
      <c r="D318" s="412">
        <f t="shared" ref="D318:O318" si="82">D301</f>
        <v>0</v>
      </c>
      <c r="E318" s="412">
        <f t="shared" si="82"/>
        <v>0</v>
      </c>
      <c r="F318" s="412">
        <f t="shared" si="82"/>
        <v>0</v>
      </c>
      <c r="G318" s="412">
        <f t="shared" si="82"/>
        <v>2000000</v>
      </c>
      <c r="H318" s="412">
        <f t="shared" si="82"/>
        <v>0</v>
      </c>
      <c r="I318" s="412">
        <f t="shared" si="82"/>
        <v>0</v>
      </c>
      <c r="J318" s="412">
        <f t="shared" si="82"/>
        <v>0</v>
      </c>
      <c r="K318" s="412">
        <f t="shared" si="82"/>
        <v>0</v>
      </c>
      <c r="L318" s="412">
        <f t="shared" si="82"/>
        <v>0</v>
      </c>
      <c r="M318" s="412">
        <f t="shared" si="82"/>
        <v>0</v>
      </c>
      <c r="N318" s="412">
        <f t="shared" si="82"/>
        <v>0</v>
      </c>
      <c r="O318" s="412">
        <f t="shared" si="82"/>
        <v>0</v>
      </c>
      <c r="P318" s="400"/>
      <c r="Q318" s="373"/>
      <c r="R318" s="373"/>
      <c r="S318" s="373"/>
      <c r="T318" s="373"/>
      <c r="U318" s="373"/>
      <c r="V318" s="373"/>
      <c r="W318" s="373"/>
      <c r="X318" s="372"/>
      <c r="Y318" s="372"/>
    </row>
    <row r="319" spans="2:25" ht="15" hidden="1">
      <c r="B319" s="24"/>
      <c r="C319" s="411" t="s">
        <v>796</v>
      </c>
      <c r="D319" s="412">
        <f>D315</f>
        <v>0</v>
      </c>
      <c r="E319" s="412">
        <f t="shared" ref="E319:O319" si="83">E315</f>
        <v>0</v>
      </c>
      <c r="F319" s="412">
        <f t="shared" si="83"/>
        <v>0</v>
      </c>
      <c r="G319" s="412">
        <f t="shared" si="83"/>
        <v>0</v>
      </c>
      <c r="H319" s="412">
        <f t="shared" si="83"/>
        <v>0</v>
      </c>
      <c r="I319" s="412">
        <f t="shared" si="83"/>
        <v>0</v>
      </c>
      <c r="J319" s="412">
        <f t="shared" si="83"/>
        <v>0</v>
      </c>
      <c r="K319" s="412">
        <f t="shared" si="83"/>
        <v>0</v>
      </c>
      <c r="L319" s="412">
        <f t="shared" si="83"/>
        <v>0</v>
      </c>
      <c r="M319" s="412">
        <f t="shared" si="83"/>
        <v>0</v>
      </c>
      <c r="N319" s="412">
        <f t="shared" si="83"/>
        <v>0</v>
      </c>
      <c r="O319" s="412">
        <f t="shared" si="83"/>
        <v>0</v>
      </c>
      <c r="P319" s="400"/>
      <c r="Q319" s="373"/>
      <c r="R319" s="373"/>
      <c r="S319" s="373"/>
      <c r="T319" s="373"/>
      <c r="U319" s="373"/>
      <c r="V319" s="373"/>
      <c r="W319" s="373"/>
      <c r="X319" s="372"/>
      <c r="Y319" s="372"/>
    </row>
    <row r="320" spans="2:25" ht="15.75" thickBot="1">
      <c r="B320" s="24"/>
      <c r="C320" s="24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373"/>
      <c r="R320" s="373"/>
      <c r="S320" s="373"/>
      <c r="T320" s="373"/>
      <c r="U320" s="373"/>
      <c r="V320" s="373"/>
      <c r="W320" s="373"/>
      <c r="X320" s="372"/>
      <c r="Y320" s="372"/>
    </row>
    <row r="321" spans="2:25" ht="15.75" thickTop="1">
      <c r="B321" s="1015" t="s">
        <v>227</v>
      </c>
      <c r="C321" s="1016"/>
      <c r="D321" s="1016"/>
      <c r="E321" s="1016"/>
      <c r="F321" s="1016"/>
      <c r="G321" s="1016"/>
      <c r="H321" s="1016"/>
      <c r="I321" s="1016"/>
      <c r="J321" s="1016"/>
      <c r="K321" s="1016"/>
      <c r="L321" s="1016"/>
      <c r="M321" s="1016"/>
      <c r="N321" s="1016"/>
      <c r="O321" s="1062"/>
      <c r="P321" s="46" t="s">
        <v>205</v>
      </c>
      <c r="Q321" s="373"/>
      <c r="R321" s="373"/>
      <c r="S321" s="373"/>
      <c r="T321" s="373"/>
      <c r="U321" s="373"/>
      <c r="V321" s="373"/>
      <c r="W321" s="373"/>
      <c r="X321" s="372"/>
      <c r="Y321" s="372"/>
    </row>
    <row r="322" spans="2:25" ht="15.75" thickBot="1">
      <c r="B322" s="1047" t="s">
        <v>660</v>
      </c>
      <c r="C322" s="1051"/>
      <c r="D322" s="1053" t="s">
        <v>461</v>
      </c>
      <c r="E322" s="1054"/>
      <c r="F322" s="1054"/>
      <c r="G322" s="1054"/>
      <c r="H322" s="1054"/>
      <c r="I322" s="1054"/>
      <c r="J322" s="1054"/>
      <c r="K322" s="1054"/>
      <c r="L322" s="1054"/>
      <c r="M322" s="1054"/>
      <c r="N322" s="1054"/>
      <c r="O322" s="1055"/>
      <c r="P322" s="448">
        <f>SUM(D322:O322)</f>
        <v>0</v>
      </c>
      <c r="Q322" s="373"/>
      <c r="R322" s="373"/>
      <c r="S322" s="373"/>
      <c r="T322" s="373"/>
      <c r="U322" s="373"/>
      <c r="V322" s="373"/>
      <c r="W322" s="373"/>
      <c r="X322" s="372"/>
      <c r="Y322" s="372"/>
    </row>
    <row r="323" spans="2:25" ht="15">
      <c r="B323" s="213"/>
      <c r="C323" s="656"/>
      <c r="D323" s="659"/>
      <c r="E323" s="660"/>
      <c r="F323" s="660"/>
      <c r="G323" s="660"/>
      <c r="H323" s="660"/>
      <c r="I323" s="660"/>
      <c r="J323" s="660"/>
      <c r="K323" s="660"/>
      <c r="L323" s="660"/>
      <c r="M323" s="660"/>
      <c r="N323" s="660"/>
      <c r="O323" s="661"/>
      <c r="P323" s="450">
        <f>SUM(D323:O323)*B330</f>
        <v>0</v>
      </c>
      <c r="Q323" s="373" t="str">
        <f>IF(B330="","",(IF(B330&gt;=0,"GIFT SAMPLE","")))</f>
        <v>GIFT SAMPLE</v>
      </c>
      <c r="R323" s="373"/>
      <c r="S323" s="373"/>
      <c r="T323" s="373"/>
      <c r="U323" s="373"/>
      <c r="V323" s="373"/>
      <c r="W323" s="373"/>
      <c r="X323" s="372"/>
      <c r="Y323" s="372"/>
    </row>
    <row r="324" spans="2:25" ht="15">
      <c r="B324" s="213"/>
      <c r="C324" s="656"/>
      <c r="D324" s="662"/>
      <c r="E324" s="434"/>
      <c r="F324" s="434"/>
      <c r="G324" s="434"/>
      <c r="H324" s="434"/>
      <c r="I324" s="434"/>
      <c r="J324" s="434"/>
      <c r="K324" s="434"/>
      <c r="L324" s="434"/>
      <c r="M324" s="434"/>
      <c r="N324" s="434"/>
      <c r="O324" s="663"/>
      <c r="P324" s="450">
        <f t="shared" ref="P324:P336" si="84">SUM(D324:O324)*B324</f>
        <v>0</v>
      </c>
      <c r="Q324" s="373" t="str">
        <f>IF(B324="","",(IF(B324&gt;=0,"GIFT SAMPLE","")))</f>
        <v/>
      </c>
      <c r="R324" s="373"/>
      <c r="S324" s="373"/>
      <c r="T324" s="373"/>
      <c r="U324" s="373"/>
      <c r="V324" s="373"/>
      <c r="W324" s="373"/>
      <c r="X324" s="372"/>
      <c r="Y324" s="372"/>
    </row>
    <row r="325" spans="2:25" ht="15">
      <c r="B325" s="213"/>
      <c r="C325" s="656"/>
      <c r="D325" s="662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663"/>
      <c r="P325" s="450">
        <f t="shared" si="84"/>
        <v>0</v>
      </c>
      <c r="Q325" s="373" t="str">
        <f>IF(B325="","",(IF(B325&gt;=0,"GIFT SAMPLE","")))</f>
        <v/>
      </c>
      <c r="R325" s="373"/>
      <c r="S325" s="373"/>
      <c r="T325" s="373"/>
      <c r="U325" s="373"/>
      <c r="V325" s="373"/>
      <c r="W325" s="373"/>
      <c r="X325" s="372"/>
      <c r="Y325" s="372"/>
    </row>
    <row r="326" spans="2:25" ht="15">
      <c r="B326" s="213"/>
      <c r="C326" s="656"/>
      <c r="D326" s="662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663"/>
      <c r="P326" s="450">
        <f t="shared" si="84"/>
        <v>0</v>
      </c>
      <c r="Q326" s="373" t="str">
        <f>IF(B326="","",(IF(B326&gt;=0,"GIFT SAMPLE","")))</f>
        <v/>
      </c>
      <c r="R326" s="373"/>
      <c r="S326" s="373"/>
      <c r="T326" s="373"/>
      <c r="U326" s="373"/>
      <c r="V326" s="373"/>
      <c r="W326" s="373"/>
      <c r="X326" s="372"/>
      <c r="Y326" s="372"/>
    </row>
    <row r="327" spans="2:25" ht="15.75" thickBot="1">
      <c r="B327" s="213"/>
      <c r="C327" s="656"/>
      <c r="D327" s="664"/>
      <c r="E327" s="665"/>
      <c r="F327" s="665"/>
      <c r="G327" s="665"/>
      <c r="H327" s="665"/>
      <c r="I327" s="665"/>
      <c r="J327" s="665"/>
      <c r="K327" s="665"/>
      <c r="L327" s="665"/>
      <c r="M327" s="665"/>
      <c r="N327" s="665"/>
      <c r="O327" s="666"/>
      <c r="P327" s="450">
        <f t="shared" si="84"/>
        <v>0</v>
      </c>
      <c r="Q327" s="373" t="str">
        <f>IF(B327="","",(IF(B327&gt;=0,"GIFT SAMPLE","")))</f>
        <v/>
      </c>
      <c r="R327" s="373"/>
      <c r="S327" s="373"/>
      <c r="T327" s="373"/>
      <c r="U327" s="373"/>
      <c r="V327" s="373"/>
      <c r="W327" s="373"/>
      <c r="X327" s="372"/>
      <c r="Y327" s="372"/>
    </row>
    <row r="328" spans="2:25" ht="15">
      <c r="B328" s="109" t="s">
        <v>217</v>
      </c>
      <c r="C328" s="110" t="s">
        <v>154</v>
      </c>
      <c r="D328" s="657">
        <f>SUMPRODUCT(D323:D327,B323:B327)</f>
        <v>0</v>
      </c>
      <c r="E328" s="657">
        <f>SUMPRODUCT(E323:E327,B323:B327)</f>
        <v>0</v>
      </c>
      <c r="F328" s="657">
        <f>SUMPRODUCT(F323:F327,B323:B327)</f>
        <v>0</v>
      </c>
      <c r="G328" s="657">
        <f>SUMPRODUCT(G323:G327,B323:B327)</f>
        <v>0</v>
      </c>
      <c r="H328" s="657">
        <f>SUMPRODUCT(H323:H327,B323:B327)</f>
        <v>0</v>
      </c>
      <c r="I328" s="657">
        <f>SUMPRODUCT(I323:I327,B323:B327)</f>
        <v>0</v>
      </c>
      <c r="J328" s="657">
        <f>SUMPRODUCT(J323:J327,B323:B327)</f>
        <v>0</v>
      </c>
      <c r="K328" s="657">
        <f>SUMPRODUCT(K323:K327,B323:B327)</f>
        <v>0</v>
      </c>
      <c r="L328" s="657">
        <f>SUMPRODUCT(L323:L327,B323:B327)</f>
        <v>0</v>
      </c>
      <c r="M328" s="657">
        <f>SUMPRODUCT(M323:M327,B323:B327)</f>
        <v>0</v>
      </c>
      <c r="N328" s="657">
        <f>SUMPRODUCT(N323:N327,B323:B327)</f>
        <v>0</v>
      </c>
      <c r="O328" s="658">
        <f>SUMPRODUCT(O323:O327,B323:B327)</f>
        <v>0</v>
      </c>
      <c r="P328" s="450">
        <f>SUM(D328:O328)</f>
        <v>0</v>
      </c>
      <c r="Q328" s="373"/>
      <c r="R328" s="373"/>
      <c r="S328" s="373"/>
      <c r="T328" s="373"/>
      <c r="U328" s="373"/>
      <c r="V328" s="373"/>
      <c r="W328" s="373"/>
      <c r="X328" s="372"/>
      <c r="Y328" s="372"/>
    </row>
    <row r="329" spans="2:25" ht="15.75" thickBot="1">
      <c r="B329" s="1021" t="s">
        <v>758</v>
      </c>
      <c r="C329" s="1022"/>
      <c r="D329" s="1023"/>
      <c r="E329" s="1023"/>
      <c r="F329" s="1023"/>
      <c r="G329" s="1023"/>
      <c r="H329" s="1023"/>
      <c r="I329" s="1023"/>
      <c r="J329" s="1023"/>
      <c r="K329" s="1023"/>
      <c r="L329" s="1023"/>
      <c r="M329" s="1023"/>
      <c r="N329" s="1023"/>
      <c r="O329" s="1024"/>
      <c r="P329" s="450"/>
      <c r="Q329" s="373"/>
      <c r="R329" s="373"/>
      <c r="S329" s="373"/>
      <c r="T329" s="373"/>
      <c r="U329" s="373"/>
      <c r="V329" s="373"/>
      <c r="W329" s="373"/>
      <c r="X329" s="372"/>
      <c r="Y329" s="372"/>
    </row>
    <row r="330" spans="2:25" ht="15">
      <c r="B330" s="213">
        <v>3000</v>
      </c>
      <c r="C330" s="656" t="s">
        <v>1083</v>
      </c>
      <c r="D330" s="659">
        <v>47</v>
      </c>
      <c r="E330" s="660">
        <v>47</v>
      </c>
      <c r="F330" s="660">
        <v>47</v>
      </c>
      <c r="G330" s="660">
        <v>47</v>
      </c>
      <c r="H330" s="660"/>
      <c r="I330" s="660"/>
      <c r="J330" s="660"/>
      <c r="K330" s="660"/>
      <c r="L330" s="660"/>
      <c r="M330" s="660"/>
      <c r="N330" s="660"/>
      <c r="O330" s="661"/>
      <c r="P330" s="450">
        <f>SUM(D330:O330)*B330</f>
        <v>564000</v>
      </c>
      <c r="Q330" s="373"/>
      <c r="R330" s="373"/>
      <c r="S330" s="373"/>
      <c r="T330" s="373"/>
      <c r="U330" s="373"/>
      <c r="V330" s="373"/>
      <c r="W330" s="373"/>
      <c r="X330" s="372"/>
      <c r="Y330" s="372"/>
    </row>
    <row r="331" spans="2:25" ht="15">
      <c r="B331" s="213"/>
      <c r="C331" s="656"/>
      <c r="D331" s="662"/>
      <c r="E331" s="434"/>
      <c r="F331" s="434"/>
      <c r="G331" s="434"/>
      <c r="H331" s="434"/>
      <c r="I331" s="434"/>
      <c r="J331" s="434"/>
      <c r="K331" s="434"/>
      <c r="L331" s="434"/>
      <c r="M331" s="434"/>
      <c r="N331" s="434"/>
      <c r="O331" s="663"/>
      <c r="P331" s="450">
        <f t="shared" si="84"/>
        <v>0</v>
      </c>
      <c r="Q331" s="373"/>
      <c r="R331" s="373"/>
      <c r="S331" s="373"/>
      <c r="T331" s="373"/>
      <c r="U331" s="373"/>
      <c r="V331" s="373"/>
      <c r="W331" s="373"/>
      <c r="X331" s="372"/>
      <c r="Y331" s="372"/>
    </row>
    <row r="332" spans="2:25" ht="15">
      <c r="B332" s="213"/>
      <c r="C332" s="656"/>
      <c r="D332" s="662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663"/>
      <c r="P332" s="450">
        <f t="shared" si="84"/>
        <v>0</v>
      </c>
      <c r="Q332" s="373"/>
      <c r="R332" s="373"/>
      <c r="S332" s="373"/>
      <c r="T332" s="373"/>
      <c r="U332" s="373"/>
      <c r="V332" s="373"/>
      <c r="W332" s="373"/>
      <c r="X332" s="372"/>
      <c r="Y332" s="372"/>
    </row>
    <row r="333" spans="2:25" ht="15">
      <c r="B333" s="213"/>
      <c r="C333" s="656"/>
      <c r="D333" s="662"/>
      <c r="E333" s="434"/>
      <c r="F333" s="434"/>
      <c r="G333" s="434"/>
      <c r="H333" s="434"/>
      <c r="I333" s="434"/>
      <c r="J333" s="434"/>
      <c r="K333" s="434"/>
      <c r="L333" s="434"/>
      <c r="M333" s="434"/>
      <c r="N333" s="434"/>
      <c r="O333" s="663"/>
      <c r="P333" s="450">
        <f t="shared" si="84"/>
        <v>0</v>
      </c>
      <c r="Q333" s="373"/>
      <c r="R333" s="373"/>
      <c r="S333" s="373"/>
      <c r="T333" s="373"/>
      <c r="U333" s="373"/>
      <c r="V333" s="373"/>
      <c r="W333" s="373"/>
      <c r="X333" s="372"/>
      <c r="Y333" s="372"/>
    </row>
    <row r="334" spans="2:25" ht="15">
      <c r="B334" s="213"/>
      <c r="C334" s="656"/>
      <c r="D334" s="662"/>
      <c r="E334" s="434"/>
      <c r="F334" s="434"/>
      <c r="G334" s="434"/>
      <c r="H334" s="434"/>
      <c r="I334" s="434"/>
      <c r="J334" s="434"/>
      <c r="K334" s="434"/>
      <c r="L334" s="434"/>
      <c r="M334" s="434"/>
      <c r="N334" s="434"/>
      <c r="O334" s="663"/>
      <c r="P334" s="450">
        <f t="shared" si="84"/>
        <v>0</v>
      </c>
      <c r="Q334" s="373"/>
      <c r="R334" s="373"/>
      <c r="S334" s="373"/>
      <c r="T334" s="373"/>
      <c r="U334" s="373"/>
      <c r="V334" s="373"/>
      <c r="W334" s="373"/>
      <c r="X334" s="372"/>
      <c r="Y334" s="372"/>
    </row>
    <row r="335" spans="2:25" ht="15">
      <c r="B335" s="213"/>
      <c r="C335" s="656"/>
      <c r="D335" s="662"/>
      <c r="E335" s="434"/>
      <c r="F335" s="434"/>
      <c r="G335" s="434"/>
      <c r="H335" s="434"/>
      <c r="I335" s="434"/>
      <c r="J335" s="434"/>
      <c r="K335" s="434"/>
      <c r="L335" s="434"/>
      <c r="M335" s="434"/>
      <c r="N335" s="434"/>
      <c r="O335" s="663"/>
      <c r="P335" s="450">
        <f t="shared" si="84"/>
        <v>0</v>
      </c>
      <c r="Q335" s="373"/>
      <c r="R335" s="373"/>
      <c r="S335" s="373"/>
      <c r="T335" s="373"/>
      <c r="U335" s="373"/>
      <c r="V335" s="373"/>
      <c r="W335" s="373"/>
      <c r="X335" s="372"/>
      <c r="Y335" s="372"/>
    </row>
    <row r="336" spans="2:25" ht="15.75" thickBot="1">
      <c r="B336" s="213"/>
      <c r="C336" s="656"/>
      <c r="D336" s="664"/>
      <c r="E336" s="665"/>
      <c r="F336" s="665"/>
      <c r="G336" s="665"/>
      <c r="H336" s="665"/>
      <c r="I336" s="665"/>
      <c r="J336" s="665"/>
      <c r="K336" s="665"/>
      <c r="L336" s="665"/>
      <c r="M336" s="665"/>
      <c r="N336" s="665"/>
      <c r="O336" s="666"/>
      <c r="P336" s="450">
        <f t="shared" si="84"/>
        <v>0</v>
      </c>
      <c r="Q336" s="373"/>
      <c r="R336" s="373"/>
      <c r="S336" s="373"/>
      <c r="T336" s="373"/>
      <c r="U336" s="373"/>
      <c r="V336" s="373"/>
      <c r="W336" s="373"/>
      <c r="X336" s="372"/>
      <c r="Y336" s="372"/>
    </row>
    <row r="337" spans="2:25" ht="15.75" thickBot="1">
      <c r="B337" s="111" t="s">
        <v>759</v>
      </c>
      <c r="C337" s="112" t="s">
        <v>760</v>
      </c>
      <c r="D337" s="667">
        <f>SUMPRODUCT(D330:D336,B330:B336)</f>
        <v>141000</v>
      </c>
      <c r="E337" s="667">
        <f>SUMPRODUCT(E330:E336,B330:B336)</f>
        <v>141000</v>
      </c>
      <c r="F337" s="667">
        <f>SUMPRODUCT(F330:F336,B330:B336)</f>
        <v>141000</v>
      </c>
      <c r="G337" s="667">
        <f>SUMPRODUCT(G330:G336,B330:B336)</f>
        <v>141000</v>
      </c>
      <c r="H337" s="667">
        <f>SUMPRODUCT(H330:H336,B330:B336)</f>
        <v>0</v>
      </c>
      <c r="I337" s="667">
        <f>SUMPRODUCT(I330:I336,B330:B336)</f>
        <v>0</v>
      </c>
      <c r="J337" s="667">
        <f>SUMPRODUCT(J330:J336,B330:B336)</f>
        <v>0</v>
      </c>
      <c r="K337" s="667">
        <f>SUMPRODUCT(K330:K336,B330:B336)</f>
        <v>0</v>
      </c>
      <c r="L337" s="667">
        <f>SUMPRODUCT(L330:L336,B330:B336)</f>
        <v>0</v>
      </c>
      <c r="M337" s="667">
        <f>SUMPRODUCT(M330:M336,B330:B336)</f>
        <v>0</v>
      </c>
      <c r="N337" s="667">
        <f>SUMPRODUCT(N330:N336,B330:B336)</f>
        <v>0</v>
      </c>
      <c r="O337" s="668">
        <f>SUMPRODUCT(O330:O336,B330:B336)</f>
        <v>0</v>
      </c>
      <c r="P337" s="450">
        <f>SUM(D337:O337)</f>
        <v>564000</v>
      </c>
      <c r="Q337" s="373"/>
      <c r="R337" s="373"/>
      <c r="S337" s="373"/>
      <c r="T337" s="373"/>
      <c r="U337" s="373"/>
      <c r="V337" s="373"/>
      <c r="W337" s="373"/>
      <c r="X337" s="372"/>
      <c r="Y337" s="372"/>
    </row>
    <row r="338" spans="2:25" ht="15.75" thickBot="1">
      <c r="B338" s="1039" t="s">
        <v>216</v>
      </c>
      <c r="C338" s="1040"/>
      <c r="D338" s="471">
        <f>SUMPRODUCT($B$323:$B$336,D323:D336)</f>
        <v>141000</v>
      </c>
      <c r="E338" s="471">
        <f t="shared" ref="E338:O338" si="85">SUMPRODUCT($B$323:$B$336,E323:E336)</f>
        <v>141000</v>
      </c>
      <c r="F338" s="471">
        <f t="shared" si="85"/>
        <v>141000</v>
      </c>
      <c r="G338" s="471">
        <f t="shared" si="85"/>
        <v>141000</v>
      </c>
      <c r="H338" s="471">
        <f t="shared" si="85"/>
        <v>0</v>
      </c>
      <c r="I338" s="471">
        <f t="shared" si="85"/>
        <v>0</v>
      </c>
      <c r="J338" s="471">
        <f t="shared" si="85"/>
        <v>0</v>
      </c>
      <c r="K338" s="471">
        <f t="shared" si="85"/>
        <v>0</v>
      </c>
      <c r="L338" s="471">
        <f t="shared" si="85"/>
        <v>0</v>
      </c>
      <c r="M338" s="471">
        <f t="shared" si="85"/>
        <v>0</v>
      </c>
      <c r="N338" s="471">
        <f t="shared" si="85"/>
        <v>0</v>
      </c>
      <c r="O338" s="471">
        <f t="shared" si="85"/>
        <v>0</v>
      </c>
      <c r="P338" s="458">
        <f>SUM(D338:O338)</f>
        <v>564000</v>
      </c>
      <c r="Q338" s="373"/>
      <c r="R338" s="373"/>
      <c r="S338" s="373"/>
      <c r="T338" s="373"/>
      <c r="U338" s="373"/>
      <c r="V338" s="373"/>
      <c r="W338" s="373"/>
      <c r="X338" s="372"/>
      <c r="Y338" s="372"/>
    </row>
    <row r="339" spans="2:25" ht="15.75" thickBot="1">
      <c r="B339" s="28"/>
      <c r="C339" s="24"/>
      <c r="D339" s="400"/>
      <c r="E339" s="400"/>
      <c r="F339" s="400"/>
      <c r="G339" s="400"/>
      <c r="H339" s="400"/>
      <c r="I339" s="400"/>
      <c r="J339" s="400"/>
      <c r="K339" s="400"/>
      <c r="L339" s="400"/>
      <c r="M339" s="400"/>
      <c r="N339" s="400"/>
      <c r="O339" s="400"/>
      <c r="P339" s="400"/>
      <c r="Q339" s="373"/>
      <c r="R339" s="373"/>
      <c r="S339" s="373"/>
      <c r="T339" s="373"/>
      <c r="U339" s="373"/>
      <c r="V339" s="373"/>
      <c r="W339" s="373"/>
      <c r="X339" s="372"/>
      <c r="Y339" s="372"/>
    </row>
    <row r="340" spans="2:25" ht="16.5" thickTop="1" thickBot="1">
      <c r="B340" s="1008" t="s">
        <v>770</v>
      </c>
      <c r="C340" s="1009"/>
      <c r="D340" s="1041"/>
      <c r="E340" s="1041"/>
      <c r="F340" s="1041"/>
      <c r="G340" s="1041"/>
      <c r="H340" s="1041"/>
      <c r="I340" s="1041"/>
      <c r="J340" s="1041"/>
      <c r="K340" s="1041"/>
      <c r="L340" s="1041"/>
      <c r="M340" s="1041"/>
      <c r="N340" s="1041"/>
      <c r="O340" s="1042"/>
      <c r="P340" s="46" t="s">
        <v>205</v>
      </c>
      <c r="Q340" s="373"/>
      <c r="R340" s="373"/>
      <c r="S340" s="373"/>
      <c r="T340" s="373"/>
      <c r="U340" s="373"/>
      <c r="V340" s="373"/>
      <c r="W340" s="373"/>
      <c r="X340" s="372"/>
      <c r="Y340" s="372"/>
    </row>
    <row r="341" spans="2:25" ht="15">
      <c r="B341" s="1019" t="s">
        <v>957</v>
      </c>
      <c r="C341" s="1020"/>
      <c r="D341" s="671">
        <v>200000</v>
      </c>
      <c r="E341" s="791"/>
      <c r="F341" s="791"/>
      <c r="G341" s="629"/>
      <c r="H341" s="629"/>
      <c r="I341" s="629"/>
      <c r="J341" s="629"/>
      <c r="K341" s="629"/>
      <c r="L341" s="629"/>
      <c r="M341" s="629"/>
      <c r="N341" s="629"/>
      <c r="O341" s="630"/>
      <c r="P341" s="450">
        <f>SUM(E341:O341)</f>
        <v>0</v>
      </c>
      <c r="Q341" s="373"/>
      <c r="R341" s="373"/>
      <c r="S341" s="373"/>
      <c r="T341" s="373"/>
      <c r="U341" s="373"/>
      <c r="V341" s="373"/>
      <c r="W341" s="373"/>
      <c r="X341" s="372"/>
      <c r="Y341" s="372"/>
    </row>
    <row r="342" spans="2:25" ht="15">
      <c r="B342" s="1019" t="s">
        <v>228</v>
      </c>
      <c r="C342" s="1020"/>
      <c r="D342" s="672"/>
      <c r="E342" s="451"/>
      <c r="F342" s="451"/>
      <c r="G342" s="451"/>
      <c r="H342" s="451"/>
      <c r="I342" s="451"/>
      <c r="J342" s="451"/>
      <c r="K342" s="451"/>
      <c r="L342" s="451"/>
      <c r="M342" s="451"/>
      <c r="N342" s="451"/>
      <c r="O342" s="452"/>
      <c r="P342" s="450">
        <f t="shared" ref="P342:P347" si="86">SUM(D342:O342)</f>
        <v>0</v>
      </c>
      <c r="Q342" s="373"/>
      <c r="R342" s="373"/>
      <c r="S342" s="373"/>
      <c r="T342" s="373"/>
      <c r="U342" s="373"/>
      <c r="V342" s="373"/>
      <c r="W342" s="373"/>
      <c r="X342" s="372"/>
      <c r="Y342" s="372"/>
    </row>
    <row r="343" spans="2:25" ht="15">
      <c r="B343" s="1019" t="s">
        <v>1072</v>
      </c>
      <c r="C343" s="1020"/>
      <c r="D343" s="672"/>
      <c r="E343" s="451"/>
      <c r="F343" s="451"/>
      <c r="G343" s="451"/>
      <c r="H343" s="451"/>
      <c r="I343" s="451"/>
      <c r="J343" s="451"/>
      <c r="K343" s="451"/>
      <c r="L343" s="451"/>
      <c r="M343" s="451"/>
      <c r="N343" s="451"/>
      <c r="O343" s="452"/>
      <c r="P343" s="450">
        <f t="shared" si="86"/>
        <v>0</v>
      </c>
      <c r="Q343" s="373"/>
      <c r="R343" s="373"/>
      <c r="S343" s="373"/>
      <c r="T343" s="373"/>
      <c r="U343" s="373"/>
      <c r="V343" s="373"/>
      <c r="W343" s="373"/>
      <c r="X343" s="372"/>
      <c r="Y343" s="372"/>
    </row>
    <row r="344" spans="2:25" ht="15">
      <c r="B344" s="1019" t="s">
        <v>230</v>
      </c>
      <c r="C344" s="1020"/>
      <c r="D344" s="672"/>
      <c r="E344" s="451"/>
      <c r="F344" s="451"/>
      <c r="G344" s="451"/>
      <c r="H344" s="451"/>
      <c r="I344" s="451"/>
      <c r="J344" s="451"/>
      <c r="K344" s="451"/>
      <c r="L344" s="451"/>
      <c r="M344" s="451"/>
      <c r="N344" s="451"/>
      <c r="O344" s="452"/>
      <c r="P344" s="450">
        <f t="shared" si="86"/>
        <v>0</v>
      </c>
      <c r="Q344" s="373"/>
      <c r="R344" s="373"/>
      <c r="S344" s="373"/>
      <c r="T344" s="373"/>
      <c r="U344" s="373"/>
      <c r="V344" s="373"/>
      <c r="W344" s="373"/>
      <c r="X344" s="372"/>
      <c r="Y344" s="372"/>
    </row>
    <row r="345" spans="2:25" ht="15">
      <c r="B345" s="1019"/>
      <c r="C345" s="1020"/>
      <c r="D345" s="672"/>
      <c r="E345" s="451"/>
      <c r="F345" s="451"/>
      <c r="G345" s="451"/>
      <c r="H345" s="451"/>
      <c r="I345" s="451"/>
      <c r="J345" s="451"/>
      <c r="K345" s="451"/>
      <c r="L345" s="451"/>
      <c r="M345" s="451"/>
      <c r="N345" s="451"/>
      <c r="O345" s="452"/>
      <c r="P345" s="450">
        <f t="shared" si="86"/>
        <v>0</v>
      </c>
      <c r="Q345" s="373"/>
      <c r="R345" s="373"/>
      <c r="S345" s="373"/>
      <c r="T345" s="373"/>
      <c r="U345" s="373"/>
      <c r="V345" s="373"/>
      <c r="W345" s="373"/>
      <c r="X345" s="372"/>
      <c r="Y345" s="372"/>
    </row>
    <row r="346" spans="2:25" ht="15">
      <c r="B346" s="1019"/>
      <c r="C346" s="1020"/>
      <c r="D346" s="672"/>
      <c r="E346" s="451"/>
      <c r="F346" s="451"/>
      <c r="G346" s="451"/>
      <c r="H346" s="451"/>
      <c r="I346" s="451"/>
      <c r="J346" s="451"/>
      <c r="K346" s="451"/>
      <c r="L346" s="451"/>
      <c r="M346" s="451"/>
      <c r="N346" s="451"/>
      <c r="O346" s="452"/>
      <c r="P346" s="450">
        <f t="shared" si="86"/>
        <v>0</v>
      </c>
      <c r="Q346" s="373"/>
      <c r="R346" s="373"/>
      <c r="S346" s="373"/>
      <c r="T346" s="373"/>
      <c r="U346" s="373"/>
      <c r="V346" s="373"/>
      <c r="W346" s="373"/>
      <c r="X346" s="372"/>
      <c r="Y346" s="372"/>
    </row>
    <row r="347" spans="2:25" ht="15">
      <c r="B347" s="1019"/>
      <c r="C347" s="1020"/>
      <c r="D347" s="672"/>
      <c r="E347" s="451"/>
      <c r="F347" s="451"/>
      <c r="G347" s="451"/>
      <c r="H347" s="451"/>
      <c r="I347" s="451"/>
      <c r="J347" s="451"/>
      <c r="K347" s="451"/>
      <c r="L347" s="451"/>
      <c r="M347" s="451"/>
      <c r="N347" s="451"/>
      <c r="O347" s="452"/>
      <c r="P347" s="450">
        <f t="shared" si="86"/>
        <v>0</v>
      </c>
      <c r="Q347" s="373"/>
      <c r="R347" s="373"/>
      <c r="S347" s="373"/>
      <c r="T347" s="373"/>
      <c r="U347" s="373"/>
      <c r="V347" s="373"/>
      <c r="W347" s="373"/>
      <c r="X347" s="372"/>
      <c r="Y347" s="372"/>
    </row>
    <row r="348" spans="2:25" ht="15.75" thickBot="1">
      <c r="B348" s="1033"/>
      <c r="C348" s="1034"/>
      <c r="D348" s="673"/>
      <c r="E348" s="674"/>
      <c r="F348" s="674"/>
      <c r="G348" s="674"/>
      <c r="H348" s="674"/>
      <c r="I348" s="674"/>
      <c r="J348" s="674"/>
      <c r="K348" s="674"/>
      <c r="L348" s="674"/>
      <c r="M348" s="674"/>
      <c r="N348" s="674"/>
      <c r="O348" s="675"/>
      <c r="P348" s="450">
        <f>SUM(D348:O348)</f>
        <v>0</v>
      </c>
      <c r="Q348" s="373"/>
      <c r="R348" s="373"/>
      <c r="S348" s="373"/>
      <c r="T348" s="373"/>
      <c r="U348" s="373"/>
      <c r="V348" s="373"/>
      <c r="W348" s="373"/>
      <c r="X348" s="372"/>
      <c r="Y348" s="372"/>
    </row>
    <row r="349" spans="2:25" ht="15.75" thickBot="1">
      <c r="B349" s="1037" t="s">
        <v>216</v>
      </c>
      <c r="C349" s="1038"/>
      <c r="D349" s="669">
        <f>SUM(D341:D348)</f>
        <v>200000</v>
      </c>
      <c r="E349" s="669">
        <f>SUM(E341:E348)</f>
        <v>0</v>
      </c>
      <c r="F349" s="669">
        <f t="shared" ref="F349:O349" si="87">SUM(F341:F348)</f>
        <v>0</v>
      </c>
      <c r="G349" s="669">
        <f t="shared" si="87"/>
        <v>0</v>
      </c>
      <c r="H349" s="669">
        <f t="shared" si="87"/>
        <v>0</v>
      </c>
      <c r="I349" s="669">
        <f t="shared" si="87"/>
        <v>0</v>
      </c>
      <c r="J349" s="669">
        <f t="shared" si="87"/>
        <v>0</v>
      </c>
      <c r="K349" s="669">
        <f t="shared" si="87"/>
        <v>0</v>
      </c>
      <c r="L349" s="669">
        <f t="shared" si="87"/>
        <v>0</v>
      </c>
      <c r="M349" s="669">
        <f t="shared" si="87"/>
        <v>0</v>
      </c>
      <c r="N349" s="669">
        <f t="shared" si="87"/>
        <v>0</v>
      </c>
      <c r="O349" s="670">
        <f t="shared" si="87"/>
        <v>0</v>
      </c>
      <c r="P349" s="458">
        <f>SUM(D349:O349)</f>
        <v>200000</v>
      </c>
      <c r="Q349" s="373"/>
      <c r="R349" s="373"/>
      <c r="S349" s="373"/>
      <c r="T349" s="373"/>
      <c r="U349" s="373"/>
      <c r="V349" s="373"/>
      <c r="W349" s="373"/>
      <c r="X349" s="372"/>
      <c r="Y349" s="372"/>
    </row>
    <row r="350" spans="2:25" ht="15.75" thickBot="1">
      <c r="B350" s="28"/>
      <c r="C350" s="24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0"/>
      <c r="P350" s="400"/>
      <c r="Q350" s="373"/>
      <c r="R350" s="373"/>
      <c r="S350" s="373"/>
      <c r="T350" s="373"/>
      <c r="U350" s="373"/>
      <c r="V350" s="373"/>
      <c r="W350" s="373"/>
      <c r="X350" s="372"/>
      <c r="Y350" s="372"/>
    </row>
    <row r="351" spans="2:25" ht="22.5" customHeight="1" thickTop="1" thickBot="1">
      <c r="B351" s="1028" t="s">
        <v>160</v>
      </c>
      <c r="C351" s="1029"/>
      <c r="D351" s="1030" t="str">
        <f>IF(H10=TRUE,"LYO CYCLE COST APPLICABLE","")</f>
        <v/>
      </c>
      <c r="E351" s="1031"/>
      <c r="F351" s="580"/>
      <c r="G351" s="580"/>
      <c r="H351" s="580"/>
      <c r="I351" s="580"/>
      <c r="J351" s="580"/>
      <c r="K351" s="580"/>
      <c r="L351" s="676"/>
      <c r="M351" s="1035" t="s">
        <v>906</v>
      </c>
      <c r="N351" s="1036"/>
      <c r="O351" s="677">
        <f>IF('1.PM'!L16="EP04-EOU(H)",168000,IF('1.PM'!L16="EP18-ONCO(H)",850000,IF('1.PM'!L16="EP10-SPD(H)",700000," ")))</f>
        <v>168000</v>
      </c>
      <c r="P351" s="46" t="s">
        <v>205</v>
      </c>
      <c r="Q351" s="373"/>
      <c r="R351" s="373" t="str">
        <f>'1.PM'!L16</f>
        <v>EP04-EOU(H)</v>
      </c>
      <c r="S351" s="373"/>
      <c r="T351" s="373"/>
      <c r="U351" s="373"/>
      <c r="V351" s="373"/>
      <c r="W351" s="373"/>
      <c r="X351" s="372"/>
      <c r="Y351" s="372"/>
    </row>
    <row r="352" spans="2:25" ht="15">
      <c r="B352" s="989" t="s">
        <v>218</v>
      </c>
      <c r="C352" s="990"/>
      <c r="D352" s="678">
        <v>1</v>
      </c>
      <c r="E352" s="679">
        <v>1</v>
      </c>
      <c r="F352" s="679">
        <v>1</v>
      </c>
      <c r="G352" s="679">
        <v>1</v>
      </c>
      <c r="H352" s="679"/>
      <c r="I352" s="679"/>
      <c r="J352" s="679"/>
      <c r="K352" s="679"/>
      <c r="L352" s="679"/>
      <c r="M352" s="679"/>
      <c r="N352" s="679"/>
      <c r="O352" s="680"/>
      <c r="P352" s="475">
        <f>SUM(D352:O352)</f>
        <v>4</v>
      </c>
      <c r="Q352" s="373"/>
      <c r="R352" s="373"/>
      <c r="S352" s="373"/>
      <c r="T352" s="373"/>
      <c r="U352" s="373"/>
      <c r="V352" s="373"/>
      <c r="W352" s="373"/>
      <c r="X352" s="372"/>
      <c r="Y352" s="372"/>
    </row>
    <row r="353" spans="2:27" ht="15.75" thickBot="1">
      <c r="B353" s="991" t="s">
        <v>219</v>
      </c>
      <c r="C353" s="992"/>
      <c r="D353" s="681">
        <v>3</v>
      </c>
      <c r="E353" s="682">
        <v>3</v>
      </c>
      <c r="F353" s="682">
        <v>3</v>
      </c>
      <c r="G353" s="682">
        <v>3</v>
      </c>
      <c r="H353" s="682"/>
      <c r="I353" s="682"/>
      <c r="J353" s="682"/>
      <c r="K353" s="682"/>
      <c r="L353" s="682"/>
      <c r="M353" s="682"/>
      <c r="N353" s="682"/>
      <c r="O353" s="683"/>
      <c r="P353" s="475">
        <f>SUM(D353:O353)</f>
        <v>12</v>
      </c>
      <c r="Q353" s="373"/>
      <c r="R353" s="373"/>
      <c r="S353" s="373"/>
      <c r="T353" s="373"/>
      <c r="U353" s="373"/>
      <c r="V353" s="373"/>
      <c r="W353" s="373"/>
      <c r="X353" s="372"/>
      <c r="Y353" s="372"/>
    </row>
    <row r="354" spans="2:27" ht="15.75" thickBot="1">
      <c r="B354" s="341" t="s">
        <v>216</v>
      </c>
      <c r="C354" s="103"/>
      <c r="D354" s="617">
        <f>IF($D$351="LYO CYCLE COST APPLICABLE",SUM(D352:D353)*$O$351+340000*SUM(D352:D353),SUM(D352:D353)*$O$351)</f>
        <v>672000</v>
      </c>
      <c r="E354" s="617">
        <f t="shared" ref="E354:O354" si="88">IF($D$351="LYO CYCLE COST APPLICABLE",SUM(E352:E353)*$O$351+340000*SUM(E352:E353),SUM(E352:E353)*$O$351)</f>
        <v>672000</v>
      </c>
      <c r="F354" s="617">
        <f>IF($D$351="LYO CYCLE COST APPLICABLE",SUM(F352:F353)*$O$351+340000*SUM(F352:F353),SUM(F352:F353)*$O$351)</f>
        <v>672000</v>
      </c>
      <c r="G354" s="617">
        <f t="shared" si="88"/>
        <v>672000</v>
      </c>
      <c r="H354" s="617">
        <f t="shared" si="88"/>
        <v>0</v>
      </c>
      <c r="I354" s="617">
        <f t="shared" si="88"/>
        <v>0</v>
      </c>
      <c r="J354" s="617">
        <f t="shared" si="88"/>
        <v>0</v>
      </c>
      <c r="K354" s="617">
        <f t="shared" si="88"/>
        <v>0</v>
      </c>
      <c r="L354" s="617">
        <f t="shared" si="88"/>
        <v>0</v>
      </c>
      <c r="M354" s="617">
        <f t="shared" si="88"/>
        <v>0</v>
      </c>
      <c r="N354" s="617">
        <f t="shared" si="88"/>
        <v>0</v>
      </c>
      <c r="O354" s="617">
        <f t="shared" si="88"/>
        <v>0</v>
      </c>
      <c r="P354" s="458">
        <f>SUM(D354:O354)</f>
        <v>2688000</v>
      </c>
      <c r="Q354" s="373"/>
      <c r="R354" s="373"/>
      <c r="S354" s="373"/>
      <c r="T354" s="373"/>
      <c r="U354" s="373"/>
      <c r="V354" s="373"/>
      <c r="W354" s="373"/>
      <c r="X354" s="372"/>
      <c r="Y354" s="372"/>
    </row>
    <row r="355" spans="2:27" ht="15">
      <c r="B355" s="370"/>
      <c r="C355" s="211"/>
      <c r="D355" s="566">
        <f>IF(H10="TRUE",SUM(D352:D353)*340000,0)</f>
        <v>0</v>
      </c>
      <c r="E355" s="566"/>
      <c r="F355" s="566"/>
      <c r="G355" s="566"/>
      <c r="H355" s="566"/>
      <c r="I355" s="566"/>
      <c r="J355" s="566"/>
      <c r="K355" s="566"/>
      <c r="L355" s="566"/>
      <c r="M355" s="566"/>
      <c r="N355" s="566"/>
      <c r="O355" s="566"/>
      <c r="P355" s="410"/>
      <c r="Q355" s="373"/>
      <c r="R355" s="373"/>
      <c r="S355" s="373"/>
      <c r="T355" s="373"/>
      <c r="U355" s="373"/>
      <c r="V355" s="373"/>
      <c r="W355" s="373"/>
      <c r="X355" s="372"/>
      <c r="Y355" s="372"/>
    </row>
    <row r="356" spans="2:27" ht="15.75" thickBot="1">
      <c r="B356" s="28"/>
      <c r="C356" s="24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373"/>
      <c r="R356" s="373"/>
      <c r="S356" s="373"/>
      <c r="T356" s="373"/>
      <c r="U356" s="373"/>
      <c r="V356" s="373"/>
      <c r="W356" s="373"/>
      <c r="X356" s="372"/>
      <c r="Y356" s="372"/>
    </row>
    <row r="357" spans="2:27" ht="15.75" hidden="1" customHeight="1" thickBot="1">
      <c r="B357" s="24"/>
      <c r="C357" s="24"/>
      <c r="D357" s="372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76">
        <f>IF(ISBLANK(D9),"",INDEX(List!C2:C7,MATCH(D9,List!B2:B7,0)))</f>
        <v>80</v>
      </c>
      <c r="P357" s="476">
        <f>IF(ISBLANK(D9),"",INDEX(List!D2:D7,MATCH(D9,List!B2:B7,0)))</f>
        <v>0.3</v>
      </c>
      <c r="Q357" s="373"/>
      <c r="R357" s="373"/>
      <c r="S357" s="373"/>
      <c r="T357" s="373"/>
      <c r="U357" s="373"/>
      <c r="V357" s="373"/>
      <c r="W357" s="373"/>
      <c r="X357" s="372"/>
      <c r="Y357" s="372"/>
    </row>
    <row r="358" spans="2:27" ht="16.5" thickTop="1" thickBot="1">
      <c r="B358" s="1017" t="s">
        <v>797</v>
      </c>
      <c r="C358" s="1001"/>
      <c r="D358" s="998"/>
      <c r="E358" s="998"/>
      <c r="F358" s="998"/>
      <c r="G358" s="998"/>
      <c r="H358" s="998"/>
      <c r="I358" s="998"/>
      <c r="J358" s="998"/>
      <c r="K358" s="998"/>
      <c r="L358" s="1018"/>
      <c r="M358" s="1035" t="s">
        <v>902</v>
      </c>
      <c r="N358" s="1036"/>
      <c r="O358" s="677">
        <v>1350</v>
      </c>
      <c r="P358" s="46" t="s">
        <v>205</v>
      </c>
      <c r="Q358" s="46" t="s">
        <v>764</v>
      </c>
      <c r="R358" s="1067" t="s">
        <v>901</v>
      </c>
      <c r="S358" s="1068"/>
      <c r="T358" s="46" t="s">
        <v>912</v>
      </c>
      <c r="U358" s="477">
        <f>COUNTA('1.PM'!C4:N4)</f>
        <v>4</v>
      </c>
      <c r="V358" s="478">
        <f>U358-W358</f>
        <v>0</v>
      </c>
      <c r="W358" s="479">
        <f>COUNTIF('1.PM'!C5:N5,TRUE)</f>
        <v>4</v>
      </c>
      <c r="X358" s="480" t="s">
        <v>915</v>
      </c>
      <c r="Y358" s="480" t="s">
        <v>916</v>
      </c>
      <c r="Z358" s="481"/>
      <c r="AA358" s="481"/>
    </row>
    <row r="359" spans="2:27" ht="15">
      <c r="B359" s="989" t="s">
        <v>792</v>
      </c>
      <c r="C359" s="990"/>
      <c r="D359" s="685">
        <f>IF(ISBLANK('1.PM'!C$4),0,($U359/$U$358)*8)</f>
        <v>1.2</v>
      </c>
      <c r="E359" s="686">
        <f>IF(ISBLANK('1.PM'!D$4),0,($U359/$U$358)*8)</f>
        <v>1.2</v>
      </c>
      <c r="F359" s="686">
        <f>IF(ISBLANK('1.PM'!E$4),0,($U359/$U$358)*8)</f>
        <v>1.2</v>
      </c>
      <c r="G359" s="686">
        <f>IF(ISBLANK('1.PM'!F$4),0,($U359/$U$358)*8)</f>
        <v>1.2</v>
      </c>
      <c r="H359" s="686">
        <f>IF(ISBLANK('1.PM'!G$4),0,($U359/$U$358)*8)</f>
        <v>0</v>
      </c>
      <c r="I359" s="686">
        <f>IF(ISBLANK('1.PM'!H$4),0,($U359/$U$358)*8)</f>
        <v>0</v>
      </c>
      <c r="J359" s="686">
        <f>IF(ISBLANK('1.PM'!I$4),0,($U359/$U$358)*8)</f>
        <v>0</v>
      </c>
      <c r="K359" s="686">
        <f>IF(ISBLANK('1.PM'!J$4),0,($U359/$U$358)*8)</f>
        <v>0</v>
      </c>
      <c r="L359" s="686">
        <f>IF(ISBLANK('1.PM'!K$4),0,($U359/$U$358)*8)</f>
        <v>0</v>
      </c>
      <c r="M359" s="686">
        <f>IF(ISBLANK('1.PM'!L$4),0,($U359/$U$358)*8)</f>
        <v>0</v>
      </c>
      <c r="N359" s="686">
        <f>IF(ISBLANK('1.PM'!M$4),0,($U359/$U$358)*8)</f>
        <v>0</v>
      </c>
      <c r="O359" s="687">
        <f>IF(ISBLANK('1.PM'!N$4),0,($U359/$U$358)*8)</f>
        <v>0</v>
      </c>
      <c r="P359" s="483">
        <f>SUM(D359:O359)</f>
        <v>4.8</v>
      </c>
      <c r="Q359" s="484">
        <v>2</v>
      </c>
      <c r="R359" s="1071" t="s">
        <v>792</v>
      </c>
      <c r="S359" s="1072"/>
      <c r="T359" s="485">
        <v>0.3</v>
      </c>
      <c r="U359" s="486">
        <f>T359*Q359</f>
        <v>0.6</v>
      </c>
      <c r="V359" s="486"/>
      <c r="W359" s="486"/>
      <c r="X359" s="481"/>
      <c r="Y359" s="481"/>
      <c r="Z359" s="481"/>
      <c r="AA359" s="481"/>
    </row>
    <row r="360" spans="2:27" ht="15">
      <c r="B360" s="989" t="s">
        <v>793</v>
      </c>
      <c r="C360" s="990"/>
      <c r="D360" s="688">
        <f>IF(ISBLANK('1.PM'!C$4),0,($U360/$U$358)*8)</f>
        <v>8</v>
      </c>
      <c r="E360" s="482">
        <f>IF(ISBLANK('1.PM'!D$4),0,($U360/$U$358)*8)</f>
        <v>8</v>
      </c>
      <c r="F360" s="482">
        <f>IF(ISBLANK('1.PM'!E$4),0,($U360/$U$358)*8)</f>
        <v>8</v>
      </c>
      <c r="G360" s="482">
        <f>IF(ISBLANK('1.PM'!F$4),0,($U360/$U$358)*8)</f>
        <v>8</v>
      </c>
      <c r="H360" s="482">
        <f>IF(ISBLANK('1.PM'!G$4),0,($U360/$U$358)*8)</f>
        <v>0</v>
      </c>
      <c r="I360" s="482">
        <f>IF(ISBLANK('1.PM'!H$4),0,($U360/$U$358)*8)</f>
        <v>0</v>
      </c>
      <c r="J360" s="482">
        <f>IF(ISBLANK('1.PM'!I$4),0,($U360/$U$358)*8)</f>
        <v>0</v>
      </c>
      <c r="K360" s="482">
        <f>IF(ISBLANK('1.PM'!J$4),0,($U360/$U$358)*8)</f>
        <v>0</v>
      </c>
      <c r="L360" s="482">
        <f>IF(ISBLANK('1.PM'!K$4),0,($U360/$U$358)*8)</f>
        <v>0</v>
      </c>
      <c r="M360" s="482">
        <f>IF(ISBLANK('1.PM'!L$4),0,($U360/$U$358)*8)</f>
        <v>0</v>
      </c>
      <c r="N360" s="482">
        <f>IF(ISBLANK('1.PM'!M$4),0,($U360/$U$358)*8)</f>
        <v>0</v>
      </c>
      <c r="O360" s="689">
        <f>IF(ISBLANK('1.PM'!N$4),0,($U360/$U$358)*8)</f>
        <v>0</v>
      </c>
      <c r="P360" s="483">
        <f t="shared" ref="P360:P367" si="89">SUM(D360:O360)</f>
        <v>32</v>
      </c>
      <c r="Q360" s="484">
        <v>2</v>
      </c>
      <c r="R360" s="1071" t="s">
        <v>793</v>
      </c>
      <c r="S360" s="1072"/>
      <c r="T360" s="485">
        <v>2</v>
      </c>
      <c r="U360" s="486">
        <f>T360*Q360</f>
        <v>4</v>
      </c>
      <c r="V360" s="486"/>
      <c r="W360" s="486"/>
      <c r="X360" s="481"/>
      <c r="Y360" s="481"/>
      <c r="Z360" s="481"/>
      <c r="AA360" s="481"/>
    </row>
    <row r="361" spans="2:27" ht="15">
      <c r="B361" s="989" t="s">
        <v>3</v>
      </c>
      <c r="C361" s="990"/>
      <c r="D361" s="688">
        <f>IF(ISBLANK('1.PM'!C$4),0,(IF('1.PM'!C$5=FALSE,($X$361/$V$358),($Y$361/$W$358))))</f>
        <v>72</v>
      </c>
      <c r="E361" s="482">
        <f>IF(ISBLANK('1.PM'!D$4),0,(IF('1.PM'!D$5=FALSE,($X$361/$V$358),($Y$361/$W$358))))</f>
        <v>72</v>
      </c>
      <c r="F361" s="482">
        <f>IF(ISBLANK('1.PM'!E$4),0,(IF('1.PM'!E$5=FALSE,($X$361/$V$358),($Y$361/$W$358))))</f>
        <v>72</v>
      </c>
      <c r="G361" s="482">
        <f>IF(ISBLANK('1.PM'!F$4),0,(IF('1.PM'!F$5=FALSE,($X$361/$V$358),($Y$361/$W$358))))</f>
        <v>72</v>
      </c>
      <c r="H361" s="482">
        <f>IF(ISBLANK('1.PM'!G$4),0,(IF('1.PM'!G$5=FALSE,($X$361/$V$358),($Y$361/$W$358))))</f>
        <v>0</v>
      </c>
      <c r="I361" s="482">
        <f>IF(ISBLANK('1.PM'!H$4),0,(IF('1.PM'!H$5=FALSE,($X$361/$V$358),($Y$361/$W$358))))</f>
        <v>0</v>
      </c>
      <c r="J361" s="482">
        <f>IF(ISBLANK('1.PM'!I$4),0,(IF('1.PM'!I$5=FALSE,($X$361/$V$358),($Y$361/$W$358))))</f>
        <v>0</v>
      </c>
      <c r="K361" s="482">
        <f>IF(ISBLANK('1.PM'!J$4),0,(IF('1.PM'!J$5=FALSE,($X$361/$V$358),($Y$361/$W$358))))</f>
        <v>0</v>
      </c>
      <c r="L361" s="482">
        <f>IF(ISBLANK('1.PM'!K$4),0,(IF('1.PM'!K$5=FALSE,($X$361/$V$358),($Y$361/$W$358))))</f>
        <v>0</v>
      </c>
      <c r="M361" s="482">
        <f>IF(ISBLANK('1.PM'!L$4),0,(IF('1.PM'!L$5=FALSE,($X$361/$V$358),($Y$361/$W$358))))</f>
        <v>0</v>
      </c>
      <c r="N361" s="482">
        <f>IF(ISBLANK('1.PM'!M$4),0,(IF('1.PM'!M$5=FALSE,($X$361/$V$358),($Y$361/$W$358))))</f>
        <v>0</v>
      </c>
      <c r="O361" s="689">
        <f>IF(ISBLANK('1.PM'!N$4),0,(IF('1.PM'!N$5=FALSE,($X$361/$V$358),($Y$361/$W$358))))</f>
        <v>0</v>
      </c>
      <c r="P361" s="483">
        <f>SUM(D361:O361)</f>
        <v>288</v>
      </c>
      <c r="Q361" s="484">
        <v>90</v>
      </c>
      <c r="R361" s="1071" t="s">
        <v>3</v>
      </c>
      <c r="S361" s="1072"/>
      <c r="T361" s="485">
        <v>0.5</v>
      </c>
      <c r="U361" s="486">
        <f t="shared" ref="U361:U369" si="90">T361*Q361</f>
        <v>45</v>
      </c>
      <c r="V361" s="486">
        <f>U361*((100-O357)/100)</f>
        <v>9</v>
      </c>
      <c r="W361" s="486">
        <f>U361-V361</f>
        <v>36</v>
      </c>
      <c r="X361" s="487">
        <f>V361*8</f>
        <v>72</v>
      </c>
      <c r="Y361" s="487">
        <f>W361*8</f>
        <v>288</v>
      </c>
      <c r="Z361" s="481"/>
      <c r="AA361" s="481"/>
    </row>
    <row r="362" spans="2:27" ht="15">
      <c r="B362" s="989" t="s">
        <v>979</v>
      </c>
      <c r="C362" s="990"/>
      <c r="D362" s="688">
        <f>IF(ISBLANK('1.PM'!C$4),0,(IF('1.PM'!C$5=FALSE,($X$362/$V$358),($Y$362/$W$358))))</f>
        <v>115.2</v>
      </c>
      <c r="E362" s="482">
        <f>IF(ISBLANK('1.PM'!D$4),0,(IF('1.PM'!D$5=FALSE,($X$362/$V$358),($Y$362/$W$358))))</f>
        <v>115.2</v>
      </c>
      <c r="F362" s="482">
        <f>IF(ISBLANK('1.PM'!E$4),0,(IF('1.PM'!E$5=FALSE,($X$362/$V$358),($Y$362/$W$358))))</f>
        <v>115.2</v>
      </c>
      <c r="G362" s="482">
        <f>IF(ISBLANK('1.PM'!F$4),0,(IF('1.PM'!F$5=FALSE,($X$362/$V$358),($Y$362/$W$358))))</f>
        <v>115.2</v>
      </c>
      <c r="H362" s="482">
        <f>IF(ISBLANK('1.PM'!G$4),0,(IF('1.PM'!G$5=FALSE,($X$362/$V$358),($Y$362/$W$358))))</f>
        <v>0</v>
      </c>
      <c r="I362" s="482">
        <f>IF(ISBLANK('1.PM'!H$4),0,(IF('1.PM'!H$5=FALSE,($X$362/$V$358),($Y$362/$W$358))))</f>
        <v>0</v>
      </c>
      <c r="J362" s="482">
        <f>IF(ISBLANK('1.PM'!I$4),0,(IF('1.PM'!I$5=FALSE,($X$362/$V$358),($Y$362/$W$358))))</f>
        <v>0</v>
      </c>
      <c r="K362" s="482">
        <f>IF(ISBLANK('1.PM'!J$4),0,(IF('1.PM'!J$5=FALSE,($X$362/$V$358),($Y$362/$W$358))))</f>
        <v>0</v>
      </c>
      <c r="L362" s="482">
        <f>IF(ISBLANK('1.PM'!K$4),0,(IF('1.PM'!K$5=FALSE,($X$362/$V$358),($Y$362/$W$358))))</f>
        <v>0</v>
      </c>
      <c r="M362" s="482">
        <f>IF(ISBLANK('1.PM'!L$4),0,(IF('1.PM'!L$5=FALSE,($X$362/$V$358),($Y$362/$W$358))))</f>
        <v>0</v>
      </c>
      <c r="N362" s="482">
        <f>IF(ISBLANK('1.PM'!M$4),0,(IF('1.PM'!M$5=FALSE,($X$362/$V$358),($Y$362/$W$358))))</f>
        <v>0</v>
      </c>
      <c r="O362" s="689">
        <f>IF(ISBLANK('1.PM'!N$4),0,(IF('1.PM'!N$5=FALSE,($X$362/$V$358),($Y$362/$W$358))))</f>
        <v>0</v>
      </c>
      <c r="P362" s="483">
        <f t="shared" si="89"/>
        <v>460.8</v>
      </c>
      <c r="Q362" s="484">
        <v>60</v>
      </c>
      <c r="R362" s="1071" t="s">
        <v>979</v>
      </c>
      <c r="S362" s="1072"/>
      <c r="T362" s="485">
        <v>1.2</v>
      </c>
      <c r="U362" s="486">
        <f t="shared" si="90"/>
        <v>72</v>
      </c>
      <c r="V362" s="486">
        <f>U362*((100-O357)/100)</f>
        <v>14.4</v>
      </c>
      <c r="W362" s="486">
        <f>U362-V362</f>
        <v>57.6</v>
      </c>
      <c r="X362" s="487">
        <f>V362*8</f>
        <v>115.2</v>
      </c>
      <c r="Y362" s="487">
        <f>W362*8</f>
        <v>460.8</v>
      </c>
      <c r="Z362" s="481"/>
      <c r="AA362" s="481"/>
    </row>
    <row r="363" spans="2:27" ht="15">
      <c r="B363" s="989" t="s">
        <v>794</v>
      </c>
      <c r="C363" s="990"/>
      <c r="D363" s="688">
        <f>IF(ISBLANK('1.PM'!C$4),0,(IF('1.PM'!C$5=FALSE,(0),(($U363)*8))))</f>
        <v>0</v>
      </c>
      <c r="E363" s="482">
        <f>IF(ISBLANK('1.PM'!D$4),0,(IF('1.PM'!D$5=FALSE,(0),(($U363)*8))))</f>
        <v>0</v>
      </c>
      <c r="F363" s="482">
        <f>IF(ISBLANK('1.PM'!E$4),0,(IF('1.PM'!E$5=FALSE,(0),(($U363)*8))))</f>
        <v>0</v>
      </c>
      <c r="G363" s="482">
        <f>IF(ISBLANK('1.PM'!F$4),0,(IF('1.PM'!F$5=FALSE,(0),(($U363)*8))))</f>
        <v>0</v>
      </c>
      <c r="H363" s="482">
        <f>IF(ISBLANK('1.PM'!G$4),0,(IF('1.PM'!G$5=FALSE,(0),(($U363)*8))))</f>
        <v>0</v>
      </c>
      <c r="I363" s="482">
        <f>IF(ISBLANK('1.PM'!H$4),0,(IF('1.PM'!H$5=FALSE,(0),(($U363)*8))))</f>
        <v>0</v>
      </c>
      <c r="J363" s="482">
        <f>IF(ISBLANK('1.PM'!I$4),0,(IF('1.PM'!I$5=FALSE,(0),(($U363)*8))))</f>
        <v>0</v>
      </c>
      <c r="K363" s="482">
        <f>IF(ISBLANK('1.PM'!J$4),0,(IF('1.PM'!J$5=FALSE,(0),(($U363)*8))))</f>
        <v>0</v>
      </c>
      <c r="L363" s="482">
        <f>IF(ISBLANK('1.PM'!K$4),0,(IF('1.PM'!K$5=FALSE,(0),(($U363)*8))))</f>
        <v>0</v>
      </c>
      <c r="M363" s="482">
        <f>IF(ISBLANK('1.PM'!L$4),0,(IF('1.PM'!L$5=FALSE,(0),(($U363)*8))))</f>
        <v>0</v>
      </c>
      <c r="N363" s="482">
        <f>IF(ISBLANK('1.PM'!M$4),0,(IF('1.PM'!M$5=FALSE,(0),(($U363)*8))))</f>
        <v>0</v>
      </c>
      <c r="O363" s="689">
        <f>IF(ISBLANK('1.PM'!N$4),0,(IF('1.PM'!N$5=FALSE,(0),(($U363)*8))))</f>
        <v>0</v>
      </c>
      <c r="P363" s="483">
        <f t="shared" si="89"/>
        <v>0</v>
      </c>
      <c r="Q363" s="484"/>
      <c r="R363" s="1071" t="s">
        <v>794</v>
      </c>
      <c r="S363" s="1072"/>
      <c r="T363" s="485">
        <v>0.2</v>
      </c>
      <c r="U363" s="486">
        <f t="shared" si="90"/>
        <v>0</v>
      </c>
      <c r="V363" s="486"/>
      <c r="W363" s="486"/>
      <c r="X363" s="487"/>
      <c r="Y363" s="487"/>
      <c r="Z363" s="481"/>
      <c r="AA363" s="481"/>
    </row>
    <row r="364" spans="2:27" ht="15">
      <c r="B364" s="989" t="s">
        <v>414</v>
      </c>
      <c r="C364" s="990"/>
      <c r="D364" s="688">
        <f>IF(ISBLANK('1.PM'!C$4),0,($U364/$U$358)*8)</f>
        <v>8</v>
      </c>
      <c r="E364" s="482">
        <f>IF(ISBLANK('1.PM'!D$4),0,($U364/$U$358)*8)</f>
        <v>8</v>
      </c>
      <c r="F364" s="482">
        <f>IF(ISBLANK('1.PM'!E$4),0,($U364/$U$358)*8)</f>
        <v>8</v>
      </c>
      <c r="G364" s="482">
        <f>IF(ISBLANK('1.PM'!F$4),0,($U364/$U$358)*8)</f>
        <v>8</v>
      </c>
      <c r="H364" s="482">
        <f>IF(ISBLANK('1.PM'!G$4),0,($U364/$U$358)*8)</f>
        <v>0</v>
      </c>
      <c r="I364" s="482">
        <f>IF(ISBLANK('1.PM'!H$4),0,($U364/$U$358)*8)</f>
        <v>0</v>
      </c>
      <c r="J364" s="482">
        <f>IF(ISBLANK('1.PM'!I$4),0,($U364/$U$358)*8)</f>
        <v>0</v>
      </c>
      <c r="K364" s="482">
        <f>IF(ISBLANK('1.PM'!J$4),0,($U364/$U$358)*8)</f>
        <v>0</v>
      </c>
      <c r="L364" s="482">
        <f>IF(ISBLANK('1.PM'!K$4),0,($U364/$U$358)*8)</f>
        <v>0</v>
      </c>
      <c r="M364" s="482">
        <f>IF(ISBLANK('1.PM'!L$4),0,($U364/$U$358)*8)</f>
        <v>0</v>
      </c>
      <c r="N364" s="482">
        <f>IF(ISBLANK('1.PM'!M$4),0,($U364/$U$358)*8)</f>
        <v>0</v>
      </c>
      <c r="O364" s="689">
        <f>IF(ISBLANK('1.PM'!N$4),0,($U364/$U$358)*8)</f>
        <v>0</v>
      </c>
      <c r="P364" s="483">
        <f t="shared" si="89"/>
        <v>32</v>
      </c>
      <c r="Q364" s="488">
        <v>4</v>
      </c>
      <c r="R364" s="1071" t="s">
        <v>414</v>
      </c>
      <c r="S364" s="1072"/>
      <c r="T364" s="485">
        <v>1</v>
      </c>
      <c r="U364" s="486">
        <f t="shared" si="90"/>
        <v>4</v>
      </c>
      <c r="V364" s="486"/>
      <c r="W364" s="486"/>
      <c r="X364" s="487"/>
      <c r="Y364" s="487"/>
      <c r="Z364" s="481"/>
      <c r="AA364" s="481"/>
    </row>
    <row r="365" spans="2:27" ht="15">
      <c r="B365" s="989" t="s">
        <v>795</v>
      </c>
      <c r="C365" s="990"/>
      <c r="D365" s="688">
        <f>IF(ISBLANK('1.PM'!C$4),0,($U365/$U$358)*8)</f>
        <v>60</v>
      </c>
      <c r="E365" s="482">
        <f>IF(ISBLANK('1.PM'!D$4),0,($U365/$U$358)*8)</f>
        <v>60</v>
      </c>
      <c r="F365" s="482">
        <f>IF(ISBLANK('1.PM'!E$4),0,($U365/$U$358)*8)</f>
        <v>60</v>
      </c>
      <c r="G365" s="482">
        <f>IF(ISBLANK('1.PM'!F$4),0,($U365/$U$358)*8)</f>
        <v>60</v>
      </c>
      <c r="H365" s="482">
        <f>IF(ISBLANK('1.PM'!G$4),0,($U365/$U$358)*8)</f>
        <v>0</v>
      </c>
      <c r="I365" s="482">
        <f>IF(ISBLANK('1.PM'!H$4),0,($U365/$U$358)*8)</f>
        <v>0</v>
      </c>
      <c r="J365" s="482">
        <f>IF(ISBLANK('1.PM'!I$4),0,($U365/$U$358)*8)</f>
        <v>0</v>
      </c>
      <c r="K365" s="482">
        <f>IF(ISBLANK('1.PM'!J$4),0,($U365/$U$358)*8)</f>
        <v>0</v>
      </c>
      <c r="L365" s="482">
        <f>IF(ISBLANK('1.PM'!K$4),0,($U365/$U$358)*8)</f>
        <v>0</v>
      </c>
      <c r="M365" s="482">
        <f>IF(ISBLANK('1.PM'!L$4),0,($U365/$U$358)*8)</f>
        <v>0</v>
      </c>
      <c r="N365" s="482">
        <f>IF(ISBLANK('1.PM'!M$4),0,($U365/$U$358)*8)</f>
        <v>0</v>
      </c>
      <c r="O365" s="689">
        <f>IF(ISBLANK('1.PM'!N$4),0,($U365/$U$358)*8)</f>
        <v>0</v>
      </c>
      <c r="P365" s="483">
        <f t="shared" si="89"/>
        <v>240</v>
      </c>
      <c r="Q365" s="484">
        <v>15</v>
      </c>
      <c r="R365" s="989" t="s">
        <v>795</v>
      </c>
      <c r="S365" s="1073"/>
      <c r="T365" s="485">
        <v>2</v>
      </c>
      <c r="U365" s="486">
        <f t="shared" si="90"/>
        <v>30</v>
      </c>
      <c r="V365" s="486"/>
      <c r="W365" s="486"/>
      <c r="X365" s="487"/>
      <c r="Y365" s="487"/>
      <c r="Z365" s="481"/>
      <c r="AA365" s="481"/>
    </row>
    <row r="366" spans="2:27" ht="15">
      <c r="B366" s="989" t="s">
        <v>219</v>
      </c>
      <c r="C366" s="990"/>
      <c r="D366" s="688">
        <f>IF(ISBLANK('1.PM'!C$4),0,($U366/$U$358)*8)</f>
        <v>24</v>
      </c>
      <c r="E366" s="482">
        <f>IF(ISBLANK('1.PM'!D$4),0,($U366/$U$358)*8)</f>
        <v>24</v>
      </c>
      <c r="F366" s="482">
        <f>IF(ISBLANK('1.PM'!E$4),0,($U366/$U$358)*8)</f>
        <v>24</v>
      </c>
      <c r="G366" s="482">
        <f>IF(ISBLANK('1.PM'!F$4),0,($U366/$U$358)*8)</f>
        <v>24</v>
      </c>
      <c r="H366" s="482">
        <f>IF(ISBLANK('1.PM'!G$4),0,($U366/$U$358)*8)</f>
        <v>0</v>
      </c>
      <c r="I366" s="482">
        <f>IF(ISBLANK('1.PM'!H$4),0,($U366/$U$358)*8)</f>
        <v>0</v>
      </c>
      <c r="J366" s="482">
        <f>IF(ISBLANK('1.PM'!I$4),0,($U366/$U$358)*8)</f>
        <v>0</v>
      </c>
      <c r="K366" s="482">
        <f>IF(ISBLANK('1.PM'!J$4),0,($U366/$U$358)*8)</f>
        <v>0</v>
      </c>
      <c r="L366" s="482">
        <f>IF(ISBLANK('1.PM'!K$4),0,($U366/$U$358)*8)</f>
        <v>0</v>
      </c>
      <c r="M366" s="482">
        <f>IF(ISBLANK('1.PM'!L$4),0,($U366/$U$358)*8)</f>
        <v>0</v>
      </c>
      <c r="N366" s="482">
        <f>IF(ISBLANK('1.PM'!M$4),0,($U366/$U$358)*8)</f>
        <v>0</v>
      </c>
      <c r="O366" s="689">
        <f>IF(ISBLANK('1.PM'!N$4),0,($U366/$U$358)*8)</f>
        <v>0</v>
      </c>
      <c r="P366" s="483">
        <f t="shared" si="89"/>
        <v>96</v>
      </c>
      <c r="Q366" s="488">
        <v>12</v>
      </c>
      <c r="R366" s="1071" t="s">
        <v>219</v>
      </c>
      <c r="S366" s="1072"/>
      <c r="T366" s="485">
        <v>1</v>
      </c>
      <c r="U366" s="486">
        <f t="shared" si="90"/>
        <v>12</v>
      </c>
      <c r="V366" s="486"/>
      <c r="W366" s="486"/>
      <c r="X366" s="487"/>
      <c r="Y366" s="487"/>
      <c r="Z366" s="481"/>
      <c r="AA366" s="481"/>
    </row>
    <row r="367" spans="2:27" ht="15">
      <c r="B367" s="989" t="s">
        <v>796</v>
      </c>
      <c r="C367" s="990"/>
      <c r="D367" s="688">
        <f>IF(ISBLANK('1.PM'!C$4),0,(IF('1.PM'!C$5=FALSE,(0),(($U367)*8))))</f>
        <v>48</v>
      </c>
      <c r="E367" s="482">
        <f>IF(ISBLANK('1.PM'!D$4),0,(IF('1.PM'!D$5=FALSE,(0),(($U367)*8))))</f>
        <v>48</v>
      </c>
      <c r="F367" s="482">
        <f>IF(ISBLANK('1.PM'!E$4),0,(IF('1.PM'!E$5=FALSE,(0),(($U367)*8))))</f>
        <v>48</v>
      </c>
      <c r="G367" s="482">
        <f>IF(ISBLANK('1.PM'!F$4),0,(IF('1.PM'!F$5=FALSE,(0),(($U367)*8))))</f>
        <v>48</v>
      </c>
      <c r="H367" s="482">
        <f>IF(ISBLANK('1.PM'!G$4),0,(IF('1.PM'!G$5=FALSE,(0),(($U367)*8))))</f>
        <v>0</v>
      </c>
      <c r="I367" s="482">
        <f>IF(ISBLANK('1.PM'!H$4),0,(IF('1.PM'!H$5=FALSE,(0),(($U367)*8))))</f>
        <v>0</v>
      </c>
      <c r="J367" s="482">
        <f>IF(ISBLANK('1.PM'!I$4),0,(IF('1.PM'!I$5=FALSE,(0),(($U367)*8))))</f>
        <v>0</v>
      </c>
      <c r="K367" s="482">
        <f>IF(ISBLANK('1.PM'!J$4),0,(IF('1.PM'!J$5=FALSE,(0),(($U367)*8))))</f>
        <v>0</v>
      </c>
      <c r="L367" s="482">
        <f>IF(ISBLANK('1.PM'!K$4),0,(IF('1.PM'!K$5=FALSE,(0),(($U367)*8))))</f>
        <v>0</v>
      </c>
      <c r="M367" s="482">
        <f>IF(ISBLANK('1.PM'!L$4),0,(IF('1.PM'!L$5=FALSE,(0),(($U367)*8))))</f>
        <v>0</v>
      </c>
      <c r="N367" s="482">
        <f>IF(ISBLANK('1.PM'!M$4),0,(IF('1.PM'!M$5=FALSE,(0),(($U367)*8))))</f>
        <v>0</v>
      </c>
      <c r="O367" s="689">
        <f>IF(ISBLANK('1.PM'!N$4),0,(IF('1.PM'!N$5=FALSE,(0),(($U367)*8))))</f>
        <v>0</v>
      </c>
      <c r="P367" s="483">
        <f t="shared" si="89"/>
        <v>192</v>
      </c>
      <c r="Q367" s="484">
        <v>30</v>
      </c>
      <c r="R367" s="1071" t="s">
        <v>796</v>
      </c>
      <c r="S367" s="1072"/>
      <c r="T367" s="485">
        <v>0.2</v>
      </c>
      <c r="U367" s="486">
        <f t="shared" si="90"/>
        <v>6</v>
      </c>
      <c r="V367" s="486"/>
      <c r="W367" s="486"/>
      <c r="X367" s="487"/>
      <c r="Y367" s="487"/>
      <c r="Z367" s="481"/>
      <c r="AA367" s="481"/>
    </row>
    <row r="368" spans="2:27" ht="15">
      <c r="B368" s="989" t="s">
        <v>15</v>
      </c>
      <c r="C368" s="990"/>
      <c r="D368" s="688">
        <f>IF(ISBLANK('1.PM'!C$4),0,($U368/$U$358)*8)</f>
        <v>432</v>
      </c>
      <c r="E368" s="482">
        <f>IF(ISBLANK('1.PM'!D$4),0,($U368/$U$358)*8)</f>
        <v>432</v>
      </c>
      <c r="F368" s="482">
        <f>IF(ISBLANK('1.PM'!E$4),0,($U368/$U$358)*8)</f>
        <v>432</v>
      </c>
      <c r="G368" s="482">
        <f>IF(ISBLANK('1.PM'!F$4),0,($U368/$U$358)*8)</f>
        <v>432</v>
      </c>
      <c r="H368" s="482">
        <f>IF(ISBLANK('1.PM'!G$4),0,($U368/$U$358)*8)</f>
        <v>0</v>
      </c>
      <c r="I368" s="482">
        <f>IF(ISBLANK('1.PM'!H$4),0,($U368/$U$358)*8)</f>
        <v>0</v>
      </c>
      <c r="J368" s="482">
        <f>IF(ISBLANK('1.PM'!I$4),0,($U368/$U$358)*8)</f>
        <v>0</v>
      </c>
      <c r="K368" s="482">
        <f>IF(ISBLANK('1.PM'!J$4),0,($U368/$U$358)*8)</f>
        <v>0</v>
      </c>
      <c r="L368" s="482">
        <f>IF(ISBLANK('1.PM'!K$4),0,($U368/$U$358)*8)</f>
        <v>0</v>
      </c>
      <c r="M368" s="482">
        <f>IF(ISBLANK('1.PM'!L$4),0,($U368/$U$358)*8)</f>
        <v>0</v>
      </c>
      <c r="N368" s="482">
        <f>IF(ISBLANK('1.PM'!M$4),0,($U368/$U$358)*8)</f>
        <v>0</v>
      </c>
      <c r="O368" s="689">
        <f>IF(ISBLANK('1.PM'!N$4),0,($U368/$U$358)*8)</f>
        <v>0</v>
      </c>
      <c r="P368" s="483">
        <f t="shared" ref="P368:P373" si="91">SUM(D368:O368)</f>
        <v>1728</v>
      </c>
      <c r="Q368" s="484">
        <v>180</v>
      </c>
      <c r="R368" s="1071" t="s">
        <v>15</v>
      </c>
      <c r="S368" s="1072"/>
      <c r="T368" s="485">
        <f>U358*P357</f>
        <v>1.2</v>
      </c>
      <c r="U368" s="486">
        <f>T368*Q368</f>
        <v>216</v>
      </c>
      <c r="V368" s="486"/>
      <c r="W368" s="486"/>
      <c r="X368" s="487"/>
      <c r="Y368" s="487"/>
      <c r="Z368" s="481"/>
      <c r="AA368" s="481"/>
    </row>
    <row r="369" spans="2:27" ht="15.75" thickBot="1">
      <c r="B369" s="991" t="s">
        <v>156</v>
      </c>
      <c r="C369" s="992"/>
      <c r="D369" s="690">
        <f>IF(ISBLANK('1.PM'!C$4),0,(IF('1.PM'!C$5=FALSE,0,($Y$369/$W$358))))</f>
        <v>8</v>
      </c>
      <c r="E369" s="691">
        <f>IF(ISBLANK('1.PM'!D$4),0,(IF('1.PM'!D$5=FALSE,0,($Y$369/$W$358))))</f>
        <v>8</v>
      </c>
      <c r="F369" s="691">
        <f>IF(ISBLANK('1.PM'!E$4),0,(IF('1.PM'!E$5=FALSE,0,($Y$369/$W$358))))</f>
        <v>8</v>
      </c>
      <c r="G369" s="691">
        <f>IF(ISBLANK('1.PM'!F$4),0,(IF('1.PM'!F$5=FALSE,0,($Y$369/$W$358))))</f>
        <v>8</v>
      </c>
      <c r="H369" s="691">
        <f>IF(ISBLANK('1.PM'!G$4),0,(IF('1.PM'!G$5=FALSE,0,($Y$369/$W$358))))</f>
        <v>0</v>
      </c>
      <c r="I369" s="691">
        <f>IF(ISBLANK('1.PM'!H$4),0,(IF('1.PM'!H$5=FALSE,0,($Y$369/$W$358))))</f>
        <v>0</v>
      </c>
      <c r="J369" s="691">
        <f>IF(ISBLANK('1.PM'!I$4),0,(IF('1.PM'!I$5=FALSE,0,($Y$369/$W$358))))</f>
        <v>0</v>
      </c>
      <c r="K369" s="691">
        <f>IF(ISBLANK('1.PM'!J$4),0,(IF('1.PM'!J$5=FALSE,0,($Y$369/$W$358))))</f>
        <v>0</v>
      </c>
      <c r="L369" s="691">
        <f>IF(ISBLANK('1.PM'!K$4),0,(IF('1.PM'!K$5=FALSE,0,($Y$369/$W$358))))</f>
        <v>0</v>
      </c>
      <c r="M369" s="691">
        <f>IF(ISBLANK('1.PM'!L$4),0,(IF('1.PM'!L$5=FALSE,0,($Y$369/$W$358))))</f>
        <v>0</v>
      </c>
      <c r="N369" s="691">
        <f>IF(ISBLANK('1.PM'!M$4),0,(IF('1.PM'!M$5=FALSE,0,($Y$369/$W$358))))</f>
        <v>0</v>
      </c>
      <c r="O369" s="692">
        <f>IF(ISBLANK('1.PM'!N$4),0,(IF('1.PM'!N$5=FALSE,0,($Y$369/$W$358))))</f>
        <v>0</v>
      </c>
      <c r="P369" s="483">
        <f t="shared" si="91"/>
        <v>32</v>
      </c>
      <c r="Q369" s="489">
        <v>5</v>
      </c>
      <c r="R369" s="1065" t="s">
        <v>156</v>
      </c>
      <c r="S369" s="1066"/>
      <c r="T369" s="490">
        <v>1</v>
      </c>
      <c r="U369" s="486">
        <f t="shared" si="90"/>
        <v>5</v>
      </c>
      <c r="V369" s="486">
        <f>U369*((100-O357)/100)</f>
        <v>1</v>
      </c>
      <c r="W369" s="486">
        <f>U369-V369</f>
        <v>4</v>
      </c>
      <c r="X369" s="487">
        <f>V369*8</f>
        <v>8</v>
      </c>
      <c r="Y369" s="487">
        <f>W369*8</f>
        <v>32</v>
      </c>
      <c r="Z369" s="481"/>
      <c r="AA369" s="481"/>
    </row>
    <row r="370" spans="2:27" ht="16.5" thickTop="1" thickBot="1">
      <c r="B370" s="97" t="s">
        <v>217</v>
      </c>
      <c r="C370" s="98" t="s">
        <v>154</v>
      </c>
      <c r="D370" s="684">
        <f>((SUM(D359:D363)*$O$358))</f>
        <v>265140</v>
      </c>
      <c r="E370" s="684">
        <f t="shared" ref="E370:K370" si="92">((SUM(E359:E363)*$O$358))</f>
        <v>265140</v>
      </c>
      <c r="F370" s="684">
        <f t="shared" si="92"/>
        <v>265140</v>
      </c>
      <c r="G370" s="684">
        <f t="shared" si="92"/>
        <v>265140</v>
      </c>
      <c r="H370" s="684">
        <f t="shared" si="92"/>
        <v>0</v>
      </c>
      <c r="I370" s="684">
        <f t="shared" si="92"/>
        <v>0</v>
      </c>
      <c r="J370" s="684">
        <f t="shared" si="92"/>
        <v>0</v>
      </c>
      <c r="K370" s="684">
        <f t="shared" si="92"/>
        <v>0</v>
      </c>
      <c r="L370" s="684">
        <f>((SUM(L359:L363)*$O$358))</f>
        <v>0</v>
      </c>
      <c r="M370" s="684">
        <f>((SUM(M359:M363)*$O$358))</f>
        <v>0</v>
      </c>
      <c r="N370" s="684">
        <f>((SUM(N359:N363)*$O$358))</f>
        <v>0</v>
      </c>
      <c r="O370" s="684">
        <f>((SUM(O359:O363)*$O$358))</f>
        <v>0</v>
      </c>
      <c r="P370" s="394">
        <f t="shared" si="91"/>
        <v>1060560</v>
      </c>
      <c r="Q370" s="491">
        <f>SUM(Q364:Q366)+(MAX(Q361:Q362)+MAX(Q359:Q360)+Q368+Q369)</f>
        <v>308</v>
      </c>
      <c r="R370" s="1069">
        <f>Q370/365</f>
        <v>0.84383561643835614</v>
      </c>
      <c r="S370" s="1070"/>
      <c r="T370" s="373"/>
      <c r="U370" s="459"/>
      <c r="V370" s="459"/>
      <c r="W370" s="459"/>
      <c r="X370" s="481"/>
      <c r="Y370" s="481"/>
      <c r="Z370" s="481"/>
    </row>
    <row r="371" spans="2:27" ht="15.75" thickTop="1">
      <c r="B371" s="87"/>
      <c r="C371" s="83" t="s">
        <v>218</v>
      </c>
      <c r="D371" s="395">
        <f>D364*$O$358</f>
        <v>10800</v>
      </c>
      <c r="E371" s="395">
        <f t="shared" ref="E371:K371" si="93">E364*$O$358</f>
        <v>10800</v>
      </c>
      <c r="F371" s="395">
        <f t="shared" si="93"/>
        <v>10800</v>
      </c>
      <c r="G371" s="395">
        <f t="shared" si="93"/>
        <v>10800</v>
      </c>
      <c r="H371" s="395">
        <f t="shared" si="93"/>
        <v>0</v>
      </c>
      <c r="I371" s="395">
        <f t="shared" si="93"/>
        <v>0</v>
      </c>
      <c r="J371" s="395">
        <f t="shared" si="93"/>
        <v>0</v>
      </c>
      <c r="K371" s="395">
        <f t="shared" si="93"/>
        <v>0</v>
      </c>
      <c r="L371" s="395">
        <f>L364*$O$358</f>
        <v>0</v>
      </c>
      <c r="M371" s="395">
        <f>M364*$O$358</f>
        <v>0</v>
      </c>
      <c r="N371" s="395">
        <f>N364*$O$358</f>
        <v>0</v>
      </c>
      <c r="O371" s="395">
        <f>O364*$O$358</f>
        <v>0</v>
      </c>
      <c r="P371" s="396">
        <f t="shared" si="91"/>
        <v>43200</v>
      </c>
      <c r="Q371" s="1074" t="s">
        <v>933</v>
      </c>
      <c r="R371" s="1075"/>
      <c r="S371" s="1063">
        <f>SUM(P359:P369)</f>
        <v>3105.6</v>
      </c>
      <c r="T371" s="373"/>
      <c r="U371" s="373"/>
      <c r="V371" s="373"/>
      <c r="W371" s="373"/>
      <c r="X371" s="372"/>
      <c r="Y371" s="372"/>
    </row>
    <row r="372" spans="2:27" ht="15.75" thickBot="1">
      <c r="B372" s="87"/>
      <c r="C372" s="83" t="s">
        <v>219</v>
      </c>
      <c r="D372" s="395">
        <f>((SUM(D365:D369)*$O$358))</f>
        <v>772200</v>
      </c>
      <c r="E372" s="395">
        <f t="shared" ref="E372:K372" si="94">((SUM(E365:E369)*$O$358))</f>
        <v>772200</v>
      </c>
      <c r="F372" s="395">
        <f t="shared" si="94"/>
        <v>772200</v>
      </c>
      <c r="G372" s="395">
        <f t="shared" si="94"/>
        <v>772200</v>
      </c>
      <c r="H372" s="395">
        <f t="shared" si="94"/>
        <v>0</v>
      </c>
      <c r="I372" s="395">
        <f t="shared" si="94"/>
        <v>0</v>
      </c>
      <c r="J372" s="395">
        <f t="shared" si="94"/>
        <v>0</v>
      </c>
      <c r="K372" s="395">
        <f t="shared" si="94"/>
        <v>0</v>
      </c>
      <c r="L372" s="395">
        <f>((SUM(L364:L369)*$O$358))</f>
        <v>0</v>
      </c>
      <c r="M372" s="395">
        <f>((SUM(M364:M369)*$O$358))</f>
        <v>0</v>
      </c>
      <c r="N372" s="395">
        <f>((SUM(N364:N369)*$O$358))</f>
        <v>0</v>
      </c>
      <c r="O372" s="395">
        <f>((SUM(O364:O369)*$O$358))</f>
        <v>0</v>
      </c>
      <c r="P372" s="396">
        <f t="shared" si="91"/>
        <v>3088800</v>
      </c>
      <c r="Q372" s="1076"/>
      <c r="R372" s="1077"/>
      <c r="S372" s="1064"/>
      <c r="T372" s="373"/>
      <c r="U372" s="373"/>
      <c r="V372" s="373"/>
      <c r="W372" s="373"/>
      <c r="X372" s="372"/>
      <c r="Y372" s="372"/>
    </row>
    <row r="373" spans="2:27" ht="16.5" thickTop="1" thickBot="1">
      <c r="B373" s="341" t="s">
        <v>216</v>
      </c>
      <c r="C373" s="103"/>
      <c r="D373" s="471">
        <f>SUM(D370:D372)</f>
        <v>1048140</v>
      </c>
      <c r="E373" s="471">
        <f t="shared" ref="E373:O373" si="95">SUM(E370:E372)</f>
        <v>1048140</v>
      </c>
      <c r="F373" s="471">
        <f t="shared" si="95"/>
        <v>1048140</v>
      </c>
      <c r="G373" s="471">
        <f t="shared" si="95"/>
        <v>1048140</v>
      </c>
      <c r="H373" s="471">
        <f t="shared" si="95"/>
        <v>0</v>
      </c>
      <c r="I373" s="471">
        <f t="shared" si="95"/>
        <v>0</v>
      </c>
      <c r="J373" s="471">
        <f t="shared" si="95"/>
        <v>0</v>
      </c>
      <c r="K373" s="471">
        <f t="shared" si="95"/>
        <v>0</v>
      </c>
      <c r="L373" s="471">
        <f t="shared" si="95"/>
        <v>0</v>
      </c>
      <c r="M373" s="471">
        <f t="shared" si="95"/>
        <v>0</v>
      </c>
      <c r="N373" s="471">
        <f t="shared" si="95"/>
        <v>0</v>
      </c>
      <c r="O373" s="471">
        <f t="shared" si="95"/>
        <v>0</v>
      </c>
      <c r="P373" s="458">
        <f t="shared" si="91"/>
        <v>4192560</v>
      </c>
      <c r="Q373" s="373"/>
      <c r="R373" s="373"/>
      <c r="S373" s="373"/>
      <c r="T373" s="373"/>
      <c r="U373" s="373"/>
      <c r="V373" s="373"/>
      <c r="W373" s="373"/>
      <c r="X373" s="372"/>
      <c r="Y373" s="372"/>
    </row>
    <row r="374" spans="2:27" ht="15.75" thickBot="1">
      <c r="B374" s="28"/>
      <c r="C374" s="24"/>
      <c r="D374" s="400"/>
      <c r="E374" s="400"/>
      <c r="F374" s="400"/>
      <c r="G374" s="400"/>
      <c r="H374" s="400"/>
      <c r="I374" s="400"/>
      <c r="J374" s="400"/>
      <c r="K374" s="400"/>
      <c r="L374" s="400"/>
      <c r="M374" s="400"/>
      <c r="N374" s="400"/>
      <c r="O374" s="400"/>
      <c r="P374" s="400"/>
      <c r="Q374" s="373"/>
      <c r="R374" s="373"/>
      <c r="S374" s="373"/>
      <c r="T374" s="373"/>
      <c r="U374" s="373"/>
      <c r="V374" s="373"/>
      <c r="W374" s="373"/>
      <c r="X374" s="372"/>
      <c r="Y374" s="372"/>
    </row>
    <row r="375" spans="2:27" ht="15.75" thickTop="1">
      <c r="B375" s="997" t="s">
        <v>162</v>
      </c>
      <c r="C375" s="998"/>
      <c r="D375" s="998"/>
      <c r="E375" s="998"/>
      <c r="F375" s="998"/>
      <c r="G375" s="998"/>
      <c r="H375" s="998"/>
      <c r="I375" s="998"/>
      <c r="J375" s="998"/>
      <c r="K375" s="998"/>
      <c r="L375" s="998"/>
      <c r="M375" s="998"/>
      <c r="N375" s="998"/>
      <c r="O375" s="998"/>
      <c r="P375" s="46" t="s">
        <v>205</v>
      </c>
      <c r="Q375" s="373"/>
      <c r="R375" s="373"/>
      <c r="S375" s="373"/>
      <c r="T375" s="373"/>
      <c r="U375" s="373"/>
      <c r="V375" s="373"/>
      <c r="W375" s="373"/>
      <c r="X375" s="372"/>
      <c r="Y375" s="372"/>
    </row>
    <row r="376" spans="2:27" ht="15">
      <c r="B376" s="344">
        <f>IF(ISBLANK(C376),"",INDEX(List!$AP$2:$AP$4,MATCH($C376,List!$AO$2:$AO$4,0)))</f>
        <v>23</v>
      </c>
      <c r="C376" s="108" t="s">
        <v>962</v>
      </c>
      <c r="D376" s="466" t="str">
        <f>IF(D377=FALSE,"",B376/P377*100000)</f>
        <v/>
      </c>
      <c r="E376" s="466" t="str">
        <f>IF(E377=FALSE,"",B376/P377*100000)</f>
        <v/>
      </c>
      <c r="F376" s="466" t="str">
        <f>IF(F377=FALSE,"",B376/P377*100000)</f>
        <v/>
      </c>
      <c r="G376" s="466" t="str">
        <f>IF(G377=FALSE,"",B376/P377*100000)</f>
        <v/>
      </c>
      <c r="H376" s="466" t="str">
        <f>IF(H377=FALSE,"",B376/P377*100000)</f>
        <v/>
      </c>
      <c r="I376" s="466" t="str">
        <f>IF(I377=FALSE,"",B376/P377*100000)</f>
        <v/>
      </c>
      <c r="J376" s="466" t="str">
        <f>IF(J377=FALSE,"",B376/P377*100000)</f>
        <v/>
      </c>
      <c r="K376" s="466" t="str">
        <f>IF(K377=FALSE,"",B376/P377*100000)</f>
        <v/>
      </c>
      <c r="L376" s="466" t="str">
        <f>IF(L377=FALSE,"",B376/P377*100000)</f>
        <v/>
      </c>
      <c r="M376" s="466" t="str">
        <f>IF(M377=FALSE,"",B376/P377*100000)</f>
        <v/>
      </c>
      <c r="N376" s="466" t="str">
        <f>IF(N377=FALSE,"",B376/P377*100000)</f>
        <v/>
      </c>
      <c r="O376" s="492" t="str">
        <f>IF(O377=FALSE,"",B376/P377*100000)</f>
        <v/>
      </c>
      <c r="P376" s="450">
        <f>SUM(D376:O376)</f>
        <v>0</v>
      </c>
      <c r="Q376" s="373"/>
      <c r="R376" s="373"/>
      <c r="S376" s="373"/>
      <c r="T376" s="373"/>
      <c r="U376" s="373"/>
      <c r="V376" s="373"/>
      <c r="W376" s="373"/>
      <c r="X376" s="372"/>
      <c r="Y376" s="372"/>
    </row>
    <row r="377" spans="2:27" ht="15" hidden="1" customHeight="1">
      <c r="B377" s="999" t="str">
        <f>IF(ISBLANK(C377),"",INDEX(List!$AP$2:$AP$3,MATCH($C377,List!$AO$2:$AO$3,0)))</f>
        <v/>
      </c>
      <c r="C377" s="1000"/>
      <c r="D377" s="493" t="b">
        <v>0</v>
      </c>
      <c r="E377" s="493" t="b">
        <v>0</v>
      </c>
      <c r="F377" s="493" t="b">
        <v>0</v>
      </c>
      <c r="G377" s="493" t="b">
        <v>0</v>
      </c>
      <c r="H377" s="493" t="b">
        <v>0</v>
      </c>
      <c r="I377" s="493" t="b">
        <v>0</v>
      </c>
      <c r="J377" s="493" t="b">
        <v>0</v>
      </c>
      <c r="K377" s="493" t="b">
        <v>0</v>
      </c>
      <c r="L377" s="493" t="b">
        <v>0</v>
      </c>
      <c r="M377" s="493" t="b">
        <v>0</v>
      </c>
      <c r="N377" s="493" t="b">
        <v>0</v>
      </c>
      <c r="O377" s="494" t="b">
        <v>0</v>
      </c>
      <c r="P377" s="450">
        <f>COUNTIF(D377:O377,TRUE)</f>
        <v>0</v>
      </c>
      <c r="Q377" s="373"/>
      <c r="R377" s="373"/>
      <c r="S377" s="373"/>
      <c r="T377" s="373"/>
      <c r="U377" s="373"/>
      <c r="V377" s="373"/>
      <c r="W377" s="373"/>
      <c r="X377" s="372"/>
      <c r="Y377" s="372"/>
    </row>
    <row r="378" spans="2:27" ht="15">
      <c r="B378" s="344"/>
      <c r="C378" s="108"/>
      <c r="D378" s="466" t="str">
        <f>IF(D379=FALSE,"",B378/P379*100000)</f>
        <v/>
      </c>
      <c r="E378" s="466" t="str">
        <f>IF(E379=FALSE,"",B378/P379*100000)</f>
        <v/>
      </c>
      <c r="F378" s="466" t="str">
        <f>IF(F379=FALSE,"",B378/P379*100000)</f>
        <v/>
      </c>
      <c r="G378" s="466" t="str">
        <f>IF(G379=FALSE,"",B378/P379*100000)</f>
        <v/>
      </c>
      <c r="H378" s="466" t="str">
        <f>IF(H379=FALSE,"",B378/P379*100000)</f>
        <v/>
      </c>
      <c r="I378" s="466" t="str">
        <f>IF(I379=FALSE,"",B378/P379*100000)</f>
        <v/>
      </c>
      <c r="J378" s="466" t="str">
        <f>IF(J379=FALSE,"",B378/P379*100000)</f>
        <v/>
      </c>
      <c r="K378" s="466" t="str">
        <f>IF(K379=FALSE,"",B378/P379*100000)</f>
        <v/>
      </c>
      <c r="L378" s="466" t="str">
        <f>IF(L379=FALSE,"",B378/P379*100000)</f>
        <v/>
      </c>
      <c r="M378" s="466" t="str">
        <f>IF(M379=FALSE,"",B378/P379*100000)</f>
        <v/>
      </c>
      <c r="N378" s="466" t="str">
        <f>IF(N379=FALSE,"",B378/P379*100000)</f>
        <v/>
      </c>
      <c r="O378" s="492" t="str">
        <f>IF(O379=FALSE,"",B378/P379*100000)</f>
        <v/>
      </c>
      <c r="P378" s="450">
        <f>SUM(D378:O378)</f>
        <v>0</v>
      </c>
      <c r="Q378" s="373"/>
      <c r="R378" s="373"/>
      <c r="S378" s="373"/>
      <c r="T378" s="373"/>
      <c r="U378" s="373"/>
      <c r="V378" s="373"/>
      <c r="W378" s="373"/>
      <c r="X378" s="372"/>
      <c r="Y378" s="372"/>
    </row>
    <row r="379" spans="2:27" ht="15" hidden="1">
      <c r="B379" s="344">
        <f>IF(ISBLANK(C379),"",INDEX(List!$AP$2:$AP$3,MATCH($C379,List!$AO$2:$AO$3,0)))</f>
        <v>51</v>
      </c>
      <c r="C379" s="108" t="s">
        <v>756</v>
      </c>
      <c r="D379" s="493" t="b">
        <v>0</v>
      </c>
      <c r="E379" s="493" t="b">
        <v>0</v>
      </c>
      <c r="F379" s="493" t="b">
        <v>0</v>
      </c>
      <c r="G379" s="493" t="b">
        <v>0</v>
      </c>
      <c r="H379" s="493" t="b">
        <v>0</v>
      </c>
      <c r="I379" s="493" t="b">
        <v>0</v>
      </c>
      <c r="J379" s="493" t="b">
        <v>0</v>
      </c>
      <c r="K379" s="493" t="b">
        <v>0</v>
      </c>
      <c r="L379" s="493" t="b">
        <v>0</v>
      </c>
      <c r="M379" s="493" t="b">
        <v>0</v>
      </c>
      <c r="N379" s="493" t="b">
        <v>0</v>
      </c>
      <c r="O379" s="494" t="b">
        <v>0</v>
      </c>
      <c r="P379" s="450">
        <f>COUNTIF(D379:O379,TRUE)</f>
        <v>0</v>
      </c>
      <c r="Q379" s="373"/>
      <c r="R379" s="373"/>
      <c r="S379" s="373"/>
      <c r="T379" s="373"/>
      <c r="U379" s="373"/>
      <c r="V379" s="373"/>
      <c r="W379" s="373"/>
      <c r="X379" s="372"/>
      <c r="Y379" s="372"/>
    </row>
    <row r="380" spans="2:27" ht="15.75" thickBot="1">
      <c r="B380" s="344" t="str">
        <f>IF(ISBLANK(C380),"",INDEX(List!$AP$2:$AP$3,MATCH($C380,List!$AO$2:$AO$3,0)))</f>
        <v/>
      </c>
      <c r="C380" s="108"/>
      <c r="D380" s="466" t="str">
        <f>IF(D381=FALSE,"",B380/P381*100000)</f>
        <v/>
      </c>
      <c r="E380" s="466" t="str">
        <f>IF(E381=FALSE,"",B380/P381*100000)</f>
        <v/>
      </c>
      <c r="F380" s="466" t="str">
        <f>IF(F381=FALSE,"",B380/P381*100000)</f>
        <v/>
      </c>
      <c r="G380" s="466" t="str">
        <f>IF(G381=FALSE,"",B380/P381*100000)</f>
        <v/>
      </c>
      <c r="H380" s="466" t="str">
        <f>IF(H381=FALSE,"",B380/P381*100000)</f>
        <v/>
      </c>
      <c r="I380" s="466" t="str">
        <f>IF(I381=FALSE,"",B380/P381*100000)</f>
        <v/>
      </c>
      <c r="J380" s="466" t="str">
        <f>IF(J381=FALSE,"",B380/P381*100000)</f>
        <v/>
      </c>
      <c r="K380" s="466" t="str">
        <f>IF(K381=FALSE,"",B380/P381*100000)</f>
        <v/>
      </c>
      <c r="L380" s="466" t="str">
        <f>IF(L381=FALSE,"",B380/P381*100000)</f>
        <v/>
      </c>
      <c r="M380" s="466" t="str">
        <f>IF(M381=FALSE,"",B380/P381*100000)</f>
        <v/>
      </c>
      <c r="N380" s="466" t="str">
        <f>IF(N381=FALSE,"",B380/P381*100000)</f>
        <v/>
      </c>
      <c r="O380" s="492" t="str">
        <f>IF(O381=FALSE,"",B380/P381*100000)</f>
        <v/>
      </c>
      <c r="P380" s="450">
        <f>SUM(D380:O380)</f>
        <v>0</v>
      </c>
      <c r="Q380" s="373"/>
      <c r="R380" s="373"/>
      <c r="S380" s="373"/>
      <c r="T380" s="373"/>
      <c r="U380" s="373"/>
      <c r="V380" s="373"/>
      <c r="W380" s="373"/>
      <c r="X380" s="372"/>
      <c r="Y380" s="372"/>
    </row>
    <row r="381" spans="2:27" ht="15.75" hidden="1" thickBot="1">
      <c r="B381" s="106"/>
      <c r="C381" s="338"/>
      <c r="D381" s="495" t="b">
        <v>0</v>
      </c>
      <c r="E381" s="495" t="b">
        <v>0</v>
      </c>
      <c r="F381" s="495" t="b">
        <v>0</v>
      </c>
      <c r="G381" s="495" t="b">
        <v>0</v>
      </c>
      <c r="H381" s="495" t="b">
        <v>0</v>
      </c>
      <c r="I381" s="495" t="b">
        <v>0</v>
      </c>
      <c r="J381" s="495" t="b">
        <v>0</v>
      </c>
      <c r="K381" s="495" t="b">
        <v>0</v>
      </c>
      <c r="L381" s="495" t="b">
        <v>0</v>
      </c>
      <c r="M381" s="495" t="b">
        <v>0</v>
      </c>
      <c r="N381" s="495" t="b">
        <v>0</v>
      </c>
      <c r="O381" s="496" t="b">
        <v>0</v>
      </c>
      <c r="P381" s="450">
        <f>COUNTIF(D381:O381,TRUE)</f>
        <v>0</v>
      </c>
      <c r="Q381" s="373"/>
      <c r="R381" s="373"/>
      <c r="S381" s="373"/>
      <c r="T381" s="373"/>
      <c r="U381" s="373"/>
      <c r="V381" s="373"/>
      <c r="W381" s="373"/>
      <c r="X381" s="372"/>
      <c r="Y381" s="372"/>
    </row>
    <row r="382" spans="2:27" ht="15.75" thickBot="1">
      <c r="B382" s="341" t="s">
        <v>216</v>
      </c>
      <c r="C382" s="103"/>
      <c r="D382" s="471">
        <f t="shared" ref="D382:O382" si="96">SUM(D376:D381)</f>
        <v>0</v>
      </c>
      <c r="E382" s="471">
        <f t="shared" si="96"/>
        <v>0</v>
      </c>
      <c r="F382" s="471">
        <f t="shared" si="96"/>
        <v>0</v>
      </c>
      <c r="G382" s="471">
        <f t="shared" si="96"/>
        <v>0</v>
      </c>
      <c r="H382" s="471">
        <f t="shared" si="96"/>
        <v>0</v>
      </c>
      <c r="I382" s="471">
        <f t="shared" si="96"/>
        <v>0</v>
      </c>
      <c r="J382" s="471">
        <f t="shared" si="96"/>
        <v>0</v>
      </c>
      <c r="K382" s="471">
        <f t="shared" si="96"/>
        <v>0</v>
      </c>
      <c r="L382" s="471">
        <f t="shared" si="96"/>
        <v>0</v>
      </c>
      <c r="M382" s="471">
        <f t="shared" si="96"/>
        <v>0</v>
      </c>
      <c r="N382" s="471">
        <f t="shared" si="96"/>
        <v>0</v>
      </c>
      <c r="O382" s="497">
        <f t="shared" si="96"/>
        <v>0</v>
      </c>
      <c r="P382" s="458">
        <f>SUM(D382:O382)</f>
        <v>0</v>
      </c>
      <c r="Q382" s="373"/>
      <c r="R382" s="373"/>
      <c r="S382" s="373"/>
      <c r="T382" s="373"/>
      <c r="U382" s="373"/>
      <c r="V382" s="373"/>
      <c r="W382" s="373"/>
      <c r="X382" s="372"/>
      <c r="Y382" s="372"/>
    </row>
    <row r="383" spans="2:27" ht="15.75" thickBot="1">
      <c r="B383" s="28"/>
      <c r="C383" s="24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0"/>
      <c r="P383" s="400"/>
      <c r="Q383" s="373"/>
      <c r="R383" s="373"/>
      <c r="S383" s="373"/>
      <c r="T383" s="373"/>
      <c r="U383" s="373"/>
      <c r="V383" s="373"/>
      <c r="W383" s="373"/>
      <c r="X383" s="372"/>
      <c r="Y383" s="372"/>
    </row>
    <row r="384" spans="2:27" ht="16.5" thickTop="1" thickBot="1">
      <c r="B384" s="993" t="s">
        <v>787</v>
      </c>
      <c r="C384" s="994"/>
      <c r="D384" s="995"/>
      <c r="E384" s="995"/>
      <c r="F384" s="995"/>
      <c r="G384" s="995"/>
      <c r="H384" s="995"/>
      <c r="I384" s="995"/>
      <c r="J384" s="995"/>
      <c r="K384" s="995"/>
      <c r="L384" s="995"/>
      <c r="M384" s="995"/>
      <c r="N384" s="995"/>
      <c r="O384" s="996"/>
      <c r="P384" s="183" t="s">
        <v>205</v>
      </c>
      <c r="Q384" s="46" t="s">
        <v>790</v>
      </c>
      <c r="R384" s="46" t="s">
        <v>791</v>
      </c>
      <c r="S384" s="373"/>
      <c r="T384" s="373"/>
      <c r="U384" s="373"/>
      <c r="V384" s="373"/>
      <c r="W384" s="373"/>
      <c r="X384" s="372"/>
      <c r="Y384" s="372"/>
    </row>
    <row r="385" spans="2:25" ht="15">
      <c r="B385" s="989" t="s">
        <v>164</v>
      </c>
      <c r="C385" s="990"/>
      <c r="D385" s="693">
        <f>SUM(D359:D360)*$O$358</f>
        <v>12419.999999999998</v>
      </c>
      <c r="E385" s="694">
        <f t="shared" ref="E385:O385" si="97">SUM(E359:E360)*$O$358</f>
        <v>12419.999999999998</v>
      </c>
      <c r="F385" s="694">
        <f t="shared" si="97"/>
        <v>12419.999999999998</v>
      </c>
      <c r="G385" s="694">
        <f t="shared" si="97"/>
        <v>12419.999999999998</v>
      </c>
      <c r="H385" s="694">
        <f t="shared" si="97"/>
        <v>0</v>
      </c>
      <c r="I385" s="694">
        <f t="shared" si="97"/>
        <v>0</v>
      </c>
      <c r="J385" s="694">
        <f t="shared" si="97"/>
        <v>0</v>
      </c>
      <c r="K385" s="694">
        <f t="shared" si="97"/>
        <v>0</v>
      </c>
      <c r="L385" s="694">
        <f t="shared" si="97"/>
        <v>0</v>
      </c>
      <c r="M385" s="694">
        <f t="shared" si="97"/>
        <v>0</v>
      </c>
      <c r="N385" s="694">
        <f t="shared" si="97"/>
        <v>0</v>
      </c>
      <c r="O385" s="695">
        <f t="shared" si="97"/>
        <v>0</v>
      </c>
      <c r="P385" s="498">
        <f t="shared" ref="P385:P391" si="98">SUM(D385:O385)</f>
        <v>49679.999999999993</v>
      </c>
      <c r="Q385" s="498">
        <f>P385</f>
        <v>49679.999999999993</v>
      </c>
      <c r="R385" s="499">
        <f>Q385/Q390</f>
        <v>2.549510259516797E-3</v>
      </c>
      <c r="S385" s="373"/>
      <c r="T385" s="373"/>
      <c r="U385" s="373"/>
      <c r="V385" s="373"/>
      <c r="W385" s="373"/>
      <c r="X385" s="372"/>
      <c r="Y385" s="372"/>
    </row>
    <row r="386" spans="2:25" ht="15">
      <c r="B386" s="989" t="s">
        <v>660</v>
      </c>
      <c r="C386" s="990"/>
      <c r="D386" s="647">
        <f t="shared" ref="D386:O386" si="99">(SUM(D361:D363)*$O$358)+(D277*D274)+D31+D42+D53+D64+D127+D135+D188+D268+D301+D328+D349</f>
        <v>868502.16500000004</v>
      </c>
      <c r="E386" s="466">
        <f t="shared" si="99"/>
        <v>649076.1875</v>
      </c>
      <c r="F386" s="466">
        <f t="shared" si="99"/>
        <v>696654.505</v>
      </c>
      <c r="G386" s="466">
        <f t="shared" si="99"/>
        <v>2744229.6799999997</v>
      </c>
      <c r="H386" s="466">
        <f t="shared" si="99"/>
        <v>0</v>
      </c>
      <c r="I386" s="466">
        <f t="shared" si="99"/>
        <v>0</v>
      </c>
      <c r="J386" s="466">
        <f t="shared" si="99"/>
        <v>0</v>
      </c>
      <c r="K386" s="466">
        <f t="shared" si="99"/>
        <v>0</v>
      </c>
      <c r="L386" s="466">
        <f t="shared" si="99"/>
        <v>0</v>
      </c>
      <c r="M386" s="466">
        <f t="shared" si="99"/>
        <v>0</v>
      </c>
      <c r="N386" s="466">
        <f t="shared" si="99"/>
        <v>0</v>
      </c>
      <c r="O386" s="648">
        <f t="shared" si="99"/>
        <v>0</v>
      </c>
      <c r="P386" s="498">
        <f t="shared" si="98"/>
        <v>4958462.5374999996</v>
      </c>
      <c r="Q386" s="498">
        <f>P386+Q385</f>
        <v>5008142.5374999996</v>
      </c>
      <c r="R386" s="499">
        <f>Q386/Q390</f>
        <v>0.25701108656358163</v>
      </c>
      <c r="S386" s="373"/>
      <c r="T386" s="373"/>
      <c r="U386" s="373"/>
      <c r="V386" s="373"/>
      <c r="W386" s="373"/>
      <c r="X386" s="372"/>
      <c r="Y386" s="372"/>
    </row>
    <row r="387" spans="2:25" ht="15">
      <c r="B387" s="989" t="s">
        <v>788</v>
      </c>
      <c r="C387" s="990"/>
      <c r="D387" s="647">
        <f t="shared" ref="D387:O387" si="100">D32+D43+D54+D65+D128+D136+D189+D269+D337+(D352*$O$351)+(D364*$O$358)</f>
        <v>597379.33000000007</v>
      </c>
      <c r="E387" s="466">
        <f t="shared" si="100"/>
        <v>692527.375</v>
      </c>
      <c r="F387" s="466">
        <f t="shared" si="100"/>
        <v>787684.01</v>
      </c>
      <c r="G387" s="466">
        <f t="shared" si="100"/>
        <v>882834.36</v>
      </c>
      <c r="H387" s="466">
        <f t="shared" si="100"/>
        <v>0</v>
      </c>
      <c r="I387" s="466">
        <f t="shared" si="100"/>
        <v>0</v>
      </c>
      <c r="J387" s="466">
        <f t="shared" si="100"/>
        <v>0</v>
      </c>
      <c r="K387" s="466">
        <f t="shared" si="100"/>
        <v>0</v>
      </c>
      <c r="L387" s="466">
        <f t="shared" si="100"/>
        <v>0</v>
      </c>
      <c r="M387" s="466">
        <f t="shared" si="100"/>
        <v>0</v>
      </c>
      <c r="N387" s="466">
        <f t="shared" si="100"/>
        <v>0</v>
      </c>
      <c r="O387" s="648">
        <f t="shared" si="100"/>
        <v>0</v>
      </c>
      <c r="P387" s="498">
        <f t="shared" si="98"/>
        <v>2960425.0750000002</v>
      </c>
      <c r="Q387" s="498">
        <f>P387+Q386</f>
        <v>7968567.6124999998</v>
      </c>
      <c r="R387" s="499">
        <f>Q387/Q390</f>
        <v>0.40893608860148994</v>
      </c>
      <c r="S387" s="373"/>
      <c r="T387" s="373"/>
      <c r="U387" s="373"/>
      <c r="V387" s="373"/>
      <c r="W387" s="373"/>
      <c r="X387" s="372"/>
      <c r="Y387" s="372"/>
    </row>
    <row r="388" spans="2:25" ht="15">
      <c r="B388" s="989" t="s">
        <v>165</v>
      </c>
      <c r="C388" s="990"/>
      <c r="D388" s="649">
        <f t="shared" ref="D388:O388" si="101">(D365*$O$358)+D266</f>
        <v>781000</v>
      </c>
      <c r="E388" s="467">
        <f t="shared" si="101"/>
        <v>81000</v>
      </c>
      <c r="F388" s="467"/>
      <c r="G388" s="467">
        <f t="shared" si="101"/>
        <v>81000</v>
      </c>
      <c r="H388" s="467">
        <f t="shared" si="101"/>
        <v>0</v>
      </c>
      <c r="I388" s="467">
        <f t="shared" si="101"/>
        <v>0</v>
      </c>
      <c r="J388" s="467">
        <f t="shared" si="101"/>
        <v>0</v>
      </c>
      <c r="K388" s="467">
        <f t="shared" si="101"/>
        <v>0</v>
      </c>
      <c r="L388" s="467">
        <f t="shared" si="101"/>
        <v>0</v>
      </c>
      <c r="M388" s="467">
        <f t="shared" si="101"/>
        <v>0</v>
      </c>
      <c r="N388" s="467">
        <f t="shared" si="101"/>
        <v>0</v>
      </c>
      <c r="O388" s="650">
        <f t="shared" si="101"/>
        <v>0</v>
      </c>
      <c r="P388" s="498">
        <f t="shared" si="98"/>
        <v>943000</v>
      </c>
      <c r="Q388" s="498">
        <f>P388+Q387</f>
        <v>8911567.6125000007</v>
      </c>
      <c r="R388" s="499">
        <f>Q388/Q390</f>
        <v>0.45732957037935512</v>
      </c>
      <c r="S388" s="373"/>
      <c r="T388" s="373"/>
      <c r="U388" s="373"/>
      <c r="V388" s="373"/>
      <c r="W388" s="373"/>
      <c r="X388" s="372"/>
      <c r="Y388" s="372"/>
    </row>
    <row r="389" spans="2:25" ht="15">
      <c r="B389" s="989" t="s">
        <v>789</v>
      </c>
      <c r="C389" s="990"/>
      <c r="D389" s="647">
        <f t="shared" ref="D389:O389" si="102">D33+D44+D55+D66+D129+D137+D190+D270+(D280*D274)+D315+(D353*$O$351)+(SUM(D366:D368)*$O$358)</f>
        <v>2190378.423</v>
      </c>
      <c r="E389" s="466">
        <f t="shared" si="102"/>
        <v>2485337.3624999998</v>
      </c>
      <c r="F389" s="466">
        <f t="shared" si="102"/>
        <v>2780322.9309999999</v>
      </c>
      <c r="G389" s="466">
        <f t="shared" si="102"/>
        <v>3075289.0159999998</v>
      </c>
      <c r="H389" s="466">
        <f t="shared" si="102"/>
        <v>0</v>
      </c>
      <c r="I389" s="466">
        <f t="shared" si="102"/>
        <v>0</v>
      </c>
      <c r="J389" s="466">
        <f t="shared" si="102"/>
        <v>0</v>
      </c>
      <c r="K389" s="466">
        <f t="shared" si="102"/>
        <v>0</v>
      </c>
      <c r="L389" s="466">
        <f t="shared" si="102"/>
        <v>0</v>
      </c>
      <c r="M389" s="466">
        <f t="shared" si="102"/>
        <v>0</v>
      </c>
      <c r="N389" s="466">
        <f t="shared" si="102"/>
        <v>0</v>
      </c>
      <c r="O389" s="648">
        <f t="shared" si="102"/>
        <v>0</v>
      </c>
      <c r="P389" s="498">
        <f t="shared" si="98"/>
        <v>10531327.732499998</v>
      </c>
      <c r="Q389" s="498">
        <f>P389+Q388</f>
        <v>19442895.344999999</v>
      </c>
      <c r="R389" s="499">
        <f>Q389/Q390</f>
        <v>0.99778303455694195</v>
      </c>
      <c r="S389" s="373"/>
      <c r="T389" s="373"/>
      <c r="U389" s="373"/>
      <c r="V389" s="373"/>
      <c r="W389" s="373"/>
      <c r="X389" s="372"/>
      <c r="Y389" s="372"/>
    </row>
    <row r="390" spans="2:25" ht="15.75" thickBot="1">
      <c r="B390" s="991" t="s">
        <v>156</v>
      </c>
      <c r="C390" s="992"/>
      <c r="D390" s="651">
        <f>D382+(D369*$O$358)</f>
        <v>10800</v>
      </c>
      <c r="E390" s="652">
        <f t="shared" ref="E390:K390" si="103">E382+(E369*$O$358)</f>
        <v>10800</v>
      </c>
      <c r="F390" s="652">
        <f t="shared" si="103"/>
        <v>10800</v>
      </c>
      <c r="G390" s="652">
        <f t="shared" si="103"/>
        <v>10800</v>
      </c>
      <c r="H390" s="652">
        <f t="shared" si="103"/>
        <v>0</v>
      </c>
      <c r="I390" s="652">
        <f t="shared" si="103"/>
        <v>0</v>
      </c>
      <c r="J390" s="652">
        <f t="shared" si="103"/>
        <v>0</v>
      </c>
      <c r="K390" s="652">
        <f t="shared" si="103"/>
        <v>0</v>
      </c>
      <c r="L390" s="652">
        <f>L382+(L369*$O$358)</f>
        <v>0</v>
      </c>
      <c r="M390" s="652">
        <f>M382+(M369*$O$358)</f>
        <v>0</v>
      </c>
      <c r="N390" s="652">
        <f>N382+(N369*$O$358)</f>
        <v>0</v>
      </c>
      <c r="O390" s="653">
        <f>O382+(O369*$O$358)</f>
        <v>0</v>
      </c>
      <c r="P390" s="498">
        <f t="shared" si="98"/>
        <v>43200</v>
      </c>
      <c r="Q390" s="498">
        <f>P390+Q389</f>
        <v>19486095.344999999</v>
      </c>
      <c r="R390" s="499">
        <f>Q390/Q390</f>
        <v>1</v>
      </c>
      <c r="S390" s="373"/>
      <c r="T390" s="373"/>
      <c r="U390" s="373"/>
      <c r="V390" s="373"/>
      <c r="W390" s="373"/>
      <c r="X390" s="372"/>
      <c r="Y390" s="372"/>
    </row>
    <row r="391" spans="2:25" ht="15.75" thickBot="1">
      <c r="B391" s="341" t="s">
        <v>216</v>
      </c>
      <c r="C391" s="103"/>
      <c r="D391" s="617">
        <f>SUM(D385:D390)</f>
        <v>4460479.9179999996</v>
      </c>
      <c r="E391" s="617">
        <f t="shared" ref="E391:O391" si="104">SUM(E385:E390)</f>
        <v>3931160.9249999998</v>
      </c>
      <c r="F391" s="617">
        <f t="shared" si="104"/>
        <v>4287881.4460000005</v>
      </c>
      <c r="G391" s="617">
        <f t="shared" si="104"/>
        <v>6806573.0559999999</v>
      </c>
      <c r="H391" s="617">
        <f t="shared" si="104"/>
        <v>0</v>
      </c>
      <c r="I391" s="617">
        <f t="shared" si="104"/>
        <v>0</v>
      </c>
      <c r="J391" s="617">
        <f t="shared" si="104"/>
        <v>0</v>
      </c>
      <c r="K391" s="617">
        <f t="shared" si="104"/>
        <v>0</v>
      </c>
      <c r="L391" s="617">
        <f t="shared" si="104"/>
        <v>0</v>
      </c>
      <c r="M391" s="617">
        <f t="shared" si="104"/>
        <v>0</v>
      </c>
      <c r="N391" s="617">
        <f t="shared" si="104"/>
        <v>0</v>
      </c>
      <c r="O391" s="617">
        <f t="shared" si="104"/>
        <v>0</v>
      </c>
      <c r="P391" s="500">
        <f t="shared" si="98"/>
        <v>19486095.344999999</v>
      </c>
      <c r="Q391" s="501"/>
      <c r="R391" s="502"/>
      <c r="S391" s="373"/>
      <c r="T391" s="373"/>
      <c r="U391" s="373"/>
      <c r="V391" s="373"/>
      <c r="W391" s="373"/>
      <c r="X391" s="372"/>
      <c r="Y391" s="372"/>
    </row>
    <row r="392" spans="2:25">
      <c r="B392" s="372"/>
      <c r="C392" s="372"/>
      <c r="D392" s="373"/>
      <c r="E392" s="373"/>
      <c r="F392" s="373"/>
      <c r="G392" s="373"/>
      <c r="H392" s="373"/>
      <c r="I392" s="373"/>
      <c r="J392" s="373"/>
      <c r="K392" s="373"/>
      <c r="L392" s="373"/>
      <c r="M392" s="373"/>
      <c r="N392" s="373"/>
      <c r="O392" s="373"/>
      <c r="P392" s="373"/>
      <c r="Q392" s="373"/>
      <c r="R392" s="373"/>
      <c r="S392" s="373"/>
      <c r="T392" s="373"/>
      <c r="U392" s="373"/>
      <c r="V392" s="373"/>
      <c r="W392" s="373"/>
      <c r="X392" s="372"/>
      <c r="Y392" s="372"/>
    </row>
    <row r="393" spans="2:25" s="481" customFormat="1">
      <c r="D393" s="459"/>
      <c r="E393" s="459"/>
      <c r="F393" s="459"/>
      <c r="G393" s="459"/>
      <c r="H393" s="459"/>
      <c r="I393" s="459"/>
      <c r="J393" s="459"/>
      <c r="K393" s="459"/>
      <c r="L393" s="459"/>
      <c r="M393" s="459"/>
      <c r="N393" s="459"/>
      <c r="O393" s="459"/>
      <c r="P393" s="459"/>
      <c r="Q393" s="459"/>
      <c r="R393" s="459"/>
      <c r="S393" s="459"/>
      <c r="T393" s="459"/>
      <c r="U393" s="459"/>
      <c r="V393" s="459"/>
      <c r="W393" s="459"/>
    </row>
    <row r="394" spans="2:25" s="481" customFormat="1">
      <c r="D394" s="459"/>
      <c r="E394" s="459"/>
      <c r="F394" s="459"/>
      <c r="G394" s="459"/>
      <c r="H394" s="459"/>
      <c r="I394" s="459"/>
      <c r="J394" s="459"/>
      <c r="K394" s="459"/>
      <c r="L394" s="459"/>
      <c r="M394" s="459"/>
      <c r="N394" s="459"/>
      <c r="O394" s="459"/>
      <c r="P394" s="459"/>
      <c r="Q394" s="459"/>
      <c r="R394" s="459"/>
      <c r="S394" s="459"/>
      <c r="T394" s="459"/>
      <c r="U394" s="459"/>
      <c r="V394" s="459"/>
      <c r="W394" s="459"/>
    </row>
    <row r="395" spans="2:25" s="481" customFormat="1">
      <c r="D395" s="459"/>
      <c r="E395" s="459"/>
      <c r="F395" s="459"/>
      <c r="G395" s="459"/>
      <c r="H395" s="459"/>
      <c r="I395" s="459"/>
      <c r="J395" s="459"/>
      <c r="K395" s="459"/>
      <c r="L395" s="459"/>
      <c r="M395" s="459"/>
      <c r="N395" s="459"/>
      <c r="O395" s="459"/>
      <c r="P395" s="459"/>
      <c r="Q395" s="459"/>
      <c r="R395" s="459"/>
      <c r="S395" s="459"/>
      <c r="T395" s="459"/>
      <c r="U395" s="459"/>
      <c r="V395" s="459"/>
      <c r="W395" s="459"/>
    </row>
    <row r="396" spans="2:25" s="481" customFormat="1">
      <c r="D396" s="459"/>
      <c r="E396" s="459"/>
      <c r="F396" s="459"/>
      <c r="G396" s="459"/>
      <c r="H396" s="459"/>
      <c r="I396" s="459"/>
      <c r="J396" s="459"/>
      <c r="K396" s="459"/>
      <c r="L396" s="459"/>
      <c r="M396" s="459"/>
      <c r="N396" s="459"/>
      <c r="O396" s="459"/>
      <c r="P396" s="459"/>
      <c r="Q396" s="459"/>
      <c r="R396" s="459"/>
      <c r="S396" s="459"/>
      <c r="T396" s="459"/>
      <c r="U396" s="459"/>
      <c r="V396" s="459"/>
      <c r="W396" s="459"/>
    </row>
    <row r="397" spans="2:25" s="481" customFormat="1">
      <c r="D397" s="459"/>
      <c r="E397" s="459"/>
      <c r="F397" s="459"/>
      <c r="G397" s="459"/>
      <c r="H397" s="459"/>
      <c r="I397" s="459"/>
      <c r="J397" s="459"/>
      <c r="K397" s="459"/>
      <c r="L397" s="459"/>
      <c r="M397" s="459"/>
      <c r="N397" s="459"/>
      <c r="O397" s="459"/>
      <c r="P397" s="459"/>
      <c r="Q397" s="459"/>
      <c r="R397" s="459"/>
      <c r="S397" s="459"/>
      <c r="T397" s="459"/>
      <c r="U397" s="459"/>
      <c r="V397" s="459"/>
      <c r="W397" s="459"/>
    </row>
    <row r="398" spans="2:25" s="481" customFormat="1">
      <c r="D398" s="459"/>
      <c r="E398" s="459"/>
      <c r="F398" s="459"/>
      <c r="G398" s="459"/>
      <c r="H398" s="459"/>
      <c r="I398" s="459"/>
      <c r="J398" s="459"/>
      <c r="K398" s="459"/>
      <c r="L398" s="459"/>
      <c r="M398" s="459"/>
      <c r="N398" s="459"/>
      <c r="O398" s="459"/>
      <c r="P398" s="459"/>
      <c r="Q398" s="459"/>
      <c r="R398" s="459"/>
      <c r="S398" s="459"/>
      <c r="T398" s="459"/>
      <c r="U398" s="459"/>
      <c r="V398" s="459"/>
      <c r="W398" s="459"/>
    </row>
    <row r="399" spans="2:25" s="481" customFormat="1">
      <c r="D399" s="459"/>
      <c r="E399" s="459"/>
      <c r="F399" s="459"/>
      <c r="G399" s="459"/>
      <c r="H399" s="459"/>
      <c r="I399" s="459"/>
      <c r="J399" s="459"/>
      <c r="K399" s="459"/>
      <c r="L399" s="459"/>
      <c r="M399" s="459"/>
      <c r="N399" s="459"/>
      <c r="O399" s="459"/>
      <c r="P399" s="459"/>
      <c r="Q399" s="459"/>
      <c r="R399" s="459"/>
      <c r="S399" s="459"/>
      <c r="T399" s="459"/>
      <c r="U399" s="459"/>
      <c r="V399" s="459"/>
      <c r="W399" s="459"/>
    </row>
    <row r="400" spans="2:25" s="481" customFormat="1">
      <c r="D400" s="459"/>
      <c r="E400" s="459"/>
      <c r="F400" s="459"/>
      <c r="G400" s="459"/>
      <c r="H400" s="459"/>
      <c r="I400" s="459"/>
      <c r="J400" s="459"/>
      <c r="K400" s="459"/>
      <c r="L400" s="459"/>
      <c r="M400" s="459"/>
      <c r="N400" s="459"/>
      <c r="O400" s="459"/>
      <c r="P400" s="459"/>
      <c r="Q400" s="459"/>
      <c r="R400" s="459"/>
      <c r="S400" s="459"/>
      <c r="T400" s="459"/>
      <c r="U400" s="459"/>
      <c r="V400" s="459"/>
      <c r="W400" s="459"/>
    </row>
    <row r="401" spans="4:23" s="481" customFormat="1">
      <c r="D401" s="459"/>
      <c r="E401" s="459"/>
      <c r="F401" s="459"/>
      <c r="G401" s="459"/>
      <c r="H401" s="459"/>
      <c r="I401" s="459"/>
      <c r="J401" s="459"/>
      <c r="K401" s="459"/>
      <c r="L401" s="459"/>
      <c r="M401" s="459"/>
      <c r="N401" s="459"/>
      <c r="O401" s="459"/>
      <c r="P401" s="459"/>
      <c r="Q401" s="459"/>
      <c r="R401" s="459"/>
      <c r="S401" s="459"/>
      <c r="T401" s="459"/>
      <c r="U401" s="459"/>
      <c r="V401" s="459"/>
      <c r="W401" s="459"/>
    </row>
    <row r="402" spans="4:23" s="481" customFormat="1">
      <c r="D402" s="459"/>
      <c r="E402" s="459"/>
      <c r="F402" s="459"/>
      <c r="G402" s="459"/>
      <c r="H402" s="459"/>
      <c r="I402" s="459"/>
      <c r="J402" s="459"/>
      <c r="K402" s="459"/>
      <c r="L402" s="459"/>
      <c r="M402" s="459"/>
      <c r="N402" s="459"/>
      <c r="O402" s="459"/>
      <c r="P402" s="459"/>
      <c r="Q402" s="459"/>
      <c r="R402" s="459"/>
      <c r="S402" s="459"/>
      <c r="T402" s="459"/>
      <c r="U402" s="459"/>
      <c r="V402" s="459"/>
      <c r="W402" s="459"/>
    </row>
    <row r="403" spans="4:23" s="481" customFormat="1">
      <c r="D403" s="459"/>
      <c r="E403" s="459"/>
      <c r="F403" s="459"/>
      <c r="G403" s="459"/>
      <c r="H403" s="459"/>
      <c r="I403" s="459"/>
      <c r="J403" s="459"/>
      <c r="K403" s="459"/>
      <c r="L403" s="459"/>
      <c r="M403" s="459"/>
      <c r="N403" s="459"/>
      <c r="O403" s="459"/>
      <c r="P403" s="459"/>
      <c r="Q403" s="459"/>
      <c r="R403" s="459"/>
      <c r="S403" s="459"/>
      <c r="T403" s="459"/>
      <c r="U403" s="459"/>
      <c r="V403" s="459"/>
      <c r="W403" s="459"/>
    </row>
    <row r="404" spans="4:23" s="481" customFormat="1">
      <c r="D404" s="459"/>
      <c r="E404" s="459"/>
      <c r="F404" s="459"/>
      <c r="G404" s="459"/>
      <c r="H404" s="459"/>
      <c r="I404" s="459"/>
      <c r="J404" s="459"/>
      <c r="K404" s="459"/>
      <c r="L404" s="459"/>
      <c r="M404" s="459"/>
      <c r="N404" s="459"/>
      <c r="O404" s="459"/>
      <c r="P404" s="459"/>
      <c r="Q404" s="459"/>
      <c r="R404" s="459"/>
      <c r="S404" s="459"/>
      <c r="T404" s="459"/>
      <c r="U404" s="459"/>
      <c r="V404" s="459"/>
      <c r="W404" s="459"/>
    </row>
    <row r="405" spans="4:23" s="481" customFormat="1">
      <c r="D405" s="459"/>
      <c r="E405" s="459"/>
      <c r="F405" s="459"/>
      <c r="G405" s="459"/>
      <c r="H405" s="459"/>
      <c r="I405" s="459"/>
      <c r="J405" s="459"/>
      <c r="K405" s="459"/>
      <c r="L405" s="459"/>
      <c r="M405" s="459"/>
      <c r="N405" s="459"/>
      <c r="O405" s="459"/>
      <c r="P405" s="459"/>
      <c r="Q405" s="459"/>
      <c r="R405" s="459"/>
      <c r="S405" s="459"/>
      <c r="T405" s="459"/>
      <c r="U405" s="459"/>
      <c r="V405" s="459"/>
      <c r="W405" s="459"/>
    </row>
    <row r="406" spans="4:23" s="481" customFormat="1">
      <c r="D406" s="459"/>
      <c r="E406" s="459"/>
      <c r="F406" s="459"/>
      <c r="G406" s="459"/>
      <c r="H406" s="459"/>
      <c r="I406" s="459"/>
      <c r="J406" s="459"/>
      <c r="K406" s="459"/>
      <c r="L406" s="459"/>
      <c r="M406" s="459"/>
      <c r="N406" s="459"/>
      <c r="O406" s="459"/>
      <c r="P406" s="459"/>
      <c r="Q406" s="459"/>
      <c r="R406" s="459"/>
      <c r="S406" s="459"/>
      <c r="T406" s="459"/>
      <c r="U406" s="459"/>
      <c r="V406" s="459"/>
      <c r="W406" s="459"/>
    </row>
    <row r="407" spans="4:23" s="481" customFormat="1">
      <c r="D407" s="459"/>
      <c r="E407" s="459"/>
      <c r="F407" s="459"/>
      <c r="G407" s="459"/>
      <c r="H407" s="459"/>
      <c r="I407" s="459"/>
      <c r="J407" s="459"/>
      <c r="K407" s="459"/>
      <c r="L407" s="459"/>
      <c r="M407" s="459"/>
      <c r="N407" s="459"/>
      <c r="O407" s="459"/>
      <c r="P407" s="459"/>
      <c r="Q407" s="459"/>
      <c r="R407" s="459"/>
      <c r="S407" s="459"/>
      <c r="T407" s="459"/>
      <c r="U407" s="459"/>
      <c r="V407" s="459"/>
      <c r="W407" s="459"/>
    </row>
    <row r="408" spans="4:23" s="481" customFormat="1">
      <c r="D408" s="459"/>
      <c r="E408" s="459"/>
      <c r="F408" s="459"/>
      <c r="G408" s="459"/>
      <c r="H408" s="459"/>
      <c r="I408" s="459"/>
      <c r="J408" s="459"/>
      <c r="K408" s="459"/>
      <c r="L408" s="459"/>
      <c r="M408" s="459"/>
      <c r="N408" s="459"/>
      <c r="O408" s="459"/>
      <c r="P408" s="459"/>
      <c r="Q408" s="459"/>
      <c r="R408" s="459"/>
      <c r="S408" s="459"/>
      <c r="T408" s="459"/>
      <c r="U408" s="459"/>
      <c r="V408" s="459"/>
      <c r="W408" s="459"/>
    </row>
    <row r="409" spans="4:23" s="481" customFormat="1">
      <c r="D409" s="459"/>
      <c r="E409" s="459"/>
      <c r="F409" s="459"/>
      <c r="G409" s="459"/>
      <c r="H409" s="459"/>
      <c r="I409" s="459"/>
      <c r="J409" s="459"/>
      <c r="K409" s="459"/>
      <c r="L409" s="459"/>
      <c r="M409" s="459"/>
      <c r="N409" s="459"/>
      <c r="O409" s="459"/>
      <c r="P409" s="459"/>
      <c r="Q409" s="459"/>
      <c r="R409" s="459"/>
      <c r="S409" s="459"/>
      <c r="T409" s="459"/>
      <c r="U409" s="459"/>
      <c r="V409" s="459"/>
      <c r="W409" s="459"/>
    </row>
    <row r="410" spans="4:23" s="481" customFormat="1">
      <c r="D410" s="459"/>
      <c r="E410" s="459"/>
      <c r="F410" s="459"/>
      <c r="G410" s="459"/>
      <c r="H410" s="459"/>
      <c r="I410" s="459"/>
      <c r="J410" s="459"/>
      <c r="K410" s="459"/>
      <c r="L410" s="459"/>
      <c r="M410" s="459"/>
      <c r="N410" s="459"/>
      <c r="O410" s="459"/>
      <c r="P410" s="459"/>
      <c r="Q410" s="459"/>
      <c r="R410" s="459"/>
      <c r="S410" s="459"/>
      <c r="T410" s="459"/>
      <c r="U410" s="459"/>
      <c r="V410" s="459"/>
      <c r="W410" s="459"/>
    </row>
    <row r="411" spans="4:23" s="481" customFormat="1">
      <c r="D411" s="459"/>
      <c r="E411" s="459"/>
      <c r="F411" s="459"/>
      <c r="G411" s="459"/>
      <c r="H411" s="459"/>
      <c r="I411" s="459"/>
      <c r="J411" s="459"/>
      <c r="K411" s="459"/>
      <c r="L411" s="459"/>
      <c r="M411" s="459"/>
      <c r="N411" s="459"/>
      <c r="O411" s="459"/>
      <c r="P411" s="459"/>
      <c r="Q411" s="459"/>
      <c r="R411" s="459"/>
      <c r="S411" s="459"/>
      <c r="T411" s="459"/>
      <c r="U411" s="459"/>
      <c r="V411" s="459"/>
      <c r="W411" s="459"/>
    </row>
    <row r="412" spans="4:23" s="481" customFormat="1">
      <c r="D412" s="459"/>
      <c r="E412" s="459"/>
      <c r="F412" s="459"/>
      <c r="G412" s="459"/>
      <c r="H412" s="459"/>
      <c r="I412" s="459"/>
      <c r="J412" s="459"/>
      <c r="K412" s="459"/>
      <c r="L412" s="459"/>
      <c r="M412" s="459"/>
      <c r="N412" s="459"/>
      <c r="O412" s="459"/>
      <c r="P412" s="459"/>
      <c r="Q412" s="459"/>
      <c r="R412" s="459"/>
      <c r="S412" s="459"/>
      <c r="T412" s="459"/>
      <c r="U412" s="459"/>
      <c r="V412" s="459"/>
      <c r="W412" s="459"/>
    </row>
    <row r="413" spans="4:23" s="481" customFormat="1">
      <c r="D413" s="459"/>
      <c r="E413" s="459"/>
      <c r="F413" s="459"/>
      <c r="G413" s="459"/>
      <c r="H413" s="459"/>
      <c r="I413" s="459"/>
      <c r="J413" s="459"/>
      <c r="K413" s="459"/>
      <c r="L413" s="459"/>
      <c r="M413" s="459"/>
      <c r="N413" s="459"/>
      <c r="O413" s="459"/>
      <c r="P413" s="459"/>
      <c r="Q413" s="459"/>
      <c r="R413" s="459"/>
      <c r="S413" s="459"/>
      <c r="T413" s="459"/>
      <c r="U413" s="459"/>
      <c r="V413" s="459"/>
      <c r="W413" s="459"/>
    </row>
    <row r="414" spans="4:23" s="481" customFormat="1">
      <c r="D414" s="459"/>
      <c r="E414" s="459"/>
      <c r="F414" s="459"/>
      <c r="G414" s="459"/>
      <c r="H414" s="459"/>
      <c r="I414" s="459"/>
      <c r="J414" s="459"/>
      <c r="K414" s="459"/>
      <c r="L414" s="459"/>
      <c r="M414" s="459"/>
      <c r="N414" s="459"/>
      <c r="O414" s="459"/>
      <c r="P414" s="459"/>
      <c r="Q414" s="459"/>
      <c r="R414" s="459"/>
      <c r="S414" s="459"/>
      <c r="T414" s="459"/>
      <c r="U414" s="459"/>
      <c r="V414" s="459"/>
      <c r="W414" s="459"/>
    </row>
    <row r="415" spans="4:23" s="481" customFormat="1">
      <c r="D415" s="459"/>
      <c r="E415" s="459"/>
      <c r="F415" s="459"/>
      <c r="G415" s="459"/>
      <c r="H415" s="459"/>
      <c r="I415" s="459"/>
      <c r="J415" s="459"/>
      <c r="K415" s="459"/>
      <c r="L415" s="459"/>
      <c r="M415" s="459"/>
      <c r="N415" s="459"/>
      <c r="O415" s="459"/>
      <c r="P415" s="459"/>
      <c r="Q415" s="459"/>
      <c r="R415" s="459"/>
      <c r="S415" s="459"/>
      <c r="T415" s="459"/>
      <c r="U415" s="459"/>
      <c r="V415" s="459"/>
      <c r="W415" s="459"/>
    </row>
    <row r="416" spans="4:23" s="481" customFormat="1">
      <c r="D416" s="459"/>
      <c r="E416" s="459"/>
      <c r="F416" s="459"/>
      <c r="G416" s="459"/>
      <c r="H416" s="459"/>
      <c r="I416" s="459"/>
      <c r="J416" s="459"/>
      <c r="K416" s="459"/>
      <c r="L416" s="459"/>
      <c r="M416" s="459"/>
      <c r="N416" s="459"/>
      <c r="O416" s="459"/>
      <c r="P416" s="459"/>
      <c r="Q416" s="459"/>
      <c r="R416" s="459"/>
      <c r="S416" s="459"/>
      <c r="T416" s="459"/>
      <c r="U416" s="459"/>
      <c r="V416" s="459"/>
      <c r="W416" s="459"/>
    </row>
    <row r="417" spans="4:23" s="481" customFormat="1">
      <c r="D417" s="459"/>
      <c r="E417" s="459"/>
      <c r="F417" s="459"/>
      <c r="G417" s="459"/>
      <c r="H417" s="459"/>
      <c r="I417" s="459"/>
      <c r="J417" s="459"/>
      <c r="K417" s="459"/>
      <c r="L417" s="459"/>
      <c r="M417" s="459"/>
      <c r="N417" s="459"/>
      <c r="O417" s="459"/>
      <c r="P417" s="459"/>
      <c r="Q417" s="459"/>
      <c r="R417" s="459"/>
      <c r="S417" s="459"/>
      <c r="T417" s="459"/>
      <c r="U417" s="459"/>
      <c r="V417" s="459"/>
      <c r="W417" s="459"/>
    </row>
    <row r="418" spans="4:23" s="481" customFormat="1">
      <c r="D418" s="459"/>
      <c r="E418" s="459"/>
      <c r="F418" s="459"/>
      <c r="G418" s="459"/>
      <c r="H418" s="459"/>
      <c r="I418" s="459"/>
      <c r="J418" s="459"/>
      <c r="K418" s="459"/>
      <c r="L418" s="459"/>
      <c r="M418" s="459"/>
      <c r="N418" s="459"/>
      <c r="O418" s="459"/>
      <c r="P418" s="459"/>
      <c r="Q418" s="459"/>
      <c r="R418" s="459"/>
      <c r="S418" s="459"/>
      <c r="T418" s="459"/>
      <c r="U418" s="459"/>
      <c r="V418" s="459"/>
      <c r="W418" s="459"/>
    </row>
    <row r="419" spans="4:23" s="481" customFormat="1">
      <c r="D419" s="459"/>
      <c r="E419" s="459"/>
      <c r="F419" s="459"/>
      <c r="G419" s="459"/>
      <c r="H419" s="459"/>
      <c r="I419" s="459"/>
      <c r="J419" s="459"/>
      <c r="K419" s="459"/>
      <c r="L419" s="459"/>
      <c r="M419" s="459"/>
      <c r="N419" s="459"/>
      <c r="O419" s="459"/>
      <c r="P419" s="459"/>
      <c r="Q419" s="459"/>
      <c r="R419" s="459"/>
      <c r="S419" s="459"/>
      <c r="T419" s="459"/>
      <c r="U419" s="459"/>
      <c r="V419" s="459"/>
      <c r="W419" s="459"/>
    </row>
    <row r="420" spans="4:23" s="481" customFormat="1">
      <c r="D420" s="459"/>
      <c r="E420" s="459"/>
      <c r="F420" s="459"/>
      <c r="G420" s="459"/>
      <c r="H420" s="459"/>
      <c r="I420" s="459"/>
      <c r="J420" s="459"/>
      <c r="K420" s="459"/>
      <c r="L420" s="459"/>
      <c r="M420" s="459"/>
      <c r="N420" s="459"/>
      <c r="O420" s="459"/>
      <c r="P420" s="459"/>
      <c r="Q420" s="459"/>
      <c r="R420" s="459"/>
      <c r="S420" s="459"/>
      <c r="T420" s="459"/>
      <c r="U420" s="459"/>
      <c r="V420" s="459"/>
      <c r="W420" s="459"/>
    </row>
    <row r="421" spans="4:23" s="481" customFormat="1">
      <c r="D421" s="459"/>
      <c r="E421" s="459"/>
      <c r="F421" s="459"/>
      <c r="G421" s="459"/>
      <c r="H421" s="459"/>
      <c r="I421" s="459"/>
      <c r="J421" s="459"/>
      <c r="K421" s="459"/>
      <c r="L421" s="459"/>
      <c r="M421" s="459"/>
      <c r="N421" s="459"/>
      <c r="O421" s="459"/>
      <c r="P421" s="459"/>
      <c r="Q421" s="459"/>
      <c r="R421" s="459"/>
      <c r="S421" s="459"/>
      <c r="T421" s="459"/>
      <c r="U421" s="459"/>
      <c r="V421" s="459"/>
      <c r="W421" s="459"/>
    </row>
    <row r="422" spans="4:23" s="481" customFormat="1">
      <c r="D422" s="459"/>
      <c r="E422" s="459"/>
      <c r="F422" s="459"/>
      <c r="G422" s="459"/>
      <c r="H422" s="459"/>
      <c r="I422" s="459"/>
      <c r="J422" s="459"/>
      <c r="K422" s="459"/>
      <c r="L422" s="459"/>
      <c r="M422" s="459"/>
      <c r="N422" s="459"/>
      <c r="O422" s="459"/>
      <c r="P422" s="459"/>
      <c r="Q422" s="459"/>
      <c r="R422" s="459"/>
      <c r="S422" s="459"/>
      <c r="T422" s="459"/>
      <c r="U422" s="459"/>
      <c r="V422" s="459"/>
      <c r="W422" s="459"/>
    </row>
    <row r="423" spans="4:23" s="481" customFormat="1">
      <c r="D423" s="459"/>
      <c r="E423" s="459"/>
      <c r="F423" s="459"/>
      <c r="G423" s="459"/>
      <c r="H423" s="459"/>
      <c r="I423" s="459"/>
      <c r="J423" s="459"/>
      <c r="K423" s="459"/>
      <c r="L423" s="459"/>
      <c r="M423" s="459"/>
      <c r="N423" s="459"/>
      <c r="O423" s="459"/>
      <c r="P423" s="459"/>
      <c r="Q423" s="459"/>
      <c r="R423" s="459"/>
      <c r="S423" s="459"/>
      <c r="T423" s="459"/>
      <c r="U423" s="459"/>
      <c r="V423" s="459"/>
      <c r="W423" s="459"/>
    </row>
    <row r="424" spans="4:23" s="481" customFormat="1">
      <c r="D424" s="459"/>
      <c r="E424" s="459"/>
      <c r="F424" s="459"/>
      <c r="G424" s="459"/>
      <c r="H424" s="459"/>
      <c r="I424" s="459"/>
      <c r="J424" s="459"/>
      <c r="K424" s="459"/>
      <c r="L424" s="459"/>
      <c r="M424" s="459"/>
      <c r="N424" s="459"/>
      <c r="O424" s="459"/>
      <c r="P424" s="459"/>
      <c r="Q424" s="459"/>
      <c r="R424" s="459"/>
      <c r="S424" s="459"/>
      <c r="T424" s="459"/>
      <c r="U424" s="459"/>
      <c r="V424" s="459"/>
      <c r="W424" s="459"/>
    </row>
    <row r="425" spans="4:23" s="481" customFormat="1">
      <c r="D425" s="459"/>
      <c r="E425" s="459"/>
      <c r="F425" s="459"/>
      <c r="G425" s="459"/>
      <c r="H425" s="459"/>
      <c r="I425" s="459"/>
      <c r="J425" s="459"/>
      <c r="K425" s="459"/>
      <c r="L425" s="459"/>
      <c r="M425" s="459"/>
      <c r="N425" s="459"/>
      <c r="O425" s="459"/>
      <c r="P425" s="459"/>
      <c r="Q425" s="459"/>
      <c r="R425" s="459"/>
      <c r="S425" s="459"/>
      <c r="T425" s="459"/>
      <c r="U425" s="459"/>
      <c r="V425" s="459"/>
      <c r="W425" s="459"/>
    </row>
    <row r="426" spans="4:23" s="481" customFormat="1">
      <c r="D426" s="459"/>
      <c r="E426" s="459"/>
      <c r="F426" s="459"/>
      <c r="G426" s="459"/>
      <c r="H426" s="459"/>
      <c r="I426" s="459"/>
      <c r="J426" s="459"/>
      <c r="K426" s="459"/>
      <c r="L426" s="459"/>
      <c r="M426" s="459"/>
      <c r="N426" s="459"/>
      <c r="O426" s="459"/>
      <c r="P426" s="459"/>
      <c r="Q426" s="459"/>
      <c r="R426" s="459"/>
      <c r="S426" s="459"/>
      <c r="T426" s="459"/>
      <c r="U426" s="459"/>
      <c r="V426" s="459"/>
      <c r="W426" s="459"/>
    </row>
    <row r="427" spans="4:23" s="481" customFormat="1">
      <c r="D427" s="459"/>
      <c r="E427" s="459"/>
      <c r="F427" s="459"/>
      <c r="G427" s="459"/>
      <c r="H427" s="459"/>
      <c r="I427" s="459"/>
      <c r="J427" s="459"/>
      <c r="K427" s="459"/>
      <c r="L427" s="459"/>
      <c r="M427" s="459"/>
      <c r="N427" s="459"/>
      <c r="O427" s="459"/>
      <c r="P427" s="459"/>
      <c r="Q427" s="459"/>
      <c r="R427" s="459"/>
      <c r="S427" s="459"/>
      <c r="T427" s="459"/>
      <c r="U427" s="459"/>
      <c r="V427" s="459"/>
      <c r="W427" s="459"/>
    </row>
    <row r="428" spans="4:23" s="481" customFormat="1">
      <c r="D428" s="459"/>
      <c r="E428" s="459"/>
      <c r="F428" s="459"/>
      <c r="G428" s="459"/>
      <c r="H428" s="459"/>
      <c r="I428" s="459"/>
      <c r="J428" s="459"/>
      <c r="K428" s="459"/>
      <c r="L428" s="459"/>
      <c r="M428" s="459"/>
      <c r="N428" s="459"/>
      <c r="O428" s="459"/>
      <c r="P428" s="459"/>
      <c r="Q428" s="459"/>
      <c r="R428" s="459"/>
      <c r="S428" s="459"/>
      <c r="T428" s="459"/>
      <c r="U428" s="459"/>
      <c r="V428" s="459"/>
      <c r="W428" s="459"/>
    </row>
    <row r="429" spans="4:23" s="481" customFormat="1">
      <c r="D429" s="459"/>
      <c r="E429" s="459"/>
      <c r="F429" s="459"/>
      <c r="G429" s="459"/>
      <c r="H429" s="459"/>
      <c r="I429" s="459"/>
      <c r="J429" s="459"/>
      <c r="K429" s="459"/>
      <c r="L429" s="459"/>
      <c r="M429" s="459"/>
      <c r="N429" s="459"/>
      <c r="O429" s="459"/>
      <c r="P429" s="459"/>
      <c r="Q429" s="459"/>
      <c r="R429" s="459"/>
      <c r="S429" s="459"/>
      <c r="T429" s="459"/>
      <c r="U429" s="459"/>
      <c r="V429" s="459"/>
      <c r="W429" s="459"/>
    </row>
    <row r="430" spans="4:23" s="481" customFormat="1">
      <c r="D430" s="459"/>
      <c r="E430" s="459"/>
      <c r="F430" s="459"/>
      <c r="G430" s="459"/>
      <c r="H430" s="459"/>
      <c r="I430" s="459"/>
      <c r="J430" s="459"/>
      <c r="K430" s="459"/>
      <c r="L430" s="459"/>
      <c r="M430" s="459"/>
      <c r="N430" s="459"/>
      <c r="O430" s="459"/>
      <c r="P430" s="459"/>
      <c r="Q430" s="459"/>
      <c r="R430" s="459"/>
      <c r="S430" s="459"/>
      <c r="T430" s="459"/>
      <c r="U430" s="459"/>
      <c r="V430" s="459"/>
      <c r="W430" s="459"/>
    </row>
    <row r="431" spans="4:23" s="481" customFormat="1">
      <c r="D431" s="459"/>
      <c r="E431" s="459"/>
      <c r="F431" s="459"/>
      <c r="G431" s="459"/>
      <c r="H431" s="459"/>
      <c r="I431" s="459"/>
      <c r="J431" s="459"/>
      <c r="K431" s="459"/>
      <c r="L431" s="459"/>
      <c r="M431" s="459"/>
      <c r="N431" s="459"/>
      <c r="O431" s="459"/>
      <c r="P431" s="459"/>
      <c r="Q431" s="459"/>
      <c r="R431" s="459"/>
      <c r="S431" s="459"/>
      <c r="T431" s="459"/>
      <c r="U431" s="459"/>
      <c r="V431" s="459"/>
      <c r="W431" s="459"/>
    </row>
    <row r="432" spans="4:23" s="481" customFormat="1">
      <c r="D432" s="459"/>
      <c r="E432" s="459"/>
      <c r="F432" s="459"/>
      <c r="G432" s="459"/>
      <c r="H432" s="459"/>
      <c r="I432" s="459"/>
      <c r="J432" s="459"/>
      <c r="K432" s="459"/>
      <c r="L432" s="459"/>
      <c r="M432" s="459"/>
      <c r="N432" s="459"/>
      <c r="O432" s="459"/>
      <c r="P432" s="459"/>
      <c r="Q432" s="459"/>
      <c r="R432" s="459"/>
      <c r="S432" s="459"/>
      <c r="T432" s="459"/>
      <c r="U432" s="459"/>
      <c r="V432" s="459"/>
      <c r="W432" s="459"/>
    </row>
    <row r="433" spans="4:23" s="481" customFormat="1">
      <c r="D433" s="459"/>
      <c r="E433" s="459"/>
      <c r="F433" s="459"/>
      <c r="G433" s="459"/>
      <c r="H433" s="459"/>
      <c r="I433" s="459"/>
      <c r="J433" s="459"/>
      <c r="K433" s="459"/>
      <c r="L433" s="459"/>
      <c r="M433" s="459"/>
      <c r="N433" s="459"/>
      <c r="O433" s="459"/>
      <c r="P433" s="459"/>
      <c r="Q433" s="459"/>
      <c r="R433" s="459"/>
      <c r="S433" s="459"/>
      <c r="T433" s="459"/>
      <c r="U433" s="459"/>
      <c r="V433" s="459"/>
      <c r="W433" s="459"/>
    </row>
    <row r="434" spans="4:23" s="481" customFormat="1">
      <c r="D434" s="459"/>
      <c r="E434" s="459"/>
      <c r="F434" s="459"/>
      <c r="G434" s="459"/>
      <c r="H434" s="459"/>
      <c r="I434" s="459"/>
      <c r="J434" s="459"/>
      <c r="K434" s="459"/>
      <c r="L434" s="459"/>
      <c r="M434" s="459"/>
      <c r="N434" s="459"/>
      <c r="O434" s="459"/>
      <c r="P434" s="459"/>
      <c r="Q434" s="459"/>
      <c r="R434" s="459"/>
      <c r="S434" s="459"/>
      <c r="T434" s="459"/>
      <c r="U434" s="459"/>
      <c r="V434" s="459"/>
      <c r="W434" s="459"/>
    </row>
    <row r="435" spans="4:23" s="481" customFormat="1">
      <c r="D435" s="459"/>
      <c r="E435" s="459"/>
      <c r="F435" s="459"/>
      <c r="G435" s="459"/>
      <c r="H435" s="459"/>
      <c r="I435" s="459"/>
      <c r="J435" s="459"/>
      <c r="K435" s="459"/>
      <c r="L435" s="459"/>
      <c r="M435" s="459"/>
      <c r="N435" s="459"/>
      <c r="O435" s="459"/>
      <c r="P435" s="459"/>
      <c r="Q435" s="459"/>
      <c r="R435" s="459"/>
      <c r="S435" s="459"/>
      <c r="T435" s="459"/>
      <c r="U435" s="459"/>
      <c r="V435" s="459"/>
      <c r="W435" s="459"/>
    </row>
    <row r="436" spans="4:23" s="481" customFormat="1">
      <c r="D436" s="459"/>
      <c r="E436" s="459"/>
      <c r="F436" s="459"/>
      <c r="G436" s="459"/>
      <c r="H436" s="459"/>
      <c r="I436" s="459"/>
      <c r="J436" s="459"/>
      <c r="K436" s="459"/>
      <c r="L436" s="459"/>
      <c r="M436" s="459"/>
      <c r="N436" s="459"/>
      <c r="O436" s="459"/>
      <c r="P436" s="459"/>
      <c r="Q436" s="459"/>
      <c r="R436" s="459"/>
      <c r="S436" s="459"/>
      <c r="T436" s="459"/>
      <c r="U436" s="459"/>
      <c r="V436" s="459"/>
      <c r="W436" s="459"/>
    </row>
    <row r="437" spans="4:23" s="481" customFormat="1">
      <c r="D437" s="459"/>
      <c r="E437" s="459"/>
      <c r="F437" s="459"/>
      <c r="G437" s="459"/>
      <c r="H437" s="459"/>
      <c r="I437" s="459"/>
      <c r="J437" s="459"/>
      <c r="K437" s="459"/>
      <c r="L437" s="459"/>
      <c r="M437" s="459"/>
      <c r="N437" s="459"/>
      <c r="O437" s="459"/>
      <c r="P437" s="459"/>
      <c r="Q437" s="459"/>
      <c r="R437" s="459"/>
      <c r="S437" s="459"/>
      <c r="T437" s="459"/>
      <c r="U437" s="459"/>
      <c r="V437" s="459"/>
      <c r="W437" s="459"/>
    </row>
    <row r="438" spans="4:23" s="481" customFormat="1">
      <c r="D438" s="459"/>
      <c r="E438" s="459"/>
      <c r="F438" s="459"/>
      <c r="G438" s="459"/>
      <c r="H438" s="459"/>
      <c r="I438" s="459"/>
      <c r="J438" s="459"/>
      <c r="K438" s="459"/>
      <c r="L438" s="459"/>
      <c r="M438" s="459"/>
      <c r="N438" s="459"/>
      <c r="O438" s="459"/>
      <c r="P438" s="459"/>
      <c r="Q438" s="459"/>
      <c r="R438" s="459"/>
      <c r="S438" s="459"/>
      <c r="T438" s="459"/>
      <c r="U438" s="459"/>
      <c r="V438" s="459"/>
      <c r="W438" s="459"/>
    </row>
    <row r="439" spans="4:23" s="481" customFormat="1">
      <c r="D439" s="459"/>
      <c r="E439" s="459"/>
      <c r="F439" s="459"/>
      <c r="G439" s="459"/>
      <c r="H439" s="459"/>
      <c r="I439" s="459"/>
      <c r="J439" s="459"/>
      <c r="K439" s="459"/>
      <c r="L439" s="459"/>
      <c r="M439" s="459"/>
      <c r="N439" s="459"/>
      <c r="O439" s="459"/>
      <c r="P439" s="459"/>
      <c r="Q439" s="459"/>
      <c r="R439" s="459"/>
      <c r="S439" s="459"/>
      <c r="T439" s="459"/>
      <c r="U439" s="459"/>
      <c r="V439" s="459"/>
      <c r="W439" s="459"/>
    </row>
    <row r="440" spans="4:23" s="481" customFormat="1">
      <c r="D440" s="459"/>
      <c r="E440" s="459"/>
      <c r="F440" s="459"/>
      <c r="G440" s="459"/>
      <c r="H440" s="459"/>
      <c r="I440" s="459"/>
      <c r="J440" s="459"/>
      <c r="K440" s="459"/>
      <c r="L440" s="459"/>
      <c r="M440" s="459"/>
      <c r="N440" s="459"/>
      <c r="O440" s="459"/>
      <c r="P440" s="459"/>
      <c r="Q440" s="459"/>
      <c r="R440" s="459"/>
      <c r="S440" s="459"/>
      <c r="T440" s="459"/>
      <c r="U440" s="459"/>
      <c r="V440" s="459"/>
      <c r="W440" s="459"/>
    </row>
    <row r="441" spans="4:23" s="481" customFormat="1">
      <c r="D441" s="459"/>
      <c r="E441" s="459"/>
      <c r="F441" s="459"/>
      <c r="G441" s="459"/>
      <c r="H441" s="459"/>
      <c r="I441" s="459"/>
      <c r="J441" s="459"/>
      <c r="K441" s="459"/>
      <c r="L441" s="459"/>
      <c r="M441" s="459"/>
      <c r="N441" s="459"/>
      <c r="O441" s="459"/>
      <c r="P441" s="459"/>
      <c r="Q441" s="459"/>
      <c r="R441" s="459"/>
      <c r="S441" s="459"/>
      <c r="T441" s="459"/>
      <c r="U441" s="459"/>
      <c r="V441" s="459"/>
      <c r="W441" s="459"/>
    </row>
    <row r="442" spans="4:23" s="481" customFormat="1">
      <c r="D442" s="459"/>
      <c r="E442" s="459"/>
      <c r="F442" s="459"/>
      <c r="G442" s="459"/>
      <c r="H442" s="459"/>
      <c r="I442" s="459"/>
      <c r="J442" s="459"/>
      <c r="K442" s="459"/>
      <c r="L442" s="459"/>
      <c r="M442" s="459"/>
      <c r="N442" s="459"/>
      <c r="O442" s="459"/>
      <c r="P442" s="459"/>
      <c r="Q442" s="459"/>
      <c r="R442" s="459"/>
      <c r="S442" s="459"/>
      <c r="T442" s="459"/>
      <c r="U442" s="459"/>
      <c r="V442" s="459"/>
      <c r="W442" s="459"/>
    </row>
    <row r="443" spans="4:23" s="481" customFormat="1">
      <c r="D443" s="459"/>
      <c r="E443" s="459"/>
      <c r="F443" s="459"/>
      <c r="G443" s="459"/>
      <c r="H443" s="459"/>
      <c r="I443" s="459"/>
      <c r="J443" s="459"/>
      <c r="K443" s="459"/>
      <c r="L443" s="459"/>
      <c r="M443" s="459"/>
      <c r="N443" s="459"/>
      <c r="O443" s="459"/>
      <c r="P443" s="459"/>
      <c r="Q443" s="459"/>
      <c r="R443" s="459"/>
      <c r="S443" s="459"/>
      <c r="T443" s="459"/>
      <c r="U443" s="459"/>
      <c r="V443" s="459"/>
      <c r="W443" s="459"/>
    </row>
    <row r="444" spans="4:23" s="481" customFormat="1">
      <c r="D444" s="459"/>
      <c r="E444" s="459"/>
      <c r="F444" s="459"/>
      <c r="G444" s="459"/>
      <c r="H444" s="459"/>
      <c r="I444" s="459"/>
      <c r="J444" s="459"/>
      <c r="K444" s="459"/>
      <c r="L444" s="459"/>
      <c r="M444" s="459"/>
      <c r="N444" s="459"/>
      <c r="O444" s="459"/>
      <c r="P444" s="459"/>
      <c r="Q444" s="459"/>
      <c r="R444" s="459"/>
      <c r="S444" s="459"/>
      <c r="T444" s="459"/>
      <c r="U444" s="459"/>
      <c r="V444" s="459"/>
      <c r="W444" s="459"/>
    </row>
    <row r="445" spans="4:23" s="481" customFormat="1">
      <c r="D445" s="459"/>
      <c r="E445" s="459"/>
      <c r="F445" s="459"/>
      <c r="G445" s="459"/>
      <c r="H445" s="459"/>
      <c r="I445" s="459"/>
      <c r="J445" s="459"/>
      <c r="K445" s="459"/>
      <c r="L445" s="459"/>
      <c r="M445" s="459"/>
      <c r="N445" s="459"/>
      <c r="O445" s="459"/>
      <c r="P445" s="459"/>
      <c r="Q445" s="459"/>
      <c r="R445" s="459"/>
      <c r="S445" s="459"/>
      <c r="T445" s="459"/>
      <c r="U445" s="459"/>
      <c r="V445" s="459"/>
      <c r="W445" s="459"/>
    </row>
    <row r="446" spans="4:23" s="481" customFormat="1">
      <c r="D446" s="459"/>
      <c r="E446" s="459"/>
      <c r="F446" s="459"/>
      <c r="G446" s="459"/>
      <c r="H446" s="459"/>
      <c r="I446" s="459"/>
      <c r="J446" s="459"/>
      <c r="K446" s="459"/>
      <c r="L446" s="459"/>
      <c r="M446" s="459"/>
      <c r="N446" s="459"/>
      <c r="O446" s="459"/>
      <c r="P446" s="459"/>
      <c r="Q446" s="459"/>
      <c r="R446" s="459"/>
      <c r="S446" s="459"/>
      <c r="T446" s="459"/>
      <c r="U446" s="459"/>
      <c r="V446" s="459"/>
      <c r="W446" s="459"/>
    </row>
    <row r="447" spans="4:23" s="481" customFormat="1">
      <c r="D447" s="459"/>
      <c r="E447" s="459"/>
      <c r="F447" s="459"/>
      <c r="G447" s="459"/>
      <c r="H447" s="459"/>
      <c r="I447" s="459"/>
      <c r="J447" s="459"/>
      <c r="K447" s="459"/>
      <c r="L447" s="459"/>
      <c r="M447" s="459"/>
      <c r="N447" s="459"/>
      <c r="O447" s="459"/>
      <c r="P447" s="459"/>
      <c r="Q447" s="459"/>
      <c r="R447" s="459"/>
      <c r="S447" s="459"/>
      <c r="T447" s="459"/>
      <c r="U447" s="459"/>
      <c r="V447" s="459"/>
      <c r="W447" s="459"/>
    </row>
    <row r="448" spans="4:23" s="481" customFormat="1">
      <c r="D448" s="459"/>
      <c r="E448" s="459"/>
      <c r="F448" s="459"/>
      <c r="G448" s="459"/>
      <c r="H448" s="459"/>
      <c r="I448" s="459"/>
      <c r="J448" s="459"/>
      <c r="K448" s="459"/>
      <c r="L448" s="459"/>
      <c r="M448" s="459"/>
      <c r="N448" s="459"/>
      <c r="O448" s="459"/>
      <c r="P448" s="459"/>
      <c r="Q448" s="459"/>
      <c r="R448" s="459"/>
      <c r="S448" s="459"/>
      <c r="T448" s="459"/>
      <c r="U448" s="459"/>
      <c r="V448" s="459"/>
      <c r="W448" s="459"/>
    </row>
    <row r="449" spans="4:23" s="481" customFormat="1">
      <c r="D449" s="459"/>
      <c r="E449" s="459"/>
      <c r="F449" s="459"/>
      <c r="G449" s="459"/>
      <c r="H449" s="459"/>
      <c r="I449" s="459"/>
      <c r="J449" s="459"/>
      <c r="K449" s="459"/>
      <c r="L449" s="459"/>
      <c r="M449" s="459"/>
      <c r="N449" s="459"/>
      <c r="O449" s="459"/>
      <c r="P449" s="459"/>
      <c r="Q449" s="459"/>
      <c r="R449" s="459"/>
      <c r="S449" s="459"/>
      <c r="T449" s="459"/>
      <c r="U449" s="459"/>
      <c r="V449" s="459"/>
      <c r="W449" s="459"/>
    </row>
    <row r="450" spans="4:23" s="481" customFormat="1">
      <c r="D450" s="459"/>
      <c r="E450" s="459"/>
      <c r="F450" s="459"/>
      <c r="G450" s="459"/>
      <c r="H450" s="459"/>
      <c r="I450" s="459"/>
      <c r="J450" s="459"/>
      <c r="K450" s="459"/>
      <c r="L450" s="459"/>
      <c r="M450" s="459"/>
      <c r="N450" s="459"/>
      <c r="O450" s="459"/>
      <c r="P450" s="459"/>
      <c r="Q450" s="459"/>
      <c r="R450" s="459"/>
      <c r="S450" s="459"/>
      <c r="T450" s="459"/>
      <c r="U450" s="459"/>
      <c r="V450" s="459"/>
      <c r="W450" s="459"/>
    </row>
    <row r="451" spans="4:23" s="481" customFormat="1">
      <c r="D451" s="459"/>
      <c r="E451" s="459"/>
      <c r="F451" s="459"/>
      <c r="G451" s="459"/>
      <c r="H451" s="459"/>
      <c r="I451" s="459"/>
      <c r="J451" s="459"/>
      <c r="K451" s="459"/>
      <c r="L451" s="459"/>
      <c r="M451" s="459"/>
      <c r="N451" s="459"/>
      <c r="O451" s="459"/>
      <c r="P451" s="459"/>
      <c r="Q451" s="459"/>
      <c r="R451" s="459"/>
      <c r="S451" s="459"/>
      <c r="T451" s="459"/>
      <c r="U451" s="459"/>
      <c r="V451" s="459"/>
      <c r="W451" s="459"/>
    </row>
    <row r="452" spans="4:23" s="481" customFormat="1">
      <c r="D452" s="459"/>
      <c r="E452" s="459"/>
      <c r="F452" s="459"/>
      <c r="G452" s="459"/>
      <c r="H452" s="459"/>
      <c r="I452" s="459"/>
      <c r="J452" s="459"/>
      <c r="K452" s="459"/>
      <c r="L452" s="459"/>
      <c r="M452" s="459"/>
      <c r="N452" s="459"/>
      <c r="O452" s="459"/>
      <c r="P452" s="459"/>
      <c r="Q452" s="459"/>
      <c r="R452" s="459"/>
      <c r="S452" s="459"/>
      <c r="T452" s="459"/>
      <c r="U452" s="459"/>
      <c r="V452" s="459"/>
      <c r="W452" s="459"/>
    </row>
    <row r="453" spans="4:23" s="481" customFormat="1">
      <c r="D453" s="459"/>
      <c r="E453" s="459"/>
      <c r="F453" s="459"/>
      <c r="G453" s="459"/>
      <c r="H453" s="459"/>
      <c r="I453" s="459"/>
      <c r="J453" s="459"/>
      <c r="K453" s="459"/>
      <c r="L453" s="459"/>
      <c r="M453" s="459"/>
      <c r="N453" s="459"/>
      <c r="O453" s="459"/>
      <c r="P453" s="459"/>
      <c r="Q453" s="459"/>
      <c r="R453" s="459"/>
      <c r="S453" s="459"/>
      <c r="T453" s="459"/>
      <c r="U453" s="459"/>
      <c r="V453" s="459"/>
      <c r="W453" s="459"/>
    </row>
    <row r="454" spans="4:23" s="481" customFormat="1">
      <c r="D454" s="459"/>
      <c r="E454" s="459"/>
      <c r="F454" s="459"/>
      <c r="G454" s="459"/>
      <c r="H454" s="459"/>
      <c r="I454" s="459"/>
      <c r="J454" s="459"/>
      <c r="K454" s="459"/>
      <c r="L454" s="459"/>
      <c r="M454" s="459"/>
      <c r="N454" s="459"/>
      <c r="O454" s="459"/>
      <c r="P454" s="459"/>
      <c r="Q454" s="459"/>
      <c r="R454" s="459"/>
      <c r="S454" s="459"/>
      <c r="T454" s="459"/>
      <c r="U454" s="459"/>
      <c r="V454" s="459"/>
      <c r="W454" s="459"/>
    </row>
    <row r="455" spans="4:23" s="481" customFormat="1">
      <c r="D455" s="459"/>
      <c r="E455" s="459"/>
      <c r="F455" s="459"/>
      <c r="G455" s="459"/>
      <c r="H455" s="459"/>
      <c r="I455" s="459"/>
      <c r="J455" s="459"/>
      <c r="K455" s="459"/>
      <c r="L455" s="459"/>
      <c r="M455" s="459"/>
      <c r="N455" s="459"/>
      <c r="O455" s="459"/>
      <c r="P455" s="459"/>
      <c r="Q455" s="459"/>
      <c r="R455" s="459"/>
      <c r="S455" s="459"/>
      <c r="T455" s="459"/>
      <c r="U455" s="459"/>
      <c r="V455" s="459"/>
      <c r="W455" s="459"/>
    </row>
    <row r="456" spans="4:23" s="481" customFormat="1">
      <c r="D456" s="459"/>
      <c r="E456" s="459"/>
      <c r="F456" s="459"/>
      <c r="G456" s="459"/>
      <c r="H456" s="459"/>
      <c r="I456" s="459"/>
      <c r="J456" s="459"/>
      <c r="K456" s="459"/>
      <c r="L456" s="459"/>
      <c r="M456" s="459"/>
      <c r="N456" s="459"/>
      <c r="O456" s="459"/>
      <c r="P456" s="459"/>
      <c r="Q456" s="459"/>
      <c r="R456" s="459"/>
      <c r="S456" s="459"/>
      <c r="T456" s="459"/>
      <c r="U456" s="459"/>
      <c r="V456" s="459"/>
      <c r="W456" s="459"/>
    </row>
    <row r="457" spans="4:23" s="481" customFormat="1">
      <c r="D457" s="459"/>
      <c r="E457" s="459"/>
      <c r="F457" s="459"/>
      <c r="G457" s="459"/>
      <c r="H457" s="459"/>
      <c r="I457" s="459"/>
      <c r="J457" s="459"/>
      <c r="K457" s="459"/>
      <c r="L457" s="459"/>
      <c r="M457" s="459"/>
      <c r="N457" s="459"/>
      <c r="O457" s="459"/>
      <c r="P457" s="459"/>
      <c r="Q457" s="459"/>
      <c r="R457" s="459"/>
      <c r="S457" s="459"/>
      <c r="T457" s="459"/>
      <c r="U457" s="459"/>
      <c r="V457" s="459"/>
      <c r="W457" s="459"/>
    </row>
    <row r="458" spans="4:23" s="481" customFormat="1">
      <c r="D458" s="459"/>
      <c r="E458" s="459"/>
      <c r="F458" s="459"/>
      <c r="G458" s="459"/>
      <c r="H458" s="459"/>
      <c r="I458" s="459"/>
      <c r="J458" s="459"/>
      <c r="K458" s="459"/>
      <c r="L458" s="459"/>
      <c r="M458" s="459"/>
      <c r="N458" s="459"/>
      <c r="O458" s="459"/>
      <c r="P458" s="459"/>
      <c r="Q458" s="459"/>
      <c r="R458" s="459"/>
      <c r="S458" s="459"/>
      <c r="T458" s="459"/>
      <c r="U458" s="459"/>
      <c r="V458" s="459"/>
      <c r="W458" s="459"/>
    </row>
    <row r="459" spans="4:23" s="481" customFormat="1">
      <c r="D459" s="459"/>
      <c r="E459" s="459"/>
      <c r="F459" s="459"/>
      <c r="G459" s="459"/>
      <c r="H459" s="459"/>
      <c r="I459" s="459"/>
      <c r="J459" s="459"/>
      <c r="K459" s="459"/>
      <c r="L459" s="459"/>
      <c r="M459" s="459"/>
      <c r="N459" s="459"/>
      <c r="O459" s="459"/>
      <c r="P459" s="459"/>
      <c r="Q459" s="459"/>
      <c r="R459" s="459"/>
      <c r="S459" s="459"/>
      <c r="T459" s="459"/>
      <c r="U459" s="459"/>
      <c r="V459" s="459"/>
      <c r="W459" s="459"/>
    </row>
    <row r="460" spans="4:23" s="481" customFormat="1">
      <c r="D460" s="459"/>
      <c r="E460" s="459"/>
      <c r="F460" s="459"/>
      <c r="G460" s="459"/>
      <c r="H460" s="459"/>
      <c r="I460" s="459"/>
      <c r="J460" s="459"/>
      <c r="K460" s="459"/>
      <c r="L460" s="459"/>
      <c r="M460" s="459"/>
      <c r="N460" s="459"/>
      <c r="O460" s="459"/>
      <c r="P460" s="459"/>
      <c r="Q460" s="459"/>
      <c r="R460" s="459"/>
      <c r="S460" s="459"/>
      <c r="T460" s="459"/>
      <c r="U460" s="459"/>
      <c r="V460" s="459"/>
      <c r="W460" s="459"/>
    </row>
    <row r="461" spans="4:23" s="481" customFormat="1">
      <c r="D461" s="459"/>
      <c r="E461" s="459"/>
      <c r="F461" s="459"/>
      <c r="G461" s="459"/>
      <c r="H461" s="459"/>
      <c r="I461" s="459"/>
      <c r="J461" s="459"/>
      <c r="K461" s="459"/>
      <c r="L461" s="459"/>
      <c r="M461" s="459"/>
      <c r="N461" s="459"/>
      <c r="O461" s="459"/>
      <c r="P461" s="459"/>
      <c r="Q461" s="459"/>
      <c r="R461" s="459"/>
      <c r="S461" s="459"/>
      <c r="T461" s="459"/>
      <c r="U461" s="459"/>
      <c r="V461" s="459"/>
      <c r="W461" s="459"/>
    </row>
    <row r="462" spans="4:23" s="481" customFormat="1">
      <c r="D462" s="459"/>
      <c r="E462" s="459"/>
      <c r="F462" s="459"/>
      <c r="G462" s="459"/>
      <c r="H462" s="459"/>
      <c r="I462" s="459"/>
      <c r="J462" s="459"/>
      <c r="K462" s="459"/>
      <c r="L462" s="459"/>
      <c r="M462" s="459"/>
      <c r="N462" s="459"/>
      <c r="O462" s="459"/>
      <c r="P462" s="459"/>
      <c r="Q462" s="459"/>
      <c r="R462" s="459"/>
      <c r="S462" s="459"/>
      <c r="T462" s="459"/>
      <c r="U462" s="459"/>
      <c r="V462" s="459"/>
      <c r="W462" s="459"/>
    </row>
    <row r="463" spans="4:23" s="481" customFormat="1">
      <c r="D463" s="459"/>
      <c r="E463" s="459"/>
      <c r="F463" s="459"/>
      <c r="G463" s="459"/>
      <c r="H463" s="459"/>
      <c r="I463" s="459"/>
      <c r="J463" s="459"/>
      <c r="K463" s="459"/>
      <c r="L463" s="459"/>
      <c r="M463" s="459"/>
      <c r="N463" s="459"/>
      <c r="O463" s="459"/>
      <c r="P463" s="459"/>
      <c r="Q463" s="459"/>
      <c r="R463" s="459"/>
      <c r="S463" s="459"/>
      <c r="T463" s="459"/>
      <c r="U463" s="459"/>
      <c r="V463" s="459"/>
      <c r="W463" s="459"/>
    </row>
    <row r="464" spans="4:23" s="481" customFormat="1">
      <c r="D464" s="459"/>
      <c r="E464" s="459"/>
      <c r="F464" s="459"/>
      <c r="G464" s="459"/>
      <c r="H464" s="459"/>
      <c r="I464" s="459"/>
      <c r="J464" s="459"/>
      <c r="K464" s="459"/>
      <c r="L464" s="459"/>
      <c r="M464" s="459"/>
      <c r="N464" s="459"/>
      <c r="O464" s="459"/>
      <c r="P464" s="459"/>
      <c r="Q464" s="459"/>
      <c r="R464" s="459"/>
      <c r="S464" s="459"/>
      <c r="T464" s="459"/>
      <c r="U464" s="459"/>
      <c r="V464" s="459"/>
      <c r="W464" s="459"/>
    </row>
    <row r="465" spans="4:23" s="481" customFormat="1">
      <c r="D465" s="459"/>
      <c r="E465" s="459"/>
      <c r="F465" s="459"/>
      <c r="G465" s="459"/>
      <c r="H465" s="459"/>
      <c r="I465" s="459"/>
      <c r="J465" s="459"/>
      <c r="K465" s="459"/>
      <c r="L465" s="459"/>
      <c r="M465" s="459"/>
      <c r="N465" s="459"/>
      <c r="O465" s="459"/>
      <c r="P465" s="459"/>
      <c r="Q465" s="459"/>
      <c r="R465" s="459"/>
      <c r="S465" s="459"/>
      <c r="T465" s="459"/>
      <c r="U465" s="459"/>
      <c r="V465" s="459"/>
      <c r="W465" s="459"/>
    </row>
    <row r="466" spans="4:23" s="481" customFormat="1">
      <c r="D466" s="459"/>
      <c r="E466" s="459"/>
      <c r="F466" s="459"/>
      <c r="G466" s="459"/>
      <c r="H466" s="459"/>
      <c r="I466" s="459"/>
      <c r="J466" s="459"/>
      <c r="K466" s="459"/>
      <c r="L466" s="459"/>
      <c r="M466" s="459"/>
      <c r="N466" s="459"/>
      <c r="O466" s="459"/>
      <c r="P466" s="459"/>
      <c r="Q466" s="459"/>
      <c r="R466" s="459"/>
      <c r="S466" s="459"/>
      <c r="T466" s="459"/>
      <c r="U466" s="459"/>
      <c r="V466" s="459"/>
      <c r="W466" s="459"/>
    </row>
    <row r="467" spans="4:23" s="481" customFormat="1">
      <c r="D467" s="459"/>
      <c r="E467" s="459"/>
      <c r="F467" s="459"/>
      <c r="G467" s="459"/>
      <c r="H467" s="459"/>
      <c r="I467" s="459"/>
      <c r="J467" s="459"/>
      <c r="K467" s="459"/>
      <c r="L467" s="459"/>
      <c r="M467" s="459"/>
      <c r="N467" s="459"/>
      <c r="O467" s="459"/>
      <c r="P467" s="459"/>
      <c r="Q467" s="459"/>
      <c r="R467" s="459"/>
      <c r="S467" s="459"/>
      <c r="T467" s="459"/>
      <c r="U467" s="459"/>
      <c r="V467" s="459"/>
      <c r="W467" s="459"/>
    </row>
    <row r="468" spans="4:23" s="481" customFormat="1">
      <c r="D468" s="459"/>
      <c r="E468" s="459"/>
      <c r="F468" s="459"/>
      <c r="G468" s="459"/>
      <c r="H468" s="459"/>
      <c r="I468" s="459"/>
      <c r="J468" s="459"/>
      <c r="K468" s="459"/>
      <c r="L468" s="459"/>
      <c r="M468" s="459"/>
      <c r="N468" s="459"/>
      <c r="O468" s="459"/>
      <c r="P468" s="459"/>
      <c r="Q468" s="459"/>
      <c r="R468" s="459"/>
      <c r="S468" s="459"/>
      <c r="T468" s="459"/>
      <c r="U468" s="459"/>
      <c r="V468" s="459"/>
      <c r="W468" s="459"/>
    </row>
    <row r="469" spans="4:23" s="481" customFormat="1">
      <c r="D469" s="459"/>
      <c r="E469" s="459"/>
      <c r="F469" s="459"/>
      <c r="G469" s="459"/>
      <c r="H469" s="459"/>
      <c r="I469" s="459"/>
      <c r="J469" s="459"/>
      <c r="K469" s="459"/>
      <c r="L469" s="459"/>
      <c r="M469" s="459"/>
      <c r="N469" s="459"/>
      <c r="O469" s="459"/>
      <c r="P469" s="459"/>
      <c r="Q469" s="459"/>
      <c r="R469" s="459"/>
      <c r="S469" s="459"/>
      <c r="T469" s="459"/>
      <c r="U469" s="459"/>
      <c r="V469" s="459"/>
      <c r="W469" s="459"/>
    </row>
    <row r="470" spans="4:23" s="481" customFormat="1">
      <c r="D470" s="459"/>
      <c r="E470" s="459"/>
      <c r="F470" s="459"/>
      <c r="G470" s="459"/>
      <c r="H470" s="459"/>
      <c r="I470" s="459"/>
      <c r="J470" s="459"/>
      <c r="K470" s="459"/>
      <c r="L470" s="459"/>
      <c r="M470" s="459"/>
      <c r="N470" s="459"/>
      <c r="O470" s="459"/>
      <c r="P470" s="459"/>
      <c r="Q470" s="459"/>
      <c r="R470" s="459"/>
      <c r="S470" s="459"/>
      <c r="T470" s="459"/>
      <c r="U470" s="459"/>
      <c r="V470" s="459"/>
      <c r="W470" s="459"/>
    </row>
  </sheetData>
  <sheetProtection selectLockedCells="1"/>
  <protectedRanges>
    <protectedRange algorithmName="SHA-512" hashValue="M8T40DvhoY/WzdK5n1OVpje0V8Fb5FEgFbaTOa2/Fy4qRekpCqTjkV4p99c1iEnHLgYXUYcOfwYBxBZOL+ioTg==" saltValue="KeH1G2sNZxU09nhCHqxJ9Q==" spinCount="100000" sqref="D303:O307 D289:O293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120">
    <mergeCell ref="P132:P133"/>
    <mergeCell ref="B47:C47"/>
    <mergeCell ref="D47:L47"/>
    <mergeCell ref="M47:N47"/>
    <mergeCell ref="B58:C58"/>
    <mergeCell ref="D58:L58"/>
    <mergeCell ref="M58:N58"/>
    <mergeCell ref="M25:N25"/>
    <mergeCell ref="D25:L25"/>
    <mergeCell ref="P73:Q73"/>
    <mergeCell ref="D106:O106"/>
    <mergeCell ref="B133:C133"/>
    <mergeCell ref="D36:L36"/>
    <mergeCell ref="S371:S372"/>
    <mergeCell ref="R369:S369"/>
    <mergeCell ref="R358:S358"/>
    <mergeCell ref="R370:S370"/>
    <mergeCell ref="R364:S364"/>
    <mergeCell ref="R365:S365"/>
    <mergeCell ref="R366:S366"/>
    <mergeCell ref="R367:S367"/>
    <mergeCell ref="R368:S368"/>
    <mergeCell ref="R359:S359"/>
    <mergeCell ref="R360:S360"/>
    <mergeCell ref="R361:S361"/>
    <mergeCell ref="R362:S362"/>
    <mergeCell ref="R363:S363"/>
    <mergeCell ref="Q371:R372"/>
    <mergeCell ref="B140:O140"/>
    <mergeCell ref="C169:O169"/>
    <mergeCell ref="B302:O302"/>
    <mergeCell ref="B288:O288"/>
    <mergeCell ref="B322:C322"/>
    <mergeCell ref="B276:C276"/>
    <mergeCell ref="B274:C274"/>
    <mergeCell ref="B275:C275"/>
    <mergeCell ref="B278:C278"/>
    <mergeCell ref="B279:C279"/>
    <mergeCell ref="C157:O157"/>
    <mergeCell ref="D322:O322"/>
    <mergeCell ref="C141:O141"/>
    <mergeCell ref="B273:O273"/>
    <mergeCell ref="B193:O193"/>
    <mergeCell ref="C226:O226"/>
    <mergeCell ref="C247:O247"/>
    <mergeCell ref="C194:O194"/>
    <mergeCell ref="B321:O321"/>
    <mergeCell ref="B358:L358"/>
    <mergeCell ref="B341:C341"/>
    <mergeCell ref="B329:O329"/>
    <mergeCell ref="C265:O265"/>
    <mergeCell ref="B351:C351"/>
    <mergeCell ref="B352:C352"/>
    <mergeCell ref="B353:C353"/>
    <mergeCell ref="D351:E351"/>
    <mergeCell ref="B287:C287"/>
    <mergeCell ref="D287:O287"/>
    <mergeCell ref="B347:C347"/>
    <mergeCell ref="B348:C348"/>
    <mergeCell ref="B342:C342"/>
    <mergeCell ref="B343:C343"/>
    <mergeCell ref="B344:C344"/>
    <mergeCell ref="B345:C345"/>
    <mergeCell ref="B346:C346"/>
    <mergeCell ref="M358:N358"/>
    <mergeCell ref="B349:C349"/>
    <mergeCell ref="B338:C338"/>
    <mergeCell ref="B340:O340"/>
    <mergeCell ref="M351:N351"/>
    <mergeCell ref="F13:O13"/>
    <mergeCell ref="T105:U105"/>
    <mergeCell ref="R105:S105"/>
    <mergeCell ref="D74:O74"/>
    <mergeCell ref="B73:O73"/>
    <mergeCell ref="K9:L9"/>
    <mergeCell ref="K8:L8"/>
    <mergeCell ref="M36:N36"/>
    <mergeCell ref="B36:C36"/>
    <mergeCell ref="B25:C25"/>
    <mergeCell ref="B389:C389"/>
    <mergeCell ref="B390:C390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84:O384"/>
    <mergeCell ref="B385:C385"/>
    <mergeCell ref="B386:C386"/>
    <mergeCell ref="B375:O375"/>
    <mergeCell ref="B377:C377"/>
    <mergeCell ref="B387:C387"/>
    <mergeCell ref="B388:C388"/>
    <mergeCell ref="P2:P5"/>
    <mergeCell ref="Q4:S4"/>
    <mergeCell ref="R6:S7"/>
    <mergeCell ref="R8:S9"/>
    <mergeCell ref="Q6:Q9"/>
    <mergeCell ref="Q5:S5"/>
    <mergeCell ref="P8:P9"/>
    <mergeCell ref="B2:O2"/>
    <mergeCell ref="B3:C3"/>
    <mergeCell ref="B9:C9"/>
    <mergeCell ref="D3:O3"/>
    <mergeCell ref="B4:C4"/>
    <mergeCell ref="B7:C7"/>
    <mergeCell ref="B8:C8"/>
    <mergeCell ref="E8:G8"/>
    <mergeCell ref="I8:I9"/>
    <mergeCell ref="H8:H9"/>
    <mergeCell ref="J8:J9"/>
    <mergeCell ref="P6:P7"/>
    <mergeCell ref="M8:O8"/>
    <mergeCell ref="M9:O9"/>
  </mergeCells>
  <conditionalFormatting sqref="E9">
    <cfRule type="expression" dxfId="376" priority="781">
      <formula>$E$10=TRUE</formula>
    </cfRule>
  </conditionalFormatting>
  <conditionalFormatting sqref="F9">
    <cfRule type="expression" dxfId="375" priority="780">
      <formula>$F$10=TRUE</formula>
    </cfRule>
  </conditionalFormatting>
  <conditionalFormatting sqref="G9">
    <cfRule type="expression" dxfId="374" priority="779">
      <formula>$G$10=TRUE</formula>
    </cfRule>
  </conditionalFormatting>
  <conditionalFormatting sqref="B142:B157 B169">
    <cfRule type="containsErrors" dxfId="373" priority="913">
      <formula>ISERROR(B142)</formula>
    </cfRule>
  </conditionalFormatting>
  <conditionalFormatting sqref="D145:P156 D161:P168 D173:P187 G142:P144 G158:P160 G170:P172">
    <cfRule type="expression" dxfId="372" priority="731">
      <formula>$Q142=2</formula>
    </cfRule>
    <cfRule type="expression" dxfId="371" priority="732">
      <formula>$Q142=0</formula>
    </cfRule>
    <cfRule type="expression" dxfId="370" priority="733">
      <formula>$Q142=1</formula>
    </cfRule>
  </conditionalFormatting>
  <conditionalFormatting sqref="P188:P191 P268:P270">
    <cfRule type="containsErrors" dxfId="369" priority="915">
      <formula>ISERROR(P188)</formula>
    </cfRule>
  </conditionalFormatting>
  <conditionalFormatting sqref="B194">
    <cfRule type="containsErrors" dxfId="368" priority="714">
      <formula>ISERROR(B194)</formula>
    </cfRule>
  </conditionalFormatting>
  <conditionalFormatting sqref="P271">
    <cfRule type="containsErrors" dxfId="367" priority="713">
      <formula>ISERROR(P271)</formula>
    </cfRule>
  </conditionalFormatting>
  <conditionalFormatting sqref="G352">
    <cfRule type="expression" dxfId="366" priority="696">
      <formula>$G$352&gt;1</formula>
    </cfRule>
  </conditionalFormatting>
  <conditionalFormatting sqref="H352">
    <cfRule type="expression" dxfId="365" priority="695">
      <formula>$H$352&gt;1</formula>
    </cfRule>
  </conditionalFormatting>
  <conditionalFormatting sqref="I352">
    <cfRule type="expression" dxfId="364" priority="694">
      <formula>$I$352&gt;1</formula>
    </cfRule>
  </conditionalFormatting>
  <conditionalFormatting sqref="J352">
    <cfRule type="expression" dxfId="363" priority="693">
      <formula>$J$352&gt;1</formula>
    </cfRule>
  </conditionalFormatting>
  <conditionalFormatting sqref="K352">
    <cfRule type="expression" dxfId="362" priority="692">
      <formula>$K$352&gt;1</formula>
    </cfRule>
  </conditionalFormatting>
  <conditionalFormatting sqref="L352">
    <cfRule type="expression" dxfId="361" priority="691">
      <formula>$L$352&gt;1</formula>
    </cfRule>
  </conditionalFormatting>
  <conditionalFormatting sqref="M352">
    <cfRule type="expression" dxfId="360" priority="690">
      <formula>$M$352&gt;1</formula>
    </cfRule>
  </conditionalFormatting>
  <conditionalFormatting sqref="N352">
    <cfRule type="expression" dxfId="359" priority="689">
      <formula>$N$352&gt;1</formula>
    </cfRule>
  </conditionalFormatting>
  <conditionalFormatting sqref="O352">
    <cfRule type="expression" dxfId="358" priority="688">
      <formula>$O$352&gt;1</formula>
    </cfRule>
  </conditionalFormatting>
  <conditionalFormatting sqref="G353">
    <cfRule type="expression" dxfId="357" priority="684">
      <formula>$G$353&gt;1</formula>
    </cfRule>
  </conditionalFormatting>
  <conditionalFormatting sqref="H353">
    <cfRule type="expression" dxfId="356" priority="683">
      <formula>$H$353&gt;1</formula>
    </cfRule>
  </conditionalFormatting>
  <conditionalFormatting sqref="I353">
    <cfRule type="expression" dxfId="355" priority="682">
      <formula>$I$353&gt;1</formula>
    </cfRule>
  </conditionalFormatting>
  <conditionalFormatting sqref="J353">
    <cfRule type="expression" dxfId="354" priority="681">
      <formula>$J$353&gt;1</formula>
    </cfRule>
  </conditionalFormatting>
  <conditionalFormatting sqref="K353">
    <cfRule type="expression" dxfId="353" priority="680">
      <formula>$K$353&gt;1</formula>
    </cfRule>
  </conditionalFormatting>
  <conditionalFormatting sqref="L353">
    <cfRule type="expression" dxfId="352" priority="679">
      <formula>$L$353&gt;1</formula>
    </cfRule>
  </conditionalFormatting>
  <conditionalFormatting sqref="M353">
    <cfRule type="expression" dxfId="351" priority="678">
      <formula>$M$353&gt;1</formula>
    </cfRule>
  </conditionalFormatting>
  <conditionalFormatting sqref="N353">
    <cfRule type="expression" dxfId="350" priority="677">
      <formula>$N$353&gt;1</formula>
    </cfRule>
  </conditionalFormatting>
  <conditionalFormatting sqref="O353">
    <cfRule type="expression" dxfId="349" priority="676">
      <formula>$O$353&gt;1</formula>
    </cfRule>
  </conditionalFormatting>
  <conditionalFormatting sqref="D359:O363">
    <cfRule type="expression" dxfId="348" priority="658">
      <formula>D359&gt;1</formula>
    </cfRule>
  </conditionalFormatting>
  <conditionalFormatting sqref="B226">
    <cfRule type="containsErrors" dxfId="347" priority="255">
      <formula>ISERROR(B226)</formula>
    </cfRule>
  </conditionalFormatting>
  <conditionalFormatting sqref="B247">
    <cfRule type="containsErrors" dxfId="346" priority="254">
      <formula>ISERROR(B247)</formula>
    </cfRule>
  </conditionalFormatting>
  <conditionalFormatting sqref="B160:B168">
    <cfRule type="containsErrors" dxfId="345" priority="253">
      <formula>ISERROR(B160)</formula>
    </cfRule>
  </conditionalFormatting>
  <conditionalFormatting sqref="B172:B187">
    <cfRule type="containsErrors" dxfId="344" priority="252">
      <formula>ISERROR(B172)</formula>
    </cfRule>
  </conditionalFormatting>
  <conditionalFormatting sqref="D26:P30">
    <cfRule type="expression" dxfId="343" priority="251">
      <formula>$P$13=1</formula>
    </cfRule>
  </conditionalFormatting>
  <conditionalFormatting sqref="Q107:Q126 T107:U126 Q75:Q105">
    <cfRule type="expression" dxfId="342" priority="248">
      <formula>$P$13=1</formula>
    </cfRule>
  </conditionalFormatting>
  <conditionalFormatting sqref="D133:O133">
    <cfRule type="expression" dxfId="341" priority="205">
      <formula>$Q133=2</formula>
    </cfRule>
    <cfRule type="expression" dxfId="340" priority="206">
      <formula>$Q133=0</formula>
    </cfRule>
    <cfRule type="expression" dxfId="339" priority="207">
      <formula>$Q133=1</formula>
    </cfRule>
  </conditionalFormatting>
  <conditionalFormatting sqref="P135:P138">
    <cfRule type="containsErrors" dxfId="338" priority="221">
      <formula>ISERROR(P135)</formula>
    </cfRule>
  </conditionalFormatting>
  <conditionalFormatting sqref="B133">
    <cfRule type="containsErrors" dxfId="337" priority="204">
      <formula>ISERROR(B133)</formula>
    </cfRule>
  </conditionalFormatting>
  <conditionalFormatting sqref="B132:P138">
    <cfRule type="expression" dxfId="336" priority="202">
      <formula>$P$13=2</formula>
    </cfRule>
    <cfRule type="expression" dxfId="335" priority="203">
      <formula>$P$13=1</formula>
    </cfRule>
  </conditionalFormatting>
  <conditionalFormatting sqref="D293:O299">
    <cfRule type="expression" dxfId="334" priority="197">
      <formula>D$289+D$291=0</formula>
    </cfRule>
  </conditionalFormatting>
  <conditionalFormatting sqref="D307:O313">
    <cfRule type="expression" dxfId="333" priority="196">
      <formula>D$303+D$305=0</formula>
    </cfRule>
  </conditionalFormatting>
  <conditionalFormatting sqref="D364:O366">
    <cfRule type="expression" dxfId="332" priority="193">
      <formula>D364&gt;1</formula>
    </cfRule>
  </conditionalFormatting>
  <conditionalFormatting sqref="D368:O368">
    <cfRule type="expression" dxfId="331" priority="192">
      <formula>D368&gt;1</formula>
    </cfRule>
  </conditionalFormatting>
  <conditionalFormatting sqref="D367:O367">
    <cfRule type="expression" dxfId="330" priority="191">
      <formula>D367&gt;1</formula>
    </cfRule>
  </conditionalFormatting>
  <conditionalFormatting sqref="D369:O369">
    <cfRule type="expression" dxfId="329" priority="190">
      <formula>D369&gt;1</formula>
    </cfRule>
  </conditionalFormatting>
  <conditionalFormatting sqref="D369:O369">
    <cfRule type="expression" dxfId="328" priority="189">
      <formula>D369&gt;1</formula>
    </cfRule>
  </conditionalFormatting>
  <conditionalFormatting sqref="D309:O313">
    <cfRule type="expression" dxfId="327" priority="188">
      <formula>D$307=0</formula>
    </cfRule>
  </conditionalFormatting>
  <conditionalFormatting sqref="P370:P372">
    <cfRule type="containsErrors" dxfId="326" priority="160">
      <formula>ISERROR(P370)</formula>
    </cfRule>
  </conditionalFormatting>
  <conditionalFormatting sqref="B265">
    <cfRule type="containsErrors" dxfId="325" priority="124">
      <formula>ISERROR(B265)</formula>
    </cfRule>
  </conditionalFormatting>
  <conditionalFormatting sqref="D142:F144">
    <cfRule type="expression" dxfId="324" priority="112">
      <formula>$Q142=2</formula>
    </cfRule>
    <cfRule type="expression" dxfId="323" priority="113">
      <formula>$Q142=0</formula>
    </cfRule>
    <cfRule type="expression" dxfId="322" priority="114">
      <formula>$Q142=1</formula>
    </cfRule>
  </conditionalFormatting>
  <conditionalFormatting sqref="D160:F160 F158:F159">
    <cfRule type="expression" dxfId="321" priority="107">
      <formula>$Q158=2</formula>
    </cfRule>
    <cfRule type="expression" dxfId="320" priority="108">
      <formula>$Q158=0</formula>
    </cfRule>
    <cfRule type="expression" dxfId="319" priority="109">
      <formula>$Q158=1</formula>
    </cfRule>
  </conditionalFormatting>
  <conditionalFormatting sqref="D172:F172 F170:F171">
    <cfRule type="expression" dxfId="318" priority="102">
      <formula>$Q170=2</formula>
    </cfRule>
    <cfRule type="expression" dxfId="317" priority="103">
      <formula>$Q170=0</formula>
    </cfRule>
    <cfRule type="expression" dxfId="316" priority="104">
      <formula>$Q170=1</formula>
    </cfRule>
  </conditionalFormatting>
  <conditionalFormatting sqref="D352">
    <cfRule type="expression" dxfId="315" priority="88">
      <formula>$D$352&gt;1</formula>
    </cfRule>
  </conditionalFormatting>
  <conditionalFormatting sqref="E352">
    <cfRule type="expression" dxfId="314" priority="87">
      <formula>$E$352&gt;1</formula>
    </cfRule>
  </conditionalFormatting>
  <conditionalFormatting sqref="F352">
    <cfRule type="expression" dxfId="313" priority="86">
      <formula>$F$352&gt;1</formula>
    </cfRule>
  </conditionalFormatting>
  <conditionalFormatting sqref="D353">
    <cfRule type="expression" dxfId="312" priority="85">
      <formula>$D$353&gt;1</formula>
    </cfRule>
  </conditionalFormatting>
  <conditionalFormatting sqref="E353">
    <cfRule type="expression" dxfId="311" priority="84">
      <formula>$E$353&gt;1</formula>
    </cfRule>
  </conditionalFormatting>
  <conditionalFormatting sqref="F353">
    <cfRule type="expression" dxfId="310" priority="83">
      <formula>$F$353&gt;1</formula>
    </cfRule>
  </conditionalFormatting>
  <conditionalFormatting sqref="D158:E159">
    <cfRule type="expression" dxfId="309" priority="75">
      <formula>$Q158=2</formula>
    </cfRule>
    <cfRule type="expression" dxfId="308" priority="76">
      <formula>$Q158=0</formula>
    </cfRule>
    <cfRule type="expression" dxfId="307" priority="77">
      <formula>$Q158=1</formula>
    </cfRule>
  </conditionalFormatting>
  <conditionalFormatting sqref="D170:D171">
    <cfRule type="expression" dxfId="306" priority="25">
      <formula>$Q170=2</formula>
    </cfRule>
    <cfRule type="expression" dxfId="305" priority="26">
      <formula>$Q170=0</formula>
    </cfRule>
    <cfRule type="expression" dxfId="304" priority="27">
      <formula>$Q170=1</formula>
    </cfRule>
  </conditionalFormatting>
  <conditionalFormatting sqref="E170:E171">
    <cfRule type="expression" dxfId="303" priority="21">
      <formula>$Q170=2</formula>
    </cfRule>
    <cfRule type="expression" dxfId="302" priority="22">
      <formula>$Q170=0</formula>
    </cfRule>
    <cfRule type="expression" dxfId="301" priority="23">
      <formula>$Q170=1</formula>
    </cfRule>
  </conditionalFormatting>
  <conditionalFormatting sqref="B158:B159">
    <cfRule type="containsErrors" dxfId="300" priority="18">
      <formula>ISERROR(B158)</formula>
    </cfRule>
  </conditionalFormatting>
  <conditionalFormatting sqref="B170:B171">
    <cfRule type="containsErrors" dxfId="299" priority="17">
      <formula>ISERROR(B170)</formula>
    </cfRule>
  </conditionalFormatting>
  <dataValidations count="19">
    <dataValidation type="decimal" allowBlank="1" showInputMessage="1" showErrorMessage="1" errorTitle="only number no text" error="Please enter valid number. No text!" sqref="D14:O17">
      <formula1>0</formula1>
      <formula2>1E+21</formula2>
    </dataValidation>
    <dataValidation type="decimal" allowBlank="1" showInputMessage="1" showErrorMessage="1" errorTitle="Only number no text" error="Please enter valid number. No text!" sqref="D18:O24">
      <formula1>0</formula1>
      <formula2>1E+25</formula2>
    </dataValidation>
    <dataValidation type="whole" errorStyle="warning" operator="greaterThan" allowBlank="1" showInputMessage="1" sqref="D303:O308 D289:P294">
      <formula1>0</formula1>
    </dataValidation>
    <dataValidation type="decimal" allowBlank="1" showInputMessage="1" showErrorMessage="1" error="Enter Probable Number of days planned" sqref="D352:O353">
      <formula1>0</formula1>
      <formula2>90</formula2>
    </dataValidation>
    <dataValidation operator="greaterThan" allowBlank="1" showInputMessage="1" showErrorMessage="1" error="Enter filing fees" sqref="D376:O381"/>
    <dataValidation type="whole" operator="greaterThan" allowBlank="1" showInputMessage="1" showErrorMessage="1" error="Please enter numerical value" sqref="D158:O168 D142:O156 D170:O187">
      <formula1>0</formula1>
    </dataValidation>
    <dataValidation allowBlank="1" showInputMessage="1" showErrorMessage="1" error="Enter Probable Number of days planned" sqref="D385:O390"/>
    <dataValidation type="list" allowBlank="1" showInputMessage="1" showErrorMessage="1" sqref="C121:C126">
      <formula1>$C$75:$C$105</formula1>
    </dataValidation>
    <dataValidation type="whole" operator="greaterThan" allowBlank="1" showInputMessage="1" showErrorMessage="1" sqref="D342:F348 O58 O36 B330:B336 O25 D324:O327 B107:B108 B323:B327 B89:B105 D266:O267 D227:O246 D274:O280 D330:O336 E341:F341 O47 D195:O225 G341:O348 B75:B76 B121:B126 D248:O264">
      <formula1>0</formula1>
    </dataValidation>
    <dataValidation operator="greaterThan" allowBlank="1" showInputMessage="1" showErrorMessage="1" error="Please enter numerical value" sqref="D134:O134"/>
    <dataValidation operator="greaterThan" allowBlank="1" showInputMessage="1" showErrorMessage="1" error="Enter Probable Number of mandays required" sqref="D359:O369"/>
    <dataValidation type="whole" operator="greaterThan" allowBlank="1" showInputMessage="1" showErrorMessage="1" error="Enter Probable duration in days" sqref="Q359:Q363 Q365 Q367:Q369">
      <formula1>0</formula1>
    </dataValidation>
    <dataValidation type="list" allowBlank="1" showInputMessage="1" showErrorMessage="1" sqref="C379:C380">
      <formula1>$AK$2:$AK$3</formula1>
    </dataValidation>
    <dataValidation type="whole" operator="equal" allowBlank="1" showInputMessage="1" showErrorMessage="1" error="The number of days does not match with the number of days provided in plant support cost" sqref="Q364">
      <formula1>P352</formula1>
    </dataValidation>
    <dataValidation type="whole" operator="equal" allowBlank="1" showInputMessage="1" showErrorMessage="1" error="The number of days does not match with the number of days provided in plant support cost" sqref="Q366">
      <formula1>P353</formula1>
    </dataValidation>
    <dataValidation type="decimal" operator="greaterThan" allowBlank="1" showInputMessage="1" showErrorMessage="1" sqref="L75:O105 I87:K88 D75:K86 D89:K105 D87:G88 D112:F113 D107:G111">
      <formula1>0</formula1>
    </dataValidation>
    <dataValidation type="list" allowBlank="1" showInputMessage="1" showErrorMessage="1" sqref="C134">
      <formula1>$Q$2:$Q$75</formula1>
    </dataValidation>
    <dataValidation type="list" allowBlank="1" showInputMessage="1" showErrorMessage="1" sqref="C267">
      <formula1>$AJ$2:$AJ$100</formula1>
    </dataValidation>
    <dataValidation type="list" allowBlank="1" showInputMessage="1" showErrorMessage="1" sqref="C160 C172">
      <formula1>#N/A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rowBreaks count="2" manualBreakCount="2">
    <brk id="191" max="20" man="1"/>
    <brk id="271" max="20" man="1"/>
  </rowBreaks>
  <ignoredErrors>
    <ignoredError sqref="E368:O368 D367:O367" formula="1"/>
    <ignoredError sqref="D266:E266 G266:O266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4</xdr:col>
                    <xdr:colOff>9525</xdr:colOff>
                    <xdr:row>8</xdr:row>
                    <xdr:rowOff>0</xdr:rowOff>
                  </from>
                  <to>
                    <xdr:col>4</xdr:col>
                    <xdr:colOff>238125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5</xdr:col>
                    <xdr:colOff>228600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Check Box 4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0</xdr:rowOff>
                  </from>
                  <to>
                    <xdr:col>6</xdr:col>
                    <xdr:colOff>238125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7" name="Check Box 28">
              <controlPr defaultSize="0" autoFill="0" autoLine="0" autoPict="0">
                <anchor moveWithCells="1">
                  <from>
                    <xdr:col>3</xdr:col>
                    <xdr:colOff>9525</xdr:colOff>
                    <xdr:row>375</xdr:row>
                    <xdr:rowOff>9525</xdr:rowOff>
                  </from>
                  <to>
                    <xdr:col>3</xdr:col>
                    <xdr:colOff>219075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8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375</xdr:row>
                    <xdr:rowOff>9525</xdr:rowOff>
                  </from>
                  <to>
                    <xdr:col>4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9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375</xdr:row>
                    <xdr:rowOff>9525</xdr:rowOff>
                  </from>
                  <to>
                    <xdr:col>5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0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375</xdr:row>
                    <xdr:rowOff>9525</xdr:rowOff>
                  </from>
                  <to>
                    <xdr:col>6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1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375</xdr:row>
                    <xdr:rowOff>9525</xdr:rowOff>
                  </from>
                  <to>
                    <xdr:col>7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2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375</xdr:row>
                    <xdr:rowOff>9525</xdr:rowOff>
                  </from>
                  <to>
                    <xdr:col>8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3" name="Check Box 34">
              <controlPr defaultSize="0" autoFill="0" autoLine="0" autoPict="0">
                <anchor moveWithCells="1">
                  <from>
                    <xdr:col>9</xdr:col>
                    <xdr:colOff>0</xdr:colOff>
                    <xdr:row>375</xdr:row>
                    <xdr:rowOff>9525</xdr:rowOff>
                  </from>
                  <to>
                    <xdr:col>9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4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375</xdr:row>
                    <xdr:rowOff>9525</xdr:rowOff>
                  </from>
                  <to>
                    <xdr:col>10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5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375</xdr:row>
                    <xdr:rowOff>9525</xdr:rowOff>
                  </from>
                  <to>
                    <xdr:col>11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6" name="Check Box 37">
              <controlPr defaultSize="0" autoFill="0" autoLine="0" autoPict="0">
                <anchor moveWithCells="1">
                  <from>
                    <xdr:col>12</xdr:col>
                    <xdr:colOff>0</xdr:colOff>
                    <xdr:row>375</xdr:row>
                    <xdr:rowOff>9525</xdr:rowOff>
                  </from>
                  <to>
                    <xdr:col>12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375</xdr:row>
                    <xdr:rowOff>9525</xdr:rowOff>
                  </from>
                  <to>
                    <xdr:col>13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8" name="Check Box 39">
              <controlPr defaultSize="0" autoFill="0" autoLine="0" autoPict="0">
                <anchor moveWithCells="1">
                  <from>
                    <xdr:col>14</xdr:col>
                    <xdr:colOff>0</xdr:colOff>
                    <xdr:row>375</xdr:row>
                    <xdr:rowOff>9525</xdr:rowOff>
                  </from>
                  <to>
                    <xdr:col>14</xdr:col>
                    <xdr:colOff>209550</xdr:colOff>
                    <xdr:row>376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9" name="Check Box 40">
              <controlPr defaultSize="0" autoFill="0" autoLine="0" autoPict="0">
                <anchor moveWithCells="1">
                  <from>
                    <xdr:col>3</xdr:col>
                    <xdr:colOff>9525</xdr:colOff>
                    <xdr:row>376</xdr:row>
                    <xdr:rowOff>0</xdr:rowOff>
                  </from>
                  <to>
                    <xdr:col>3</xdr:col>
                    <xdr:colOff>219075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20" name="Check Box 41">
              <controlPr defaultSize="0" autoFill="0" autoLine="0" autoPict="0">
                <anchor moveWithCells="1">
                  <from>
                    <xdr:col>4</xdr:col>
                    <xdr:colOff>0</xdr:colOff>
                    <xdr:row>376</xdr:row>
                    <xdr:rowOff>0</xdr:rowOff>
                  </from>
                  <to>
                    <xdr:col>4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21" name="Check Box 42">
              <controlPr defaultSize="0" autoFill="0" autoLine="0" autoPict="0">
                <anchor moveWithCells="1">
                  <from>
                    <xdr:col>5</xdr:col>
                    <xdr:colOff>0</xdr:colOff>
                    <xdr:row>376</xdr:row>
                    <xdr:rowOff>0</xdr:rowOff>
                  </from>
                  <to>
                    <xdr:col>5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22" name="Check Box 43">
              <controlPr defaultSize="0" autoFill="0" autoLine="0" autoPict="0">
                <anchor moveWithCells="1">
                  <from>
                    <xdr:col>6</xdr:col>
                    <xdr:colOff>0</xdr:colOff>
                    <xdr:row>376</xdr:row>
                    <xdr:rowOff>0</xdr:rowOff>
                  </from>
                  <to>
                    <xdr:col>6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23" name="Check Box 44">
              <controlPr defaultSize="0" autoFill="0" autoLine="0" autoPict="0">
                <anchor moveWithCells="1">
                  <from>
                    <xdr:col>7</xdr:col>
                    <xdr:colOff>0</xdr:colOff>
                    <xdr:row>376</xdr:row>
                    <xdr:rowOff>0</xdr:rowOff>
                  </from>
                  <to>
                    <xdr:col>7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24" name="Check Box 45">
              <controlPr defaultSize="0" autoFill="0" autoLine="0" autoPict="0">
                <anchor moveWithCells="1">
                  <from>
                    <xdr:col>8</xdr:col>
                    <xdr:colOff>0</xdr:colOff>
                    <xdr:row>376</xdr:row>
                    <xdr:rowOff>0</xdr:rowOff>
                  </from>
                  <to>
                    <xdr:col>8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25" name="Check Box 46">
              <controlPr defaultSize="0" autoFill="0" autoLine="0" autoPict="0">
                <anchor moveWithCells="1">
                  <from>
                    <xdr:col>9</xdr:col>
                    <xdr:colOff>0</xdr:colOff>
                    <xdr:row>376</xdr:row>
                    <xdr:rowOff>0</xdr:rowOff>
                  </from>
                  <to>
                    <xdr:col>9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26" name="Check Box 47">
              <controlPr defaultSize="0" autoFill="0" autoLine="0" autoPict="0">
                <anchor moveWithCells="1">
                  <from>
                    <xdr:col>10</xdr:col>
                    <xdr:colOff>0</xdr:colOff>
                    <xdr:row>376</xdr:row>
                    <xdr:rowOff>0</xdr:rowOff>
                  </from>
                  <to>
                    <xdr:col>10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27" name="Check Box 48">
              <controlPr defaultSize="0" autoFill="0" autoLine="0" autoPict="0">
                <anchor moveWithCells="1">
                  <from>
                    <xdr:col>11</xdr:col>
                    <xdr:colOff>0</xdr:colOff>
                    <xdr:row>376</xdr:row>
                    <xdr:rowOff>0</xdr:rowOff>
                  </from>
                  <to>
                    <xdr:col>11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28" name="Check Box 49">
              <controlPr defaultSize="0" autoFill="0" autoLine="0" autoPict="0">
                <anchor moveWithCells="1">
                  <from>
                    <xdr:col>12</xdr:col>
                    <xdr:colOff>0</xdr:colOff>
                    <xdr:row>376</xdr:row>
                    <xdr:rowOff>0</xdr:rowOff>
                  </from>
                  <to>
                    <xdr:col>12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29" name="Check Box 50">
              <controlPr defaultSize="0" autoFill="0" autoLine="0" autoPict="0">
                <anchor moveWithCells="1">
                  <from>
                    <xdr:col>13</xdr:col>
                    <xdr:colOff>0</xdr:colOff>
                    <xdr:row>376</xdr:row>
                    <xdr:rowOff>0</xdr:rowOff>
                  </from>
                  <to>
                    <xdr:col>13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30" name="Check Box 51">
              <controlPr defaultSize="0" autoFill="0" autoLine="0" autoPict="0">
                <anchor moveWithCells="1">
                  <from>
                    <xdr:col>14</xdr:col>
                    <xdr:colOff>0</xdr:colOff>
                    <xdr:row>376</xdr:row>
                    <xdr:rowOff>0</xdr:rowOff>
                  </from>
                  <to>
                    <xdr:col>14</xdr:col>
                    <xdr:colOff>209550</xdr:colOff>
                    <xdr:row>378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31" name="Check Box 52">
              <controlPr defaultSize="0" autoFill="0" autoLine="0" autoPict="0">
                <anchor moveWithCells="1">
                  <from>
                    <xdr:col>3</xdr:col>
                    <xdr:colOff>9525</xdr:colOff>
                    <xdr:row>378</xdr:row>
                    <xdr:rowOff>0</xdr:rowOff>
                  </from>
                  <to>
                    <xdr:col>3</xdr:col>
                    <xdr:colOff>219075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32" name="Check Box 53">
              <controlPr defaultSize="0" autoFill="0" autoLine="0" autoPict="0">
                <anchor moveWithCells="1">
                  <from>
                    <xdr:col>4</xdr:col>
                    <xdr:colOff>0</xdr:colOff>
                    <xdr:row>378</xdr:row>
                    <xdr:rowOff>0</xdr:rowOff>
                  </from>
                  <to>
                    <xdr:col>4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33" name="Check Box 54">
              <controlPr defaultSize="0" autoFill="0" autoLine="0" autoPict="0">
                <anchor moveWithCells="1">
                  <from>
                    <xdr:col>5</xdr:col>
                    <xdr:colOff>0</xdr:colOff>
                    <xdr:row>378</xdr:row>
                    <xdr:rowOff>0</xdr:rowOff>
                  </from>
                  <to>
                    <xdr:col>5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34" name="Check Box 55">
              <controlPr defaultSize="0" autoFill="0" autoLine="0" autoPict="0">
                <anchor moveWithCells="1">
                  <from>
                    <xdr:col>6</xdr:col>
                    <xdr:colOff>0</xdr:colOff>
                    <xdr:row>378</xdr:row>
                    <xdr:rowOff>0</xdr:rowOff>
                  </from>
                  <to>
                    <xdr:col>6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35" name="Check Box 56">
              <controlPr defaultSize="0" autoFill="0" autoLine="0" autoPict="0">
                <anchor moveWithCells="1">
                  <from>
                    <xdr:col>7</xdr:col>
                    <xdr:colOff>0</xdr:colOff>
                    <xdr:row>378</xdr:row>
                    <xdr:rowOff>0</xdr:rowOff>
                  </from>
                  <to>
                    <xdr:col>7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36" name="Check Box 57">
              <controlPr defaultSize="0" autoFill="0" autoLine="0" autoPict="0">
                <anchor moveWithCells="1">
                  <from>
                    <xdr:col>8</xdr:col>
                    <xdr:colOff>0</xdr:colOff>
                    <xdr:row>378</xdr:row>
                    <xdr:rowOff>0</xdr:rowOff>
                  </from>
                  <to>
                    <xdr:col>8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37" name="Check Box 58">
              <controlPr defaultSize="0" autoFill="0" autoLine="0" autoPict="0">
                <anchor moveWithCells="1">
                  <from>
                    <xdr:col>9</xdr:col>
                    <xdr:colOff>0</xdr:colOff>
                    <xdr:row>378</xdr:row>
                    <xdr:rowOff>0</xdr:rowOff>
                  </from>
                  <to>
                    <xdr:col>9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38" name="Check Box 59">
              <controlPr defaultSize="0" autoFill="0" autoLine="0" autoPict="0">
                <anchor moveWithCells="1">
                  <from>
                    <xdr:col>10</xdr:col>
                    <xdr:colOff>0</xdr:colOff>
                    <xdr:row>378</xdr:row>
                    <xdr:rowOff>0</xdr:rowOff>
                  </from>
                  <to>
                    <xdr:col>10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39" name="Check Box 60">
              <controlPr defaultSize="0" autoFill="0" autoLine="0" autoPict="0">
                <anchor moveWithCells="1">
                  <from>
                    <xdr:col>11</xdr:col>
                    <xdr:colOff>0</xdr:colOff>
                    <xdr:row>378</xdr:row>
                    <xdr:rowOff>0</xdr:rowOff>
                  </from>
                  <to>
                    <xdr:col>11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40" name="Check Box 61">
              <controlPr defaultSize="0" autoFill="0" autoLine="0" autoPict="0">
                <anchor moveWithCells="1">
                  <from>
                    <xdr:col>12</xdr:col>
                    <xdr:colOff>0</xdr:colOff>
                    <xdr:row>378</xdr:row>
                    <xdr:rowOff>0</xdr:rowOff>
                  </from>
                  <to>
                    <xdr:col>12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41" name="Check Box 62">
              <controlPr defaultSize="0" autoFill="0" autoLine="0" autoPict="0">
                <anchor moveWithCells="1">
                  <from>
                    <xdr:col>13</xdr:col>
                    <xdr:colOff>0</xdr:colOff>
                    <xdr:row>378</xdr:row>
                    <xdr:rowOff>0</xdr:rowOff>
                  </from>
                  <to>
                    <xdr:col>13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42" name="Check Box 63">
              <controlPr defaultSize="0" autoFill="0" autoLine="0" autoPict="0">
                <anchor moveWithCells="1">
                  <from>
                    <xdr:col>14</xdr:col>
                    <xdr:colOff>0</xdr:colOff>
                    <xdr:row>378</xdr:row>
                    <xdr:rowOff>0</xdr:rowOff>
                  </from>
                  <to>
                    <xdr:col>14</xdr:col>
                    <xdr:colOff>209550</xdr:colOff>
                    <xdr:row>380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43" name="Spinner 66">
              <controlPr defaultSize="0" autoPict="0">
                <anchor moveWithCells="1" sizeWithCells="1">
                  <from>
                    <xdr:col>1</xdr:col>
                    <xdr:colOff>257175</xdr:colOff>
                    <xdr:row>288</xdr:row>
                    <xdr:rowOff>9525</xdr:rowOff>
                  </from>
                  <to>
                    <xdr:col>1</xdr:col>
                    <xdr:colOff>342900</xdr:colOff>
                    <xdr:row>288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44" name="Spinner 67">
              <controlPr defaultSize="0" autoPict="0">
                <anchor moveWithCells="1" sizeWithCells="1">
                  <from>
                    <xdr:col>1</xdr:col>
                    <xdr:colOff>257175</xdr:colOff>
                    <xdr:row>289</xdr:row>
                    <xdr:rowOff>0</xdr:rowOff>
                  </from>
                  <to>
                    <xdr:col>1</xdr:col>
                    <xdr:colOff>342900</xdr:colOff>
                    <xdr:row>290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45" name="Spinner 68">
              <controlPr defaultSize="0" autoPict="0">
                <anchor moveWithCells="1" sizeWithCells="1">
                  <from>
                    <xdr:col>1</xdr:col>
                    <xdr:colOff>257175</xdr:colOff>
                    <xdr:row>291</xdr:row>
                    <xdr:rowOff>0</xdr:rowOff>
                  </from>
                  <to>
                    <xdr:col>1</xdr:col>
                    <xdr:colOff>342900</xdr:colOff>
                    <xdr:row>292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46" name="Spinner 69">
              <controlPr defaultSize="0" autoPict="0">
                <anchor moveWithCells="1" sizeWithCells="1">
                  <from>
                    <xdr:col>1</xdr:col>
                    <xdr:colOff>257175</xdr:colOff>
                    <xdr:row>293</xdr:row>
                    <xdr:rowOff>0</xdr:rowOff>
                  </from>
                  <to>
                    <xdr:col>1</xdr:col>
                    <xdr:colOff>342900</xdr:colOff>
                    <xdr:row>295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47" name="Spinner 70">
              <controlPr defaultSize="0" autoPict="0">
                <anchor moveWithCells="1" sizeWithCells="1">
                  <from>
                    <xdr:col>1</xdr:col>
                    <xdr:colOff>257175</xdr:colOff>
                    <xdr:row>295</xdr:row>
                    <xdr:rowOff>0</xdr:rowOff>
                  </from>
                  <to>
                    <xdr:col>1</xdr:col>
                    <xdr:colOff>342900</xdr:colOff>
                    <xdr:row>296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48" name="Spinner 71">
              <controlPr defaultSize="0" autoPict="0">
                <anchor moveWithCells="1" sizeWithCells="1">
                  <from>
                    <xdr:col>1</xdr:col>
                    <xdr:colOff>257175</xdr:colOff>
                    <xdr:row>297</xdr:row>
                    <xdr:rowOff>0</xdr:rowOff>
                  </from>
                  <to>
                    <xdr:col>1</xdr:col>
                    <xdr:colOff>342900</xdr:colOff>
                    <xdr:row>298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49" name="Spinner 78">
              <controlPr defaultSize="0" autoPict="0">
                <anchor moveWithCells="1" sizeWithCells="1">
                  <from>
                    <xdr:col>1</xdr:col>
                    <xdr:colOff>257175</xdr:colOff>
                    <xdr:row>302</xdr:row>
                    <xdr:rowOff>0</xdr:rowOff>
                  </from>
                  <to>
                    <xdr:col>1</xdr:col>
                    <xdr:colOff>342900</xdr:colOff>
                    <xdr:row>303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50" name="Spinner 79">
              <controlPr defaultSize="0" autoPict="0">
                <anchor moveWithCells="1" sizeWithCells="1">
                  <from>
                    <xdr:col>1</xdr:col>
                    <xdr:colOff>257175</xdr:colOff>
                    <xdr:row>303</xdr:row>
                    <xdr:rowOff>0</xdr:rowOff>
                  </from>
                  <to>
                    <xdr:col>1</xdr:col>
                    <xdr:colOff>342900</xdr:colOff>
                    <xdr:row>305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51" name="Spinner 80">
              <controlPr defaultSize="0" autoPict="0">
                <anchor moveWithCells="1" sizeWithCells="1">
                  <from>
                    <xdr:col>1</xdr:col>
                    <xdr:colOff>257175</xdr:colOff>
                    <xdr:row>305</xdr:row>
                    <xdr:rowOff>0</xdr:rowOff>
                  </from>
                  <to>
                    <xdr:col>1</xdr:col>
                    <xdr:colOff>342900</xdr:colOff>
                    <xdr:row>306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52" name="Spinner 81">
              <controlPr defaultSize="0" autoPict="0">
                <anchor moveWithCells="1" sizeWithCells="1">
                  <from>
                    <xdr:col>1</xdr:col>
                    <xdr:colOff>257175</xdr:colOff>
                    <xdr:row>307</xdr:row>
                    <xdr:rowOff>0</xdr:rowOff>
                  </from>
                  <to>
                    <xdr:col>1</xdr:col>
                    <xdr:colOff>342900</xdr:colOff>
                    <xdr:row>309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53" name="Spinner 82">
              <controlPr defaultSize="0" autoPict="0">
                <anchor moveWithCells="1" sizeWithCells="1">
                  <from>
                    <xdr:col>1</xdr:col>
                    <xdr:colOff>257175</xdr:colOff>
                    <xdr:row>309</xdr:row>
                    <xdr:rowOff>0</xdr:rowOff>
                  </from>
                  <to>
                    <xdr:col>1</xdr:col>
                    <xdr:colOff>342900</xdr:colOff>
                    <xdr:row>310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54" name="Spinner 83">
              <controlPr defaultSize="0" autoPict="0">
                <anchor moveWithCells="1" sizeWithCells="1">
                  <from>
                    <xdr:col>1</xdr:col>
                    <xdr:colOff>257175</xdr:colOff>
                    <xdr:row>312</xdr:row>
                    <xdr:rowOff>19050</xdr:rowOff>
                  </from>
                  <to>
                    <xdr:col>1</xdr:col>
                    <xdr:colOff>333375</xdr:colOff>
                    <xdr:row>312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55" name="Check Box 90">
              <controlPr defaultSize="0" autoFill="0" autoLine="0" autoPict="0">
                <anchor moveWithCells="1">
                  <from>
                    <xdr:col>3</xdr:col>
                    <xdr:colOff>0</xdr:colOff>
                    <xdr:row>265</xdr:row>
                    <xdr:rowOff>0</xdr:rowOff>
                  </from>
                  <to>
                    <xdr:col>3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56" name="Check Box 91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0</xdr:rowOff>
                  </from>
                  <to>
                    <xdr:col>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57" name="Check Box 92">
              <controlPr defaultSize="0" autoFill="0" autoLine="0" autoPict="0">
                <anchor moveWithCells="1">
                  <from>
                    <xdr:col>5</xdr:col>
                    <xdr:colOff>0</xdr:colOff>
                    <xdr:row>265</xdr:row>
                    <xdr:rowOff>0</xdr:rowOff>
                  </from>
                  <to>
                    <xdr:col>5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58" name="Check Box 93">
              <controlPr defaultSize="0" autoFill="0" autoLine="0" autoPict="0">
                <anchor moveWithCells="1">
                  <from>
                    <xdr:col>6</xdr:col>
                    <xdr:colOff>0</xdr:colOff>
                    <xdr:row>265</xdr:row>
                    <xdr:rowOff>0</xdr:rowOff>
                  </from>
                  <to>
                    <xdr:col>6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59" name="Check Box 94">
              <controlPr defaultSize="0" autoFill="0" autoLine="0" autoPict="0">
                <anchor moveWithCells="1">
                  <from>
                    <xdr:col>7</xdr:col>
                    <xdr:colOff>0</xdr:colOff>
                    <xdr:row>265</xdr:row>
                    <xdr:rowOff>0</xdr:rowOff>
                  </from>
                  <to>
                    <xdr:col>7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60" name="Check Box 95">
              <controlPr defaultSize="0" autoFill="0" autoLine="0" autoPict="0">
                <anchor moveWithCells="1">
                  <from>
                    <xdr:col>8</xdr:col>
                    <xdr:colOff>0</xdr:colOff>
                    <xdr:row>265</xdr:row>
                    <xdr:rowOff>0</xdr:rowOff>
                  </from>
                  <to>
                    <xdr:col>8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61" name="Check Box 96">
              <controlPr defaultSize="0" autoFill="0" autoLine="0" autoPict="0">
                <anchor moveWithCells="1">
                  <from>
                    <xdr:col>9</xdr:col>
                    <xdr:colOff>0</xdr:colOff>
                    <xdr:row>265</xdr:row>
                    <xdr:rowOff>0</xdr:rowOff>
                  </from>
                  <to>
                    <xdr:col>9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62" name="Check Box 97">
              <controlPr defaultSize="0" autoFill="0" autoLine="0" autoPict="0">
                <anchor moveWithCells="1">
                  <from>
                    <xdr:col>10</xdr:col>
                    <xdr:colOff>0</xdr:colOff>
                    <xdr:row>265</xdr:row>
                    <xdr:rowOff>0</xdr:rowOff>
                  </from>
                  <to>
                    <xdr:col>10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63" name="Check Box 98">
              <controlPr defaultSize="0" autoFill="0" autoLine="0" autoPict="0">
                <anchor moveWithCells="1">
                  <from>
                    <xdr:col>11</xdr:col>
                    <xdr:colOff>0</xdr:colOff>
                    <xdr:row>265</xdr:row>
                    <xdr:rowOff>0</xdr:rowOff>
                  </from>
                  <to>
                    <xdr:col>11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64" name="Check Box 99">
              <controlPr defaultSize="0" autoFill="0" autoLine="0" autoPict="0">
                <anchor moveWithCells="1">
                  <from>
                    <xdr:col>12</xdr:col>
                    <xdr:colOff>0</xdr:colOff>
                    <xdr:row>265</xdr:row>
                    <xdr:rowOff>0</xdr:rowOff>
                  </from>
                  <to>
                    <xdr:col>12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65" name="Check Box 100">
              <controlPr defaultSize="0" autoFill="0" autoLine="0" autoPict="0">
                <anchor moveWithCells="1">
                  <from>
                    <xdr:col>13</xdr:col>
                    <xdr:colOff>0</xdr:colOff>
                    <xdr:row>265</xdr:row>
                    <xdr:rowOff>0</xdr:rowOff>
                  </from>
                  <to>
                    <xdr:col>13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66" name="Check Box 101">
              <controlPr defaultSize="0" autoFill="0" autoLine="0" autoPict="0">
                <anchor moveWithCells="1">
                  <from>
                    <xdr:col>14</xdr:col>
                    <xdr:colOff>0</xdr:colOff>
                    <xdr:row>265</xdr:row>
                    <xdr:rowOff>0</xdr:rowOff>
                  </from>
                  <to>
                    <xdr:col>14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67" name="Check Box 114">
              <controlPr defaultSize="0" autoFill="0" autoLine="0" autoPict="0">
                <anchor moveWithCells="1">
                  <from>
                    <xdr:col>4</xdr:col>
                    <xdr:colOff>0</xdr:colOff>
                    <xdr:row>265</xdr:row>
                    <xdr:rowOff>0</xdr:rowOff>
                  </from>
                  <to>
                    <xdr:col>4</xdr:col>
                    <xdr:colOff>228600</xdr:colOff>
                    <xdr:row>265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68" name="Check Box 117">
              <controlPr defaultSize="0" autoFill="0" autoLine="0" autoPict="0">
                <anchor moveWithCells="1">
                  <from>
                    <xdr:col>7</xdr:col>
                    <xdr:colOff>66675</xdr:colOff>
                    <xdr:row>8</xdr:row>
                    <xdr:rowOff>0</xdr:rowOff>
                  </from>
                  <to>
                    <xdr:col>7</xdr:col>
                    <xdr:colOff>295275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12" id="{DC7A5F7A-4733-4FE9-9A0B-7D950E7C42DF}">
            <xm:f>'1.PM'!C$5=TRUE</xm:f>
            <x14:dxf>
              <font>
                <b/>
                <i val="0"/>
                <color auto="1"/>
              </font>
              <fill>
                <patternFill>
                  <bgColor theme="9" tint="0.59996337778862885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m:sqref>D4:O5</xm:sqref>
        </x14:conditionalFormatting>
        <x14:conditionalFormatting xmlns:xm="http://schemas.microsoft.com/office/excel/2006/main">
          <x14:cfRule type="expression" priority="914" id="{A0F9EC87-1DDD-4296-AE3E-D159879B8524}">
            <xm:f>'1.PM'!C$5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D376:D382 D359:O373 D385:O391 D342:D349 D328 D337:D338 D316 D314 D279 D289:D301 D261:D264 D240:D246 D212:D225 D145:D156 D161:D168 D173:D191 D135:D138 D133 D75:D105 D118:D130 E301:O301 E127:O129 D280:O281 D315:O315 D37:D45 E37:G37 D23:O23 D7 E18:E19 D34 E59:O59 E59:E63 D59:D68 E64:O66 E48:O52 D48:D56 D54:O55 D266:D271 E266:O267 E270:O270 D26:O32 E289:O299 D303:O313 E338:O338 D14:D19 F277:O278 D20:E22 D107:D113</xm:sqref>
        </x14:conditionalFormatting>
        <x14:conditionalFormatting xmlns:xm="http://schemas.microsoft.com/office/excel/2006/main">
          <x14:cfRule type="expression" priority="819" id="{CE2C7689-0B51-4468-8CE8-C813906BFDE1}">
            <xm:f>'1.PM'!C$5=TRUE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O376:O377 E378:O382 H323:O328 H330:O337 H341:O349 E328:G328 E342:G349 E316:O316 E303:O314 E337:G337 D323:G327 D331:G336 E289:O292 D295:D299 E279:O279 F275:O276 E261:O264 E240:O246 E212:O225 E145:O156 E161:O168 E173:O187 E133:O133 E75:O86 E118:O126 E130:O130 G341 E37:O45 E33:O34 L6:O6 E7:O7 E14:O17 D33:O33 E59:O68 D53:D55 E48:O56 E89:O105 E87:G88 L87:O88 D354:O355 E26:O30 E295:O301 G112:O117 G142:O144 G158:O160 G170:O172 G195:O206 G227:O234 G274:O274 G330 G352:O353 F18:O22 F207:O211 F235:O239 H248:O260 E112:F113 E107:O111</xm:sqref>
        </x14:conditionalFormatting>
        <x14:conditionalFormatting xmlns:xm="http://schemas.microsoft.com/office/excel/2006/main">
          <x14:cfRule type="expression" priority="791" id="{1F5EE752-F512-4704-81EA-38E01066BC62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E315</xm:sqref>
        </x14:conditionalFormatting>
        <x14:conditionalFormatting xmlns:xm="http://schemas.microsoft.com/office/excel/2006/main">
          <x14:cfRule type="expression" priority="790" id="{57BEB10A-C0D2-4010-BD05-ABF5D4C1B6B8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F315</xm:sqref>
        </x14:conditionalFormatting>
        <x14:conditionalFormatting xmlns:xm="http://schemas.microsoft.com/office/excel/2006/main">
          <x14:cfRule type="expression" priority="789" id="{FDBADA6D-C44A-4EDA-81C5-0ABF0064DBB1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G315</xm:sqref>
        </x14:conditionalFormatting>
        <x14:conditionalFormatting xmlns:xm="http://schemas.microsoft.com/office/excel/2006/main">
          <x14:cfRule type="expression" priority="788" id="{E183BA96-14F8-4112-88E7-09F9EEE65A95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H315</xm:sqref>
        </x14:conditionalFormatting>
        <x14:conditionalFormatting xmlns:xm="http://schemas.microsoft.com/office/excel/2006/main">
          <x14:cfRule type="expression" priority="787" id="{5777AEC1-19CE-4D50-B66A-3E0F6579064D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I315</xm:sqref>
        </x14:conditionalFormatting>
        <x14:conditionalFormatting xmlns:xm="http://schemas.microsoft.com/office/excel/2006/main">
          <x14:cfRule type="expression" priority="786" id="{E02418D2-309D-4EAC-8E72-3D2C7B6784D1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J315</xm:sqref>
        </x14:conditionalFormatting>
        <x14:conditionalFormatting xmlns:xm="http://schemas.microsoft.com/office/excel/2006/main">
          <x14:cfRule type="expression" priority="793" id="{27EAF5CE-2F93-4F84-ACF1-872BCFF7C738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K315</xm:sqref>
        </x14:conditionalFormatting>
        <x14:conditionalFormatting xmlns:xm="http://schemas.microsoft.com/office/excel/2006/main">
          <x14:cfRule type="expression" priority="785" id="{0737D921-C994-4C6B-83AA-4FB7A785BDEB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L315</xm:sqref>
        </x14:conditionalFormatting>
        <x14:conditionalFormatting xmlns:xm="http://schemas.microsoft.com/office/excel/2006/main">
          <x14:cfRule type="expression" priority="784" id="{EC53805F-221B-439E-8833-128A8E179EF6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M315</xm:sqref>
        </x14:conditionalFormatting>
        <x14:conditionalFormatting xmlns:xm="http://schemas.microsoft.com/office/excel/2006/main">
          <x14:cfRule type="expression" priority="783" id="{7CA53846-EA14-4152-8C61-AEF1FD9DEB34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N315</xm:sqref>
        </x14:conditionalFormatting>
        <x14:conditionalFormatting xmlns:xm="http://schemas.microsoft.com/office/excel/2006/main">
          <x14:cfRule type="expression" priority="782" id="{3B1BE5CE-C14E-4566-A545-C74194166FCB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O315</xm:sqref>
        </x14:conditionalFormatting>
        <x14:conditionalFormatting xmlns:xm="http://schemas.microsoft.com/office/excel/2006/main">
          <x14:cfRule type="expression" priority="747" id="{F859FB6F-27AF-40BB-A221-35E0B4460E62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E188:E191</xm:sqref>
        </x14:conditionalFormatting>
        <x14:conditionalFormatting xmlns:xm="http://schemas.microsoft.com/office/excel/2006/main">
          <x14:cfRule type="expression" priority="745" id="{4E529C35-E771-4DCF-96A1-FB277018446E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F188:F191</xm:sqref>
        </x14:conditionalFormatting>
        <x14:conditionalFormatting xmlns:xm="http://schemas.microsoft.com/office/excel/2006/main">
          <x14:cfRule type="expression" priority="744" id="{35308129-0DCE-4ED2-834A-FEFBA970713B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G188:G191</xm:sqref>
        </x14:conditionalFormatting>
        <x14:conditionalFormatting xmlns:xm="http://schemas.microsoft.com/office/excel/2006/main">
          <x14:cfRule type="expression" priority="743" id="{E9D353C9-BA1F-4012-A5DA-1AD2FAE5E8CF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H188:H191</xm:sqref>
        </x14:conditionalFormatting>
        <x14:conditionalFormatting xmlns:xm="http://schemas.microsoft.com/office/excel/2006/main">
          <x14:cfRule type="expression" priority="742" id="{2B39F186-75FC-4655-BABC-E57309CEBA94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I188:I191</xm:sqref>
        </x14:conditionalFormatting>
        <x14:conditionalFormatting xmlns:xm="http://schemas.microsoft.com/office/excel/2006/main">
          <x14:cfRule type="expression" priority="741" id="{5D7CDA48-5A3B-4B33-837B-2115A3670652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J188:J191</xm:sqref>
        </x14:conditionalFormatting>
        <x14:conditionalFormatting xmlns:xm="http://schemas.microsoft.com/office/excel/2006/main">
          <x14:cfRule type="expression" priority="820" id="{9F1EA9F9-1832-4B83-ABEF-45ECF5C502F4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K188:K191</xm:sqref>
        </x14:conditionalFormatting>
        <x14:conditionalFormatting xmlns:xm="http://schemas.microsoft.com/office/excel/2006/main">
          <x14:cfRule type="expression" priority="740" id="{D616A5DF-983B-437E-9220-18F346DA4AA6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L188:L191</xm:sqref>
        </x14:conditionalFormatting>
        <x14:conditionalFormatting xmlns:xm="http://schemas.microsoft.com/office/excel/2006/main">
          <x14:cfRule type="expression" priority="739" id="{7FA27F98-31BE-448C-A01C-5C88F8437B79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M188:M191</xm:sqref>
        </x14:conditionalFormatting>
        <x14:conditionalFormatting xmlns:xm="http://schemas.microsoft.com/office/excel/2006/main">
          <x14:cfRule type="expression" priority="738" id="{FA541839-9D6E-447A-AD20-B0DD3D53AB4F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N188:N191</xm:sqref>
        </x14:conditionalFormatting>
        <x14:conditionalFormatting xmlns:xm="http://schemas.microsoft.com/office/excel/2006/main">
          <x14:cfRule type="expression" priority="737" id="{42F2C789-811F-4B73-8AE7-6451EEAC4545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O188:O191</xm:sqref>
        </x14:conditionalFormatting>
        <x14:conditionalFormatting xmlns:xm="http://schemas.microsoft.com/office/excel/2006/main">
          <x14:cfRule type="expression" priority="710" id="{081F6981-1504-45FB-BE3D-404D83C072A5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E268:E269 E271</xm:sqref>
        </x14:conditionalFormatting>
        <x14:conditionalFormatting xmlns:xm="http://schemas.microsoft.com/office/excel/2006/main">
          <x14:cfRule type="expression" priority="709" id="{58377DE0-26D1-497C-9548-17985B4AF853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F268:F269 F271</xm:sqref>
        </x14:conditionalFormatting>
        <x14:conditionalFormatting xmlns:xm="http://schemas.microsoft.com/office/excel/2006/main">
          <x14:cfRule type="expression" priority="708" id="{EBA379B0-151E-4BF6-9D91-84546F93CFF0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G268:G269 G271</xm:sqref>
        </x14:conditionalFormatting>
        <x14:conditionalFormatting xmlns:xm="http://schemas.microsoft.com/office/excel/2006/main">
          <x14:cfRule type="expression" priority="707" id="{2CEB7AB1-649F-444D-A397-36308F6B4246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H268:H269 H271</xm:sqref>
        </x14:conditionalFormatting>
        <x14:conditionalFormatting xmlns:xm="http://schemas.microsoft.com/office/excel/2006/main">
          <x14:cfRule type="expression" priority="706" id="{E136976B-A793-47D1-B303-071195C8B8C1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I268:I269 I271</xm:sqref>
        </x14:conditionalFormatting>
        <x14:conditionalFormatting xmlns:xm="http://schemas.microsoft.com/office/excel/2006/main">
          <x14:cfRule type="expression" priority="705" id="{D9DD1C38-597B-4CF8-BBB8-BAF7BBD5B611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J268:J269 J271</xm:sqref>
        </x14:conditionalFormatting>
        <x14:conditionalFormatting xmlns:xm="http://schemas.microsoft.com/office/excel/2006/main">
          <x14:cfRule type="expression" priority="711" id="{2B1A1650-039B-4F95-A471-C3B44F1F2DFD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K268:K269 K271</xm:sqref>
        </x14:conditionalFormatting>
        <x14:conditionalFormatting xmlns:xm="http://schemas.microsoft.com/office/excel/2006/main">
          <x14:cfRule type="expression" priority="704" id="{533D4AA0-B2C5-4256-BFBA-9A7471954DCE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L268:L269 L271</xm:sqref>
        </x14:conditionalFormatting>
        <x14:conditionalFormatting xmlns:xm="http://schemas.microsoft.com/office/excel/2006/main">
          <x14:cfRule type="expression" priority="703" id="{C46E3A90-4303-42C4-96AB-A4452CCC67E3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M268:M269 M271</xm:sqref>
        </x14:conditionalFormatting>
        <x14:conditionalFormatting xmlns:xm="http://schemas.microsoft.com/office/excel/2006/main">
          <x14:cfRule type="expression" priority="702" id="{34929EB0-DA3E-4D46-8D47-01BD695206AB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N268:N269 N271</xm:sqref>
        </x14:conditionalFormatting>
        <x14:conditionalFormatting xmlns:xm="http://schemas.microsoft.com/office/excel/2006/main">
          <x14:cfRule type="expression" priority="701" id="{6DBDA0E8-713B-4587-A0DB-0ED35BA669A0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O268:O269 O271</xm:sqref>
        </x14:conditionalFormatting>
        <x14:conditionalFormatting xmlns:xm="http://schemas.microsoft.com/office/excel/2006/main">
          <x14:cfRule type="expression" priority="602" id="{20624B67-008E-401F-AA7A-9968899E60B1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E376:E377</xm:sqref>
        </x14:conditionalFormatting>
        <x14:conditionalFormatting xmlns:xm="http://schemas.microsoft.com/office/excel/2006/main">
          <x14:cfRule type="expression" priority="601" id="{F327BA75-8628-4EBB-80C9-AF08F5741ACB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F376:F377</xm:sqref>
        </x14:conditionalFormatting>
        <x14:conditionalFormatting xmlns:xm="http://schemas.microsoft.com/office/excel/2006/main">
          <x14:cfRule type="expression" priority="600" id="{E31F23F7-DFCE-4381-B7A6-D40A801A5B2A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G376:G377</xm:sqref>
        </x14:conditionalFormatting>
        <x14:conditionalFormatting xmlns:xm="http://schemas.microsoft.com/office/excel/2006/main">
          <x14:cfRule type="expression" priority="599" id="{6EDF2924-2D7F-48FA-AFC1-B4A2D1228597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H376:H377</xm:sqref>
        </x14:conditionalFormatting>
        <x14:conditionalFormatting xmlns:xm="http://schemas.microsoft.com/office/excel/2006/main">
          <x14:cfRule type="expression" priority="598" id="{1EC35D9C-2156-4DAB-AE91-765ECE2A2100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I376:I377</xm:sqref>
        </x14:conditionalFormatting>
        <x14:conditionalFormatting xmlns:xm="http://schemas.microsoft.com/office/excel/2006/main">
          <x14:cfRule type="expression" priority="597" id="{534332A5-F76F-4DD6-84AE-F46DCD1D3E00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J376:J377</xm:sqref>
        </x14:conditionalFormatting>
        <x14:conditionalFormatting xmlns:xm="http://schemas.microsoft.com/office/excel/2006/main">
          <x14:cfRule type="expression" priority="603" id="{7CC0C988-6832-4204-85B9-E60FEC25085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K376:K377</xm:sqref>
        </x14:conditionalFormatting>
        <x14:conditionalFormatting xmlns:xm="http://schemas.microsoft.com/office/excel/2006/main">
          <x14:cfRule type="expression" priority="596" id="{77401468-78A4-495E-8B19-41CB339D8D54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L376:L377</xm:sqref>
        </x14:conditionalFormatting>
        <x14:conditionalFormatting xmlns:xm="http://schemas.microsoft.com/office/excel/2006/main">
          <x14:cfRule type="expression" priority="595" id="{6D5E395C-E141-4BAB-8058-27147979989E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M376:M377</xm:sqref>
        </x14:conditionalFormatting>
        <x14:conditionalFormatting xmlns:xm="http://schemas.microsoft.com/office/excel/2006/main">
          <x14:cfRule type="expression" priority="594" id="{046C8794-CF54-4D61-B950-551B3AC5AF67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N376:N377</xm:sqref>
        </x14:conditionalFormatting>
        <x14:conditionalFormatting xmlns:xm="http://schemas.microsoft.com/office/excel/2006/main">
          <x14:cfRule type="expression" priority="231" id="{76247399-A9F4-467B-9528-D11C47E98EAA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B287:D287 P287 C290:P290 C292:P292 C300:O300 B305:C305 C304 B307:C307 C306 B309:C309 C308 B311:C311 C310 B313:C313 C312 C314:P314 B303:C303 B301:O302 B315:P316 P308:P313 P293:P302 C294:O294 C296:O296 C298:O298 B288:P289 B291:P291 B293:O293 B295:O295 B297:O297 B299:O299</xm:sqref>
        </x14:conditionalFormatting>
        <x14:conditionalFormatting xmlns:xm="http://schemas.microsoft.com/office/excel/2006/main">
          <x14:cfRule type="expression" priority="235" id="{C77FD405-0BBF-41CD-9EA9-FBF880AB9332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D287:O287</xm:sqref>
        </x14:conditionalFormatting>
        <x14:conditionalFormatting xmlns:xm="http://schemas.microsoft.com/office/excel/2006/main">
          <x14:cfRule type="expression" priority="217" id="{A4DC400C-CAD9-432E-8B18-00F2ADB50CED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E135:E138</xm:sqref>
        </x14:conditionalFormatting>
        <x14:conditionalFormatting xmlns:xm="http://schemas.microsoft.com/office/excel/2006/main">
          <x14:cfRule type="expression" priority="216" id="{6F7E0B7B-E1BF-4EEE-9EBF-971FCA37EC44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F135:F138</xm:sqref>
        </x14:conditionalFormatting>
        <x14:conditionalFormatting xmlns:xm="http://schemas.microsoft.com/office/excel/2006/main">
          <x14:cfRule type="expression" priority="215" id="{6CE60E34-AE08-4FA0-B506-6F826128617C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G135:G138</xm:sqref>
        </x14:conditionalFormatting>
        <x14:conditionalFormatting xmlns:xm="http://schemas.microsoft.com/office/excel/2006/main">
          <x14:cfRule type="expression" priority="214" id="{4F3C54FF-BD15-4411-979B-E1ECA573574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H135:H138</xm:sqref>
        </x14:conditionalFormatting>
        <x14:conditionalFormatting xmlns:xm="http://schemas.microsoft.com/office/excel/2006/main">
          <x14:cfRule type="expression" priority="213" id="{F452992E-53E0-40A7-910F-9CD8EC2530D2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I135:I138</xm:sqref>
        </x14:conditionalFormatting>
        <x14:conditionalFormatting xmlns:xm="http://schemas.microsoft.com/office/excel/2006/main">
          <x14:cfRule type="expression" priority="212" id="{3419680B-7D86-4196-B19A-62129E249BBD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J135:J138</xm:sqref>
        </x14:conditionalFormatting>
        <x14:conditionalFormatting xmlns:xm="http://schemas.microsoft.com/office/excel/2006/main">
          <x14:cfRule type="expression" priority="219" id="{7B9785F3-2FA5-4A0B-BC90-838EF13ED34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K135:K138</xm:sqref>
        </x14:conditionalFormatting>
        <x14:conditionalFormatting xmlns:xm="http://schemas.microsoft.com/office/excel/2006/main">
          <x14:cfRule type="expression" priority="211" id="{B7D6B424-45E7-48E9-B5B9-623B409E7225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L135:L138</xm:sqref>
        </x14:conditionalFormatting>
        <x14:conditionalFormatting xmlns:xm="http://schemas.microsoft.com/office/excel/2006/main">
          <x14:cfRule type="expression" priority="210" id="{404B050F-D14C-4936-841A-835B7255B246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M135:M138</xm:sqref>
        </x14:conditionalFormatting>
        <x14:conditionalFormatting xmlns:xm="http://schemas.microsoft.com/office/excel/2006/main">
          <x14:cfRule type="expression" priority="209" id="{DC417D13-477D-478C-BACD-463DC436C0D5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N135:N138</xm:sqref>
        </x14:conditionalFormatting>
        <x14:conditionalFormatting xmlns:xm="http://schemas.microsoft.com/office/excel/2006/main">
          <x14:cfRule type="expression" priority="208" id="{B84471CA-8E38-4684-A693-6FC7EE69B6E0}">
            <xm:f>'1.PM'!$N$5=TRUE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O135:O138</xm:sqref>
        </x14:conditionalFormatting>
        <x14:conditionalFormatting xmlns:xm="http://schemas.microsoft.com/office/excel/2006/main">
          <x14:cfRule type="expression" priority="198" id="{D0AF46E4-8500-4F5F-8250-587BF48C395C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P303:P307</xm:sqref>
        </x14:conditionalFormatting>
        <x14:conditionalFormatting xmlns:xm="http://schemas.microsoft.com/office/excel/2006/main">
          <x14:cfRule type="expression" priority="165" id="{B25AC798-B606-43EB-B749-27DA3F59875F}">
            <xm:f>'\\Dfshnfc\ARC\Pregabalin Capsules\15. Miscellaneous\[Pregabalin Capsule_Budget_010414.xlsx]1.PM'!#REF!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D6:F6</xm:sqref>
        </x14:conditionalFormatting>
        <x14:conditionalFormatting xmlns:xm="http://schemas.microsoft.com/office/excel/2006/main">
          <x14:cfRule type="expression" priority="164" id="{5B928C90-FF4C-4833-A31A-554367F062AA}">
            <xm:f>'\\Dfshnfc\ARC\Pregabalin Capsules\15. Miscellaneous\[Pregabalin Capsule_Budget_010414.xlsx]1.PM'!#REF!=TRUE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G6:K6</xm:sqref>
        </x14:conditionalFormatting>
        <x14:conditionalFormatting xmlns:xm="http://schemas.microsoft.com/office/excel/2006/main">
          <x14:cfRule type="expression" priority="919" id="{A0F9EC87-1DDD-4296-AE3E-D159879B8524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E341</xm:sqref>
        </x14:conditionalFormatting>
        <x14:conditionalFormatting xmlns:xm="http://schemas.microsoft.com/office/excel/2006/main">
          <x14:cfRule type="expression" priority="1207" id="{42BB1EF5-57B3-450E-9C5A-E47EA30D6DDB}">
            <xm:f>'1.PM'!$N$10:$O$10=""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B36:P45 B47:P56 B58:P68</xm:sqref>
        </x14:conditionalFormatting>
        <x14:conditionalFormatting xmlns:xm="http://schemas.microsoft.com/office/excel/2006/main">
          <x14:cfRule type="expression" priority="1208" id="{F967E51B-69F8-4524-82AF-376090117BED}">
            <xm:f>'1.PM'!$N$10:$O$10=""</xm:f>
            <x14:dxf>
              <font>
                <b/>
                <i val="0"/>
                <color rgb="FFFF0000"/>
              </font>
              <fill>
                <patternFill patternType="solid">
                  <bgColor theme="0" tint="-0.24994659260841701"/>
                </patternFill>
              </fill>
            </x14:dxf>
          </x14:cfRule>
          <xm:sqref>D36 D47 D58</xm:sqref>
        </x14:conditionalFormatting>
        <x14:conditionalFormatting xmlns:xm="http://schemas.microsoft.com/office/excel/2006/main">
          <x14:cfRule type="expression" priority="1298" id="{CE2C7689-0B51-4468-8CE8-C813906BFDE1}">
            <xm:f>'1.PM'!G$5=TRUE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I87:K88</xm:sqref>
        </x14:conditionalFormatting>
        <x14:conditionalFormatting xmlns:xm="http://schemas.microsoft.com/office/excel/2006/main">
          <x14:cfRule type="expression" priority="117" id="{D21804A3-9E01-40BA-BBD8-9BA3677AC2D4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D114:F117</xm:sqref>
        </x14:conditionalFormatting>
        <x14:conditionalFormatting xmlns:xm="http://schemas.microsoft.com/office/excel/2006/main">
          <x14:cfRule type="expression" priority="116" id="{ED26AD23-5F82-4206-A634-176FFA8F502D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D142:D144</xm:sqref>
        </x14:conditionalFormatting>
        <x14:conditionalFormatting xmlns:xm="http://schemas.microsoft.com/office/excel/2006/main">
          <x14:cfRule type="expression" priority="115" id="{6D644367-B63C-4B80-B12B-F674567CABC9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E142:F144</xm:sqref>
        </x14:conditionalFormatting>
        <x14:conditionalFormatting xmlns:xm="http://schemas.microsoft.com/office/excel/2006/main">
          <x14:cfRule type="expression" priority="111" id="{957A6350-7793-4D5C-8100-0DD82234AA48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D160</xm:sqref>
        </x14:conditionalFormatting>
        <x14:conditionalFormatting xmlns:xm="http://schemas.microsoft.com/office/excel/2006/main">
          <x14:cfRule type="expression" priority="110" id="{6605B1E9-4F6B-4499-A16C-F21DA2142288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E160:F160 F158:F159</xm:sqref>
        </x14:conditionalFormatting>
        <x14:conditionalFormatting xmlns:xm="http://schemas.microsoft.com/office/excel/2006/main">
          <x14:cfRule type="expression" priority="106" id="{AF44C231-F6E6-4662-BB01-14CC651A5399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D172</xm:sqref>
        </x14:conditionalFormatting>
        <x14:conditionalFormatting xmlns:xm="http://schemas.microsoft.com/office/excel/2006/main">
          <x14:cfRule type="expression" priority="105" id="{2B2CCD5E-98A7-4B66-8344-4C478F8965E3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E172:F172 F170:F171</xm:sqref>
        </x14:conditionalFormatting>
        <x14:conditionalFormatting xmlns:xm="http://schemas.microsoft.com/office/excel/2006/main">
          <x14:cfRule type="expression" priority="101" id="{D7DD79C1-59D9-4F0F-B05C-E322120C3BA1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F195:F206</xm:sqref>
        </x14:conditionalFormatting>
        <x14:conditionalFormatting xmlns:xm="http://schemas.microsoft.com/office/excel/2006/main">
          <x14:cfRule type="expression" priority="99" id="{F8691294-F001-46DE-AF47-649E554D006A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F227:F234</xm:sqref>
        </x14:conditionalFormatting>
        <x14:conditionalFormatting xmlns:xm="http://schemas.microsoft.com/office/excel/2006/main">
          <x14:cfRule type="expression" priority="93" id="{4419AC18-266A-4884-874F-C7F55A9CBC84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F274</xm:sqref>
        </x14:conditionalFormatting>
        <x14:conditionalFormatting xmlns:xm="http://schemas.microsoft.com/office/excel/2006/main">
          <x14:cfRule type="expression" priority="92" id="{62787DDB-6EC2-4651-AF9E-71C17CE788DC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D330:F330</xm:sqref>
        </x14:conditionalFormatting>
        <x14:conditionalFormatting xmlns:xm="http://schemas.microsoft.com/office/excel/2006/main">
          <x14:cfRule type="expression" priority="91" id="{04390C26-2A3C-468B-A81A-65DB27AC06D2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F341</xm:sqref>
        </x14:conditionalFormatting>
        <x14:conditionalFormatting xmlns:xm="http://schemas.microsoft.com/office/excel/2006/main">
          <x14:cfRule type="expression" priority="90" id="{5F456F39-003F-43CD-97FC-A68AC888D422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D352:D353</xm:sqref>
        </x14:conditionalFormatting>
        <x14:conditionalFormatting xmlns:xm="http://schemas.microsoft.com/office/excel/2006/main">
          <x14:cfRule type="expression" priority="89" id="{11663478-A568-4200-839C-E0CEF290D350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E352:F353</xm:sqref>
        </x14:conditionalFormatting>
        <x14:conditionalFormatting xmlns:xm="http://schemas.microsoft.com/office/excel/2006/main">
          <x14:cfRule type="expression" priority="79" id="{70C823DC-D7AB-4F9B-AA68-B49E65DD9D37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D158:D159</xm:sqref>
        </x14:conditionalFormatting>
        <x14:conditionalFormatting xmlns:xm="http://schemas.microsoft.com/office/excel/2006/main">
          <x14:cfRule type="expression" priority="78" id="{070396FF-A65E-4921-9C06-ECCA99C87FEF}">
            <xm:f>'\Users\maithil.patel\AppData\Local\Microsoft\Windows\INetCache\Content.Outlook\4DFZUVA1\[PIF  PCT Deferasirox_US  EU_11 Apr 17.xlsx]1.PM'!#REF!=TRUE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E158:E159</xm:sqref>
        </x14:conditionalFormatting>
        <x14:conditionalFormatting xmlns:xm="http://schemas.microsoft.com/office/excel/2006/main">
          <x14:cfRule type="expression" priority="68" id="{7B496CBE-FB6E-4615-9EB8-0CFD7BA39E69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D195:D201</xm:sqref>
        </x14:conditionalFormatting>
        <x14:conditionalFormatting xmlns:xm="http://schemas.microsoft.com/office/excel/2006/main">
          <x14:cfRule type="expression" priority="67" id="{7CE50E55-BF5B-479A-A95E-65602A5F7581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D202</xm:sqref>
        </x14:conditionalFormatting>
        <x14:conditionalFormatting xmlns:xm="http://schemas.microsoft.com/office/excel/2006/main">
          <x14:cfRule type="expression" priority="66" id="{E104C3D5-B953-466C-940E-6D1D3D86E33F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D203</xm:sqref>
        </x14:conditionalFormatting>
        <x14:conditionalFormatting xmlns:xm="http://schemas.microsoft.com/office/excel/2006/main">
          <x14:cfRule type="expression" priority="65" id="{74244B9A-2819-4626-B4BC-71B6BA18987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D204</xm:sqref>
        </x14:conditionalFormatting>
        <x14:conditionalFormatting xmlns:xm="http://schemas.microsoft.com/office/excel/2006/main">
          <x14:cfRule type="expression" priority="64" id="{8B06B378-93F5-4F56-9328-88D86000286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D205</xm:sqref>
        </x14:conditionalFormatting>
        <x14:conditionalFormatting xmlns:xm="http://schemas.microsoft.com/office/excel/2006/main">
          <x14:cfRule type="expression" priority="63" id="{824DDDB5-FF1E-4F1D-B788-D55C005DB451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D206</xm:sqref>
        </x14:conditionalFormatting>
        <x14:conditionalFormatting xmlns:xm="http://schemas.microsoft.com/office/excel/2006/main">
          <x14:cfRule type="expression" priority="62" id="{3105966D-29A8-457F-BB44-BF99582FC56C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D207</xm:sqref>
        </x14:conditionalFormatting>
        <x14:conditionalFormatting xmlns:xm="http://schemas.microsoft.com/office/excel/2006/main">
          <x14:cfRule type="expression" priority="61" id="{E133FB15-1719-46ED-9C17-B72944A4450A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D208</xm:sqref>
        </x14:conditionalFormatting>
        <x14:conditionalFormatting xmlns:xm="http://schemas.microsoft.com/office/excel/2006/main">
          <x14:cfRule type="expression" priority="60" id="{B53EFFD8-00C5-4B5F-AD71-18CF2A65A958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D209:D211</xm:sqref>
        </x14:conditionalFormatting>
        <x14:conditionalFormatting xmlns:xm="http://schemas.microsoft.com/office/excel/2006/main">
          <x14:cfRule type="expression" priority="59" id="{26AD2862-EFBF-4040-8719-AA1133A5CBF4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E195:E201</xm:sqref>
        </x14:conditionalFormatting>
        <x14:conditionalFormatting xmlns:xm="http://schemas.microsoft.com/office/excel/2006/main">
          <x14:cfRule type="expression" priority="58" id="{54278F20-1963-4895-8184-AD9D6F042F60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E202</xm:sqref>
        </x14:conditionalFormatting>
        <x14:conditionalFormatting xmlns:xm="http://schemas.microsoft.com/office/excel/2006/main">
          <x14:cfRule type="expression" priority="57" id="{49E9CC0B-68D8-4623-9365-173E94FCED8A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E203</xm:sqref>
        </x14:conditionalFormatting>
        <x14:conditionalFormatting xmlns:xm="http://schemas.microsoft.com/office/excel/2006/main">
          <x14:cfRule type="expression" priority="56" id="{9986E8F0-B71E-40BD-A799-76C577EB6D6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E204</xm:sqref>
        </x14:conditionalFormatting>
        <x14:conditionalFormatting xmlns:xm="http://schemas.microsoft.com/office/excel/2006/main">
          <x14:cfRule type="expression" priority="55" id="{22EB7D37-58E4-4A31-A886-C303F471108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E205</xm:sqref>
        </x14:conditionalFormatting>
        <x14:conditionalFormatting xmlns:xm="http://schemas.microsoft.com/office/excel/2006/main">
          <x14:cfRule type="expression" priority="54" id="{6F40253F-1610-4A81-A259-0E87353341C7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E206</xm:sqref>
        </x14:conditionalFormatting>
        <x14:conditionalFormatting xmlns:xm="http://schemas.microsoft.com/office/excel/2006/main">
          <x14:cfRule type="expression" priority="53" id="{9C704C93-2628-48C9-A7D6-0DC755BD68C0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E207</xm:sqref>
        </x14:conditionalFormatting>
        <x14:conditionalFormatting xmlns:xm="http://schemas.microsoft.com/office/excel/2006/main">
          <x14:cfRule type="expression" priority="52" id="{EC7BC97E-2CD1-466F-BB45-FAD5D04A940D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E208</xm:sqref>
        </x14:conditionalFormatting>
        <x14:conditionalFormatting xmlns:xm="http://schemas.microsoft.com/office/excel/2006/main">
          <x14:cfRule type="expression" priority="51" id="{F29017A2-F52C-4869-ADA8-33ACEFFEFC84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E209:E211</xm:sqref>
        </x14:conditionalFormatting>
        <x14:conditionalFormatting xmlns:xm="http://schemas.microsoft.com/office/excel/2006/main">
          <x14:cfRule type="expression" priority="50" id="{7E9E808C-DB15-4C2C-BC89-024A19932B1B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D227:D230</xm:sqref>
        </x14:conditionalFormatting>
        <x14:conditionalFormatting xmlns:xm="http://schemas.microsoft.com/office/excel/2006/main">
          <x14:cfRule type="expression" priority="49" id="{CE8E9495-AD50-4BC4-AD11-26250AB48525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E227:E230</xm:sqref>
        </x14:conditionalFormatting>
        <x14:conditionalFormatting xmlns:xm="http://schemas.microsoft.com/office/excel/2006/main">
          <x14:cfRule type="expression" priority="48" id="{361F2D1A-5B18-4F8A-A19D-2E9D2A1CA157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D231:D233</xm:sqref>
        </x14:conditionalFormatting>
        <x14:conditionalFormatting xmlns:xm="http://schemas.microsoft.com/office/excel/2006/main">
          <x14:cfRule type="expression" priority="47" id="{6BF3B034-27F6-4F7C-AE45-A465A03BE349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E231:E233</xm:sqref>
        </x14:conditionalFormatting>
        <x14:conditionalFormatting xmlns:xm="http://schemas.microsoft.com/office/excel/2006/main">
          <x14:cfRule type="expression" priority="46" id="{AC2B0CBA-93AC-4AB0-86F7-7739DA456A2A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D234:D236</xm:sqref>
        </x14:conditionalFormatting>
        <x14:conditionalFormatting xmlns:xm="http://schemas.microsoft.com/office/excel/2006/main">
          <x14:cfRule type="expression" priority="45" id="{C2B0788E-FBC2-49B9-9B4C-D06874E12FE6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E234:E236</xm:sqref>
        </x14:conditionalFormatting>
        <x14:conditionalFormatting xmlns:xm="http://schemas.microsoft.com/office/excel/2006/main">
          <x14:cfRule type="expression" priority="44" id="{BA0EBDAC-8DC0-4B8E-A173-E0356CD13104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D237:D239</xm:sqref>
        </x14:conditionalFormatting>
        <x14:conditionalFormatting xmlns:xm="http://schemas.microsoft.com/office/excel/2006/main">
          <x14:cfRule type="expression" priority="43" id="{70EF39C4-FB68-47D5-B0FA-3952ABC980ED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E237:E239</xm:sqref>
        </x14:conditionalFormatting>
        <x14:conditionalFormatting xmlns:xm="http://schemas.microsoft.com/office/excel/2006/main">
          <x14:cfRule type="expression" priority="32" id="{7B739537-A4C7-4D24-86C1-49D97E40C3A0}">
            <xm:f>'\Deferasirox tablets\15. Miscellaneous\Emerging\[PIF_PCT_Deferasirox Dispersible tab_Emerging_Without Pivotal BE and filing cost.xlsx]1.PM'!#REF!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D275:D278 E277:E278</xm:sqref>
        </x14:conditionalFormatting>
        <x14:conditionalFormatting xmlns:xm="http://schemas.microsoft.com/office/excel/2006/main">
          <x14:cfRule type="expression" priority="31" id="{7A730270-8447-43C0-9035-3F5401F1A63D}">
            <xm:f>'\Deferasirox tablets\15. Miscellaneous\Emerging\[PIF_PCT_Deferasirox Dispersible tab_Emerging_Without Pivotal BE and filing cost.xlsx]1.PM'!#REF!=TRUE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E275:E276</xm:sqref>
        </x14:conditionalFormatting>
        <x14:conditionalFormatting xmlns:xm="http://schemas.microsoft.com/office/excel/2006/main">
          <x14:cfRule type="expression" priority="30" id="{F5E5DB21-08A4-462D-B2D9-9ED279CA955E}">
            <xm:f>'\\ADCAHRND\Project management\PIFs\Work in Progress\[Project Summary - Deferasirox New_07.04.16.xlsx]1.PM'!#REF!=TRUE</xm:f>
            <x14:dxf>
              <font>
                <b/>
                <i val="0"/>
                <color theme="1"/>
              </font>
              <fill>
                <patternFill>
                  <fgColor theme="4"/>
                  <bgColor theme="7" tint="0.79998168889431442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D274:E274</xm:sqref>
        </x14:conditionalFormatting>
        <x14:conditionalFormatting xmlns:xm="http://schemas.microsoft.com/office/excel/2006/main">
          <x14:cfRule type="expression" priority="29" id="{E7F5FD62-F241-4E65-B061-B2C71472DF00}">
            <xm:f>'\\ADCAHRND\Project management\PIFs\Work in Progress\[Project Summary - Deferasirox New_07.04.16.xlsx]1.PM'!#REF!=TRUE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D274:E274</xm:sqref>
        </x14:conditionalFormatting>
        <x14:conditionalFormatting xmlns:xm="http://schemas.microsoft.com/office/excel/2006/main">
          <x14:cfRule type="expression" priority="28" id="{4F29BDE5-48F8-4F8C-9D54-069CE63AB8D4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D170:D171</xm:sqref>
        </x14:conditionalFormatting>
        <x14:conditionalFormatting xmlns:xm="http://schemas.microsoft.com/office/excel/2006/main">
          <x14:cfRule type="expression" priority="24" id="{05271E98-FCF1-4FDA-B5ED-94E9FB2407E3}">
            <xm:f>'\Users\maithil.patel\AppData\Local\Microsoft\Windows\INetCache\Content.Outlook\4DFZUVA1\[PIF  PCT Deferasirox_US  EU_11 Apr 17.xlsx]1.PM'!#REF!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E170:E171</xm:sqref>
        </x14:conditionalFormatting>
        <x14:conditionalFormatting xmlns:xm="http://schemas.microsoft.com/office/excel/2006/main">
          <x14:cfRule type="expression" priority="16" id="{97D628EA-CA08-454D-9177-E5A8FD030640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D248:D251</xm:sqref>
        </x14:conditionalFormatting>
        <x14:conditionalFormatting xmlns:xm="http://schemas.microsoft.com/office/excel/2006/main">
          <x14:cfRule type="expression" priority="15" id="{443A6DDE-0BF9-4C7F-B1C1-08D18CA0BA97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D252:D254</xm:sqref>
        </x14:conditionalFormatting>
        <x14:conditionalFormatting xmlns:xm="http://schemas.microsoft.com/office/excel/2006/main">
          <x14:cfRule type="expression" priority="14" id="{01D3D756-94E6-4D4C-B016-997F4D67BED1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D255:D257</xm:sqref>
        </x14:conditionalFormatting>
        <x14:conditionalFormatting xmlns:xm="http://schemas.microsoft.com/office/excel/2006/main">
          <x14:cfRule type="expression" priority="13" id="{974692A8-2301-4A44-81BB-6E9F16D9976A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D258:D260</xm:sqref>
        </x14:conditionalFormatting>
        <x14:conditionalFormatting xmlns:xm="http://schemas.microsoft.com/office/excel/2006/main">
          <x14:cfRule type="expression" priority="12" id="{940D0508-B614-4A97-9673-60F320F535F4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E248:E251</xm:sqref>
        </x14:conditionalFormatting>
        <x14:conditionalFormatting xmlns:xm="http://schemas.microsoft.com/office/excel/2006/main">
          <x14:cfRule type="expression" priority="11" id="{1FB913B0-D5C6-432A-98E6-481220E0CC8D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E252:E254</xm:sqref>
        </x14:conditionalFormatting>
        <x14:conditionalFormatting xmlns:xm="http://schemas.microsoft.com/office/excel/2006/main">
          <x14:cfRule type="expression" priority="10" id="{B102EA4C-B632-4101-90CF-BBD06BBA8CDD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E255:E257</xm:sqref>
        </x14:conditionalFormatting>
        <x14:conditionalFormatting xmlns:xm="http://schemas.microsoft.com/office/excel/2006/main">
          <x14:cfRule type="expression" priority="9" id="{8984AC68-3BCE-4A7E-9B87-2DADBF8F09A5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E258:E260</xm:sqref>
        </x14:conditionalFormatting>
        <x14:conditionalFormatting xmlns:xm="http://schemas.microsoft.com/office/excel/2006/main">
          <x14:cfRule type="expression" priority="8" id="{B8DDE9D1-51BB-4122-B0FD-4E594A748E6C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F248:F251</xm:sqref>
        </x14:conditionalFormatting>
        <x14:conditionalFormatting xmlns:xm="http://schemas.microsoft.com/office/excel/2006/main">
          <x14:cfRule type="expression" priority="7" id="{D8A375E3-4FF6-4C35-A154-B6AC81EA0A16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F252:F254</xm:sqref>
        </x14:conditionalFormatting>
        <x14:conditionalFormatting xmlns:xm="http://schemas.microsoft.com/office/excel/2006/main">
          <x14:cfRule type="expression" priority="6" id="{3C4921CC-71AB-4E26-9015-05540898E935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F255:F257</xm:sqref>
        </x14:conditionalFormatting>
        <x14:conditionalFormatting xmlns:xm="http://schemas.microsoft.com/office/excel/2006/main">
          <x14:cfRule type="expression" priority="5" id="{C5457FB6-13F7-4210-973A-915ABC4AA875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F258:F260</xm:sqref>
        </x14:conditionalFormatting>
        <x14:conditionalFormatting xmlns:xm="http://schemas.microsoft.com/office/excel/2006/main">
          <x14:cfRule type="expression" priority="4" id="{D774B1FD-4659-4F62-9E2E-BCBB46EA917F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G248:G251</xm:sqref>
        </x14:conditionalFormatting>
        <x14:conditionalFormatting xmlns:xm="http://schemas.microsoft.com/office/excel/2006/main">
          <x14:cfRule type="expression" priority="3" id="{6ECB5FAE-83AD-46BE-BDBA-880772A51CD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G252:G254</xm:sqref>
        </x14:conditionalFormatting>
        <x14:conditionalFormatting xmlns:xm="http://schemas.microsoft.com/office/excel/2006/main">
          <x14:cfRule type="expression" priority="2" id="{C2310F52-DC75-4655-A30E-A6E74840D466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G255:G257</xm:sqref>
        </x14:conditionalFormatting>
        <x14:conditionalFormatting xmlns:xm="http://schemas.microsoft.com/office/excel/2006/main">
          <x14:cfRule type="expression" priority="1" id="{42C56EFD-A3C5-4CC1-947A-88323112596E}">
            <xm:f>'\Rasagiline Mesylate Tablet\16. Budget\[PCT_Rasagiline Mesylate Tablets(Emerging Market).xlsx]1.PM'!#REF!</xm:f>
            <x14:dxf>
              <font>
                <b/>
                <i val="0"/>
                <color auto="1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G258:G260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List!$AJ$2:$AJ$99</xm:f>
          </x14:formula1>
          <xm:sqref>C195:C225 C227:C239</xm:sqref>
        </x14:dataValidation>
        <x14:dataValidation type="list" allowBlank="1" showInputMessage="1" showErrorMessage="1">
          <x14:formula1>
            <xm:f>List!$AF$2:$AF$48</xm:f>
          </x14:formula1>
          <xm:sqref>C161:C168 C142:C144 C158:C159 C170:C171</xm:sqref>
        </x14:dataValidation>
        <x14:dataValidation type="list" allowBlank="1" showInputMessage="1" showErrorMessage="1">
          <x14:formula1>
            <xm:f>List!$AJ$2:$AJ$97</xm:f>
          </x14:formula1>
          <xm:sqref>C240:C246</xm:sqref>
        </x14:dataValidation>
        <x14:dataValidation type="list" allowBlank="1" showInputMessage="1" showErrorMessage="1">
          <x14:formula1>
            <xm:f>List!$AO$2:$AO$4</xm:f>
          </x14:formula1>
          <xm:sqref>C376</xm:sqref>
        </x14:dataValidation>
        <x14:dataValidation type="list" allowBlank="1" showInputMessage="1" showErrorMessage="1">
          <x14:formula1>
            <xm:f>List!$L$2:$L$4</xm:f>
          </x14:formula1>
          <xm:sqref>E13</xm:sqref>
        </x14:dataValidation>
        <x14:dataValidation type="list" operator="greaterThan" allowBlank="1" showInputMessage="1" showErrorMessage="1" error="Please enter numerical value">
          <x14:formula1>
            <xm:f>List!$E$2:$E$14</xm:f>
          </x14:formula1>
          <xm:sqref>D133:O133</xm:sqref>
        </x14:dataValidation>
        <x14:dataValidation type="list" allowBlank="1" showInputMessage="1" showErrorMessage="1">
          <x14:formula1>
            <xm:f>List!$B$2:$B$7</xm:f>
          </x14:formula1>
          <xm:sqref>D9</xm:sqref>
        </x14:dataValidation>
        <x14:dataValidation type="list" allowBlank="1" showInputMessage="1" showErrorMessage="1">
          <x14:formula1>
            <xm:f>List!$AO$2</xm:f>
          </x14:formula1>
          <xm:sqref>C378</xm:sqref>
        </x14:dataValidation>
        <x14:dataValidation type="list" allowBlank="1" showInputMessage="1" showErrorMessage="1">
          <x14:formula1>
            <xm:f>List!$AD$2:$AD$10</xm:f>
          </x14:formula1>
          <xm:sqref>M9:O9</xm:sqref>
        </x14:dataValidation>
        <x14:dataValidation type="list" allowBlank="1" showInputMessage="1" showErrorMessage="1">
          <x14:formula1>
            <xm:f>List!$AJ$2:$AJ$100</xm:f>
          </x14:formula1>
          <xm:sqref>C261:C264</xm:sqref>
        </x14:dataValidation>
        <x14:dataValidation type="list" allowBlank="1" showInputMessage="1" showErrorMessage="1">
          <x14:formula1>
            <xm:f>List!$AF$2:$AF$48</xm:f>
          </x14:formula1>
          <xm:sqref>C145:C156 C173:C187</xm:sqref>
        </x14:dataValidation>
        <x14:dataValidation type="list" allowBlank="1" showInputMessage="1" showErrorMessage="1">
          <x14:formula1>
            <xm:f>List!$Y$2:$Y$10</xm:f>
          </x14:formula1>
          <xm:sqref>M8:O8</xm:sqref>
        </x14:dataValidation>
        <x14:dataValidation type="list" allowBlank="1" showInputMessage="1" showErrorMessage="1">
          <x14:formula1>
            <xm:f>List!$AJ$2:$AJ$99</xm:f>
          </x14:formula1>
          <xm:sqref>C248:C260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'1.PM'!I17+60</xm:f>
          </x14:formula1>
          <xm:sqref>J9:J10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'1.PM'!O14+60</xm:f>
          </x14:formula1>
          <xm:sqref>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499984740745262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49" activePane="bottomLeft" state="frozen"/>
      <selection activeCell="J8" sqref="J8:J9"/>
      <selection pane="bottomLeft" activeCell="F13" sqref="F13"/>
    </sheetView>
  </sheetViews>
  <sheetFormatPr defaultColWidth="12.7109375" defaultRowHeight="12.75"/>
  <cols>
    <col min="1" max="1" width="1.140625" style="23" customWidth="1"/>
    <col min="2" max="2" width="7" style="21" customWidth="1"/>
    <col min="3" max="3" width="18.7109375" style="21" customWidth="1"/>
    <col min="4" max="4" width="13.7109375" style="52" bestFit="1" customWidth="1"/>
    <col min="5" max="10" width="12.7109375" style="52"/>
    <col min="11" max="11" width="12.7109375" style="52" customWidth="1"/>
    <col min="12" max="15" width="12.7109375" style="52"/>
    <col min="16" max="19" width="12.7109375" style="52" customWidth="1"/>
    <col min="20" max="23" width="12.7109375" style="52"/>
    <col min="24" max="24" width="13.85546875" style="21" bestFit="1" customWidth="1"/>
    <col min="25" max="25" width="14.28515625" style="21" bestFit="1" customWidth="1"/>
    <col min="26" max="16384" width="12.7109375" style="23"/>
  </cols>
  <sheetData>
    <row r="1" spans="1:30" ht="4.5" customHeight="1" thickBot="1">
      <c r="B1" s="23"/>
      <c r="C1" s="2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/>
      <c r="Y1" s="23"/>
    </row>
    <row r="2" spans="1:30" s="27" customFormat="1" ht="15" customHeight="1" thickTop="1">
      <c r="B2" s="1094" t="s">
        <v>918</v>
      </c>
      <c r="C2" s="1095"/>
      <c r="D2" s="1095"/>
      <c r="E2" s="1095"/>
      <c r="F2" s="1095"/>
      <c r="G2" s="1095"/>
      <c r="H2" s="1095"/>
      <c r="I2" s="1095"/>
      <c r="J2" s="1095"/>
      <c r="K2" s="1095"/>
      <c r="L2" s="1095"/>
      <c r="M2" s="1095"/>
      <c r="N2" s="1095"/>
      <c r="O2" s="1096"/>
      <c r="P2" s="949"/>
      <c r="Q2" s="286"/>
      <c r="R2" s="286"/>
      <c r="S2" s="286"/>
      <c r="T2" s="32"/>
      <c r="U2" s="32"/>
      <c r="V2" s="32"/>
      <c r="W2" s="32"/>
      <c r="X2" s="29"/>
      <c r="Y2" s="29"/>
      <c r="Z2" s="29"/>
      <c r="AA2" s="29"/>
      <c r="AB2" s="29"/>
    </row>
    <row r="3" spans="1:30" s="27" customFormat="1" ht="15" customHeight="1">
      <c r="B3" s="1097" t="s">
        <v>96</v>
      </c>
      <c r="C3" s="1098"/>
      <c r="D3" s="1099"/>
      <c r="E3" s="1099"/>
      <c r="F3" s="1099"/>
      <c r="G3" s="1099"/>
      <c r="H3" s="1099"/>
      <c r="I3" s="1099"/>
      <c r="J3" s="1099"/>
      <c r="K3" s="1099"/>
      <c r="L3" s="1099"/>
      <c r="M3" s="1099"/>
      <c r="N3" s="1099"/>
      <c r="O3" s="1100"/>
      <c r="P3" s="950"/>
      <c r="Q3" s="287"/>
      <c r="R3" s="287"/>
      <c r="S3" s="287"/>
      <c r="T3" s="32"/>
      <c r="U3" s="32"/>
      <c r="V3" s="32"/>
      <c r="W3" s="32"/>
      <c r="X3" s="29"/>
      <c r="Y3" s="29"/>
      <c r="Z3" s="29"/>
      <c r="AA3" s="29"/>
      <c r="AB3" s="29"/>
    </row>
    <row r="4" spans="1:30" s="18" customFormat="1" ht="15" customHeight="1">
      <c r="A4" s="19"/>
      <c r="B4" s="1101" t="s">
        <v>924</v>
      </c>
      <c r="C4" s="1102"/>
      <c r="D4" s="714">
        <v>90</v>
      </c>
      <c r="E4" s="368">
        <v>180</v>
      </c>
      <c r="F4" s="115">
        <v>360</v>
      </c>
      <c r="G4" s="331">
        <f>'1.PM'!F18</f>
        <v>1000</v>
      </c>
      <c r="H4" s="331">
        <f>'1.PM'!G18</f>
        <v>0</v>
      </c>
      <c r="I4" s="331">
        <f>'1.PM'!H18</f>
        <v>0</v>
      </c>
      <c r="J4" s="331">
        <f>'1.PM'!I18</f>
        <v>0</v>
      </c>
      <c r="K4" s="331">
        <f>'1.PM'!J18</f>
        <v>0</v>
      </c>
      <c r="L4" s="331">
        <f>'1.PM'!K18</f>
        <v>0</v>
      </c>
      <c r="M4" s="331">
        <f>'1.PM'!L18</f>
        <v>0</v>
      </c>
      <c r="N4" s="331">
        <f>'1.PM'!M18</f>
        <v>0</v>
      </c>
      <c r="O4" s="331">
        <f>'1.PM'!N18</f>
        <v>0</v>
      </c>
      <c r="P4" s="950"/>
      <c r="Q4" s="271" t="e">
        <f>INDEX(List!P2:P6,MATCH($P4,List!O2:O6,0))</f>
        <v>#N/A</v>
      </c>
      <c r="R4" s="185"/>
      <c r="S4" s="185"/>
      <c r="T4" s="19"/>
      <c r="U4" s="19"/>
      <c r="V4" s="17"/>
      <c r="W4" s="17"/>
      <c r="X4" s="17"/>
      <c r="Y4" s="17"/>
      <c r="Z4" s="17"/>
      <c r="AA4" s="17"/>
      <c r="AB4" s="17"/>
      <c r="AC4" s="17"/>
      <c r="AD4" s="17"/>
    </row>
    <row r="5" spans="1:30" s="18" customFormat="1" ht="15" customHeight="1">
      <c r="A5" s="19"/>
      <c r="B5" s="1092"/>
      <c r="C5" s="1093"/>
      <c r="D5" s="55" t="b">
        <v>0</v>
      </c>
      <c r="E5" s="55"/>
      <c r="F5" s="55" t="b">
        <v>1</v>
      </c>
      <c r="G5" s="55" t="b">
        <v>0</v>
      </c>
      <c r="H5" s="55" t="b">
        <v>0</v>
      </c>
      <c r="I5" s="55" t="b">
        <v>0</v>
      </c>
      <c r="J5" s="55" t="b">
        <v>0</v>
      </c>
      <c r="K5" s="55" t="b">
        <v>0</v>
      </c>
      <c r="L5" s="55" t="b">
        <v>0</v>
      </c>
      <c r="M5" s="55" t="b">
        <v>0</v>
      </c>
      <c r="N5" s="55" t="b">
        <v>0</v>
      </c>
      <c r="O5" s="55" t="b">
        <v>0</v>
      </c>
      <c r="P5" s="950"/>
      <c r="Q5" s="270"/>
      <c r="R5" s="185"/>
      <c r="S5" s="185"/>
      <c r="T5" s="19"/>
      <c r="U5" s="19"/>
      <c r="V5" s="17"/>
      <c r="W5" s="17"/>
      <c r="X5" s="17"/>
      <c r="Y5" s="17"/>
      <c r="Z5" s="17"/>
      <c r="AA5" s="17"/>
      <c r="AB5" s="17"/>
      <c r="AC5" s="17"/>
      <c r="AD5" s="17"/>
    </row>
    <row r="6" spans="1:30" s="25" customFormat="1" ht="7.5" customHeight="1">
      <c r="B6" s="24"/>
      <c r="C6" s="24"/>
      <c r="D6" s="38"/>
      <c r="E6" s="39"/>
      <c r="F6" s="39"/>
      <c r="G6" s="40"/>
      <c r="H6" s="41"/>
      <c r="I6" s="41"/>
      <c r="J6" s="42"/>
      <c r="K6" s="39"/>
      <c r="L6" s="39"/>
      <c r="M6" s="43"/>
      <c r="N6" s="43"/>
      <c r="O6" s="43"/>
      <c r="P6" s="31"/>
      <c r="Q6" s="44"/>
      <c r="R6" s="44"/>
      <c r="S6" s="45"/>
      <c r="T6" s="45"/>
      <c r="U6" s="45"/>
      <c r="V6" s="45"/>
      <c r="W6" s="45"/>
      <c r="X6" s="26"/>
      <c r="Y6" s="26"/>
      <c r="Z6" s="26"/>
      <c r="AA6" s="26"/>
      <c r="AB6" s="26"/>
    </row>
    <row r="7" spans="1:30" s="25" customFormat="1" ht="7.5" customHeight="1" thickBot="1">
      <c r="B7" s="24"/>
      <c r="C7" s="24"/>
      <c r="D7" s="38"/>
      <c r="E7" s="39"/>
      <c r="F7" s="39"/>
      <c r="G7" s="40"/>
      <c r="H7" s="41"/>
      <c r="I7" s="41"/>
      <c r="J7" s="42"/>
      <c r="K7" s="39"/>
      <c r="L7" s="39"/>
      <c r="M7" s="43"/>
      <c r="N7" s="43"/>
      <c r="O7" s="43"/>
      <c r="P7" s="31"/>
      <c r="Q7" s="44"/>
      <c r="R7" s="44"/>
      <c r="S7" s="45"/>
      <c r="T7" s="45"/>
      <c r="U7" s="45"/>
      <c r="V7" s="45"/>
      <c r="W7" s="45"/>
      <c r="X7" s="26"/>
      <c r="Y7" s="26"/>
      <c r="Z7" s="26"/>
      <c r="AA7" s="26"/>
      <c r="AB7" s="26"/>
    </row>
    <row r="8" spans="1:30" ht="15.75" thickTop="1">
      <c r="B8" s="1116" t="s">
        <v>214</v>
      </c>
      <c r="C8" s="1117"/>
      <c r="D8" s="1117"/>
      <c r="E8" s="1117"/>
      <c r="F8" s="1117"/>
      <c r="G8" s="1117"/>
      <c r="H8" s="1117"/>
      <c r="I8" s="1117"/>
      <c r="J8" s="1117"/>
      <c r="K8" s="1117"/>
      <c r="L8" s="1117"/>
      <c r="M8" s="1117"/>
      <c r="N8" s="1117"/>
      <c r="O8" s="1118"/>
      <c r="P8" s="288" t="s">
        <v>205</v>
      </c>
      <c r="Q8" s="30"/>
      <c r="R8" s="30"/>
      <c r="S8" s="30"/>
      <c r="T8" s="30"/>
      <c r="U8" s="30"/>
      <c r="V8" s="30"/>
      <c r="W8" s="30"/>
      <c r="X8" s="23"/>
      <c r="Y8" s="23"/>
    </row>
    <row r="9" spans="1:30" ht="15">
      <c r="B9" s="306" t="s">
        <v>213</v>
      </c>
      <c r="C9" s="3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8"/>
      <c r="P9" s="305"/>
      <c r="Q9" s="30"/>
      <c r="R9" s="30"/>
      <c r="S9" s="30"/>
      <c r="T9" s="30"/>
      <c r="U9" s="30"/>
      <c r="V9" s="30"/>
      <c r="W9" s="30"/>
      <c r="X9" s="23"/>
      <c r="Y9" s="23"/>
    </row>
    <row r="10" spans="1:30" ht="15">
      <c r="B10" s="306" t="s">
        <v>215</v>
      </c>
      <c r="C10" s="307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1"/>
      <c r="P10" s="294">
        <f>SUMPRODUCT(D10:O10,D9:O9)</f>
        <v>0</v>
      </c>
      <c r="Q10" s="30"/>
      <c r="R10" s="30"/>
      <c r="S10" s="30"/>
      <c r="T10" s="30"/>
      <c r="U10" s="30"/>
      <c r="V10" s="30"/>
      <c r="W10" s="30"/>
      <c r="X10" s="23"/>
      <c r="Y10" s="23"/>
    </row>
    <row r="11" spans="1:30" ht="15">
      <c r="B11" s="306" t="s">
        <v>29</v>
      </c>
      <c r="C11" s="307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1"/>
      <c r="P11" s="294">
        <f>SUMPRODUCT(D11:O11,D9:O9)</f>
        <v>0</v>
      </c>
      <c r="Q11" s="30"/>
      <c r="R11" s="30"/>
      <c r="S11" s="30"/>
      <c r="T11" s="30"/>
      <c r="U11" s="30"/>
      <c r="V11" s="30"/>
      <c r="W11" s="30"/>
      <c r="X11" s="23"/>
      <c r="Y11" s="23"/>
    </row>
    <row r="12" spans="1:30" ht="15">
      <c r="B12" s="306" t="s">
        <v>995</v>
      </c>
      <c r="C12" s="307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1"/>
      <c r="P12" s="294">
        <f>SUMPRODUCT(D12:O12,D9:O9)</f>
        <v>0</v>
      </c>
      <c r="Q12" s="30"/>
      <c r="R12" s="30"/>
      <c r="S12" s="30"/>
      <c r="T12" s="30"/>
      <c r="U12" s="30"/>
      <c r="V12" s="30"/>
      <c r="W12" s="30"/>
      <c r="X12" s="23"/>
      <c r="Y12" s="23"/>
    </row>
    <row r="13" spans="1:30" ht="15">
      <c r="B13" s="306" t="s">
        <v>212</v>
      </c>
      <c r="C13" s="307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1"/>
      <c r="P13" s="294">
        <f>SUMPRODUCT(D13:O13,D9:O9)</f>
        <v>0</v>
      </c>
      <c r="Q13" s="30"/>
      <c r="R13" s="30"/>
      <c r="S13" s="30"/>
      <c r="T13" s="30"/>
      <c r="U13" s="30"/>
      <c r="V13" s="30"/>
      <c r="W13" s="30"/>
      <c r="X13" s="23"/>
      <c r="Y13" s="23"/>
    </row>
    <row r="14" spans="1:30" ht="15.75" thickBot="1">
      <c r="B14" s="308" t="s">
        <v>216</v>
      </c>
      <c r="C14" s="309"/>
      <c r="D14" s="326">
        <f>(SUM(D10:D13)*D9)</f>
        <v>0</v>
      </c>
      <c r="E14" s="326">
        <f t="shared" ref="E14:O14" si="0">(SUM(E10:E13)*E9)</f>
        <v>0</v>
      </c>
      <c r="F14" s="326">
        <f t="shared" si="0"/>
        <v>0</v>
      </c>
      <c r="G14" s="326">
        <f t="shared" si="0"/>
        <v>0</v>
      </c>
      <c r="H14" s="326">
        <f t="shared" si="0"/>
        <v>0</v>
      </c>
      <c r="I14" s="326">
        <f t="shared" si="0"/>
        <v>0</v>
      </c>
      <c r="J14" s="326">
        <f t="shared" si="0"/>
        <v>0</v>
      </c>
      <c r="K14" s="326">
        <f t="shared" si="0"/>
        <v>0</v>
      </c>
      <c r="L14" s="326">
        <f t="shared" si="0"/>
        <v>0</v>
      </c>
      <c r="M14" s="326">
        <f t="shared" si="0"/>
        <v>0</v>
      </c>
      <c r="N14" s="326">
        <f t="shared" si="0"/>
        <v>0</v>
      </c>
      <c r="O14" s="327">
        <f t="shared" si="0"/>
        <v>0</v>
      </c>
      <c r="P14" s="298">
        <f>SUM(D14:O14)</f>
        <v>0</v>
      </c>
      <c r="Q14" s="30"/>
      <c r="R14" s="30"/>
      <c r="S14" s="30"/>
      <c r="T14" s="30"/>
      <c r="U14" s="30"/>
      <c r="V14" s="30"/>
      <c r="W14" s="30"/>
      <c r="X14" s="23"/>
      <c r="Y14" s="23"/>
    </row>
    <row r="15" spans="1:30" ht="15" hidden="1">
      <c r="B15" s="28"/>
      <c r="C15" s="2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30"/>
      <c r="R15" s="30"/>
      <c r="S15" s="30"/>
      <c r="T15" s="30"/>
      <c r="U15" s="30"/>
      <c r="V15" s="30"/>
      <c r="W15" s="30"/>
      <c r="X15" s="23"/>
      <c r="Y15" s="23"/>
    </row>
    <row r="16" spans="1:30" ht="15" hidden="1">
      <c r="B16" s="24"/>
      <c r="C16" s="13" t="s">
        <v>154</v>
      </c>
      <c r="D16" s="229">
        <f>SUM(D10:D11)*D9</f>
        <v>0</v>
      </c>
      <c r="E16" s="229">
        <f t="shared" ref="E16:O16" si="1">SUM(E10:E11)*E9</f>
        <v>0</v>
      </c>
      <c r="F16" s="229">
        <f t="shared" si="1"/>
        <v>0</v>
      </c>
      <c r="G16" s="229">
        <f t="shared" si="1"/>
        <v>0</v>
      </c>
      <c r="H16" s="229">
        <f t="shared" si="1"/>
        <v>0</v>
      </c>
      <c r="I16" s="229">
        <f t="shared" si="1"/>
        <v>0</v>
      </c>
      <c r="J16" s="229">
        <f t="shared" si="1"/>
        <v>0</v>
      </c>
      <c r="K16" s="229">
        <f t="shared" si="1"/>
        <v>0</v>
      </c>
      <c r="L16" s="229">
        <f t="shared" si="1"/>
        <v>0</v>
      </c>
      <c r="M16" s="229">
        <f t="shared" si="1"/>
        <v>0</v>
      </c>
      <c r="N16" s="229">
        <f t="shared" si="1"/>
        <v>0</v>
      </c>
      <c r="O16" s="229">
        <f t="shared" si="1"/>
        <v>0</v>
      </c>
      <c r="P16" s="47"/>
      <c r="Q16" s="30"/>
      <c r="R16" s="30"/>
      <c r="S16" s="30"/>
      <c r="T16" s="30"/>
      <c r="U16" s="30"/>
      <c r="V16" s="30"/>
      <c r="W16" s="30"/>
      <c r="X16" s="23"/>
      <c r="Y16" s="23"/>
    </row>
    <row r="17" spans="2:25" ht="15" hidden="1">
      <c r="B17" s="24"/>
      <c r="C17" s="13" t="s">
        <v>842</v>
      </c>
      <c r="D17" s="229">
        <f>D12*D9</f>
        <v>0</v>
      </c>
      <c r="E17" s="229">
        <f t="shared" ref="E17:O17" si="2">E12*E9</f>
        <v>0</v>
      </c>
      <c r="F17" s="229">
        <f t="shared" si="2"/>
        <v>0</v>
      </c>
      <c r="G17" s="229">
        <f t="shared" si="2"/>
        <v>0</v>
      </c>
      <c r="H17" s="229">
        <f t="shared" si="2"/>
        <v>0</v>
      </c>
      <c r="I17" s="229">
        <f t="shared" si="2"/>
        <v>0</v>
      </c>
      <c r="J17" s="229">
        <f t="shared" si="2"/>
        <v>0</v>
      </c>
      <c r="K17" s="229">
        <f t="shared" si="2"/>
        <v>0</v>
      </c>
      <c r="L17" s="229">
        <f t="shared" si="2"/>
        <v>0</v>
      </c>
      <c r="M17" s="229">
        <f t="shared" si="2"/>
        <v>0</v>
      </c>
      <c r="N17" s="229">
        <f t="shared" si="2"/>
        <v>0</v>
      </c>
      <c r="O17" s="229">
        <f t="shared" si="2"/>
        <v>0</v>
      </c>
      <c r="P17" s="47"/>
      <c r="Q17" s="30"/>
      <c r="R17" s="30"/>
      <c r="S17" s="30"/>
      <c r="T17" s="30"/>
      <c r="U17" s="30"/>
      <c r="V17" s="30"/>
      <c r="W17" s="30"/>
      <c r="X17" s="23"/>
      <c r="Y17" s="23"/>
    </row>
    <row r="18" spans="2:25" ht="15" hidden="1">
      <c r="B18" s="24"/>
      <c r="C18" s="13" t="s">
        <v>843</v>
      </c>
      <c r="D18" s="229">
        <f>D13*D9</f>
        <v>0</v>
      </c>
      <c r="E18" s="229">
        <f t="shared" ref="E18:O18" si="3">E13*E9</f>
        <v>0</v>
      </c>
      <c r="F18" s="229">
        <f t="shared" si="3"/>
        <v>0</v>
      </c>
      <c r="G18" s="229">
        <f t="shared" si="3"/>
        <v>0</v>
      </c>
      <c r="H18" s="229">
        <f t="shared" si="3"/>
        <v>0</v>
      </c>
      <c r="I18" s="229">
        <f t="shared" si="3"/>
        <v>0</v>
      </c>
      <c r="J18" s="229">
        <f t="shared" si="3"/>
        <v>0</v>
      </c>
      <c r="K18" s="229">
        <f t="shared" si="3"/>
        <v>0</v>
      </c>
      <c r="L18" s="229">
        <f t="shared" si="3"/>
        <v>0</v>
      </c>
      <c r="M18" s="229">
        <f t="shared" si="3"/>
        <v>0</v>
      </c>
      <c r="N18" s="229">
        <f t="shared" si="3"/>
        <v>0</v>
      </c>
      <c r="O18" s="229">
        <f t="shared" si="3"/>
        <v>0</v>
      </c>
      <c r="P18" s="47"/>
      <c r="Q18" s="30"/>
      <c r="R18" s="30"/>
      <c r="S18" s="30"/>
      <c r="T18" s="30"/>
      <c r="U18" s="30"/>
      <c r="V18" s="30"/>
      <c r="W18" s="30"/>
      <c r="X18" s="23"/>
      <c r="Y18" s="23"/>
    </row>
    <row r="19" spans="2:25" ht="15.75" thickBot="1">
      <c r="B19" s="24"/>
      <c r="C19" s="24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30"/>
      <c r="R19" s="30"/>
      <c r="S19" s="30"/>
      <c r="T19" s="30"/>
      <c r="U19" s="30"/>
      <c r="V19" s="30"/>
      <c r="W19" s="30"/>
      <c r="X19" s="23"/>
      <c r="Y19" s="23"/>
    </row>
    <row r="20" spans="2:25" ht="15.75" thickTop="1">
      <c r="B20" s="1119" t="s">
        <v>225</v>
      </c>
      <c r="C20" s="1120"/>
      <c r="D20" s="1120" t="str">
        <f>IF(('1.PM'!N2)="Injectables","NOT APPLICABLE","")</f>
        <v/>
      </c>
      <c r="E20" s="1120"/>
      <c r="F20" s="1120"/>
      <c r="G20" s="1120"/>
      <c r="H20" s="1120"/>
      <c r="I20" s="1120"/>
      <c r="J20" s="1120"/>
      <c r="K20" s="1120"/>
      <c r="L20" s="1120"/>
      <c r="M20" s="1120"/>
      <c r="N20" s="1120"/>
      <c r="O20" s="1121"/>
      <c r="P20" s="288" t="s">
        <v>205</v>
      </c>
      <c r="Q20" s="30"/>
      <c r="R20" s="30"/>
      <c r="S20" s="30"/>
      <c r="T20" s="30"/>
      <c r="U20" s="30"/>
      <c r="V20" s="30"/>
      <c r="W20" s="30"/>
      <c r="X20" s="23"/>
      <c r="Y20" s="23"/>
    </row>
    <row r="21" spans="2:25" ht="15">
      <c r="B21" s="1113" t="s">
        <v>211</v>
      </c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5"/>
      <c r="P21" s="289"/>
      <c r="Q21" s="272"/>
      <c r="R21" s="30"/>
      <c r="S21" s="30"/>
      <c r="T21" s="30"/>
      <c r="U21" s="30"/>
      <c r="V21" s="30"/>
      <c r="W21" s="30"/>
      <c r="X21" s="23"/>
      <c r="Y21" s="23"/>
    </row>
    <row r="22" spans="2:25" ht="15">
      <c r="B22" s="310" t="s">
        <v>38</v>
      </c>
      <c r="C22" s="307" t="s">
        <v>415</v>
      </c>
      <c r="D22" s="321">
        <f>IF(D$5=TRUE,$B$23,0)</f>
        <v>0</v>
      </c>
      <c r="E22" s="321">
        <f t="shared" ref="E22:O22" si="4">IF(E$5=TRUE,$B$23,0)</f>
        <v>0</v>
      </c>
      <c r="F22" s="321"/>
      <c r="G22" s="321">
        <f t="shared" si="4"/>
        <v>0</v>
      </c>
      <c r="H22" s="321">
        <f t="shared" si="4"/>
        <v>0</v>
      </c>
      <c r="I22" s="321">
        <f t="shared" si="4"/>
        <v>0</v>
      </c>
      <c r="J22" s="321">
        <f t="shared" si="4"/>
        <v>0</v>
      </c>
      <c r="K22" s="321">
        <f t="shared" si="4"/>
        <v>0</v>
      </c>
      <c r="L22" s="321">
        <f t="shared" si="4"/>
        <v>0</v>
      </c>
      <c r="M22" s="321">
        <f t="shared" si="4"/>
        <v>0</v>
      </c>
      <c r="N22" s="321">
        <f t="shared" si="4"/>
        <v>0</v>
      </c>
      <c r="O22" s="321">
        <f t="shared" si="4"/>
        <v>0</v>
      </c>
      <c r="P22" s="290">
        <f>SUM(D22:O22)</f>
        <v>0</v>
      </c>
      <c r="Q22" s="23"/>
      <c r="R22" s="30"/>
      <c r="S22" s="30"/>
      <c r="T22" s="30"/>
      <c r="U22" s="30"/>
      <c r="V22" s="30"/>
      <c r="W22" s="30"/>
      <c r="X22" s="23"/>
      <c r="Y22" s="23"/>
    </row>
    <row r="23" spans="2:25" ht="15" hidden="1">
      <c r="B23" s="311">
        <v>0</v>
      </c>
      <c r="C23" s="307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291"/>
      <c r="Q23" s="273"/>
      <c r="R23" s="30"/>
      <c r="S23" s="30"/>
      <c r="T23" s="30"/>
      <c r="U23" s="30"/>
      <c r="V23" s="30"/>
      <c r="W23" s="30"/>
      <c r="X23" s="23"/>
      <c r="Y23" s="23"/>
    </row>
    <row r="24" spans="2:25" ht="15">
      <c r="B24" s="310" t="s">
        <v>417</v>
      </c>
      <c r="C24" s="307" t="s">
        <v>416</v>
      </c>
      <c r="D24" s="321">
        <f>IF(D$5=TRUE,$B$25,0)</f>
        <v>0</v>
      </c>
      <c r="E24" s="321">
        <f t="shared" ref="E24:O24" si="5">IF(E$5=TRUE,$B$25,0)</f>
        <v>0</v>
      </c>
      <c r="F24" s="321">
        <f t="shared" si="5"/>
        <v>0</v>
      </c>
      <c r="G24" s="321">
        <f t="shared" si="5"/>
        <v>0</v>
      </c>
      <c r="H24" s="321">
        <f t="shared" si="5"/>
        <v>0</v>
      </c>
      <c r="I24" s="321">
        <f t="shared" si="5"/>
        <v>0</v>
      </c>
      <c r="J24" s="321">
        <f t="shared" si="5"/>
        <v>0</v>
      </c>
      <c r="K24" s="321">
        <f t="shared" si="5"/>
        <v>0</v>
      </c>
      <c r="L24" s="321">
        <f t="shared" si="5"/>
        <v>0</v>
      </c>
      <c r="M24" s="321">
        <f t="shared" si="5"/>
        <v>0</v>
      </c>
      <c r="N24" s="321">
        <f t="shared" si="5"/>
        <v>0</v>
      </c>
      <c r="O24" s="321">
        <f t="shared" si="5"/>
        <v>0</v>
      </c>
      <c r="P24" s="292">
        <f>SUM(D24:O24)</f>
        <v>0</v>
      </c>
      <c r="Q24" s="23"/>
      <c r="R24" s="30"/>
      <c r="S24" s="30"/>
      <c r="T24" s="30"/>
      <c r="U24" s="30"/>
      <c r="V24" s="30"/>
      <c r="W24" s="30"/>
      <c r="X24" s="23"/>
      <c r="Y24" s="23"/>
    </row>
    <row r="25" spans="2:25" ht="15" hidden="1">
      <c r="B25" s="311">
        <v>0</v>
      </c>
      <c r="C25" s="307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291"/>
      <c r="Q25" s="272"/>
      <c r="R25" s="30"/>
      <c r="S25" s="30"/>
      <c r="T25" s="30"/>
      <c r="U25" s="30"/>
      <c r="V25" s="30"/>
      <c r="W25" s="30"/>
      <c r="X25" s="23"/>
      <c r="Y25" s="23"/>
    </row>
    <row r="26" spans="2:25" ht="15">
      <c r="B26" s="310" t="s">
        <v>41</v>
      </c>
      <c r="C26" s="307" t="s">
        <v>418</v>
      </c>
      <c r="D26" s="321"/>
      <c r="E26" s="321"/>
      <c r="F26" s="321">
        <v>16</v>
      </c>
      <c r="G26" s="321">
        <f t="shared" ref="G26:O26" si="6">IF(G$5=TRUE,$B$27,0)</f>
        <v>0</v>
      </c>
      <c r="H26" s="321">
        <f t="shared" si="6"/>
        <v>0</v>
      </c>
      <c r="I26" s="321">
        <f t="shared" si="6"/>
        <v>0</v>
      </c>
      <c r="J26" s="321">
        <f t="shared" si="6"/>
        <v>0</v>
      </c>
      <c r="K26" s="321">
        <f t="shared" si="6"/>
        <v>0</v>
      </c>
      <c r="L26" s="321">
        <f t="shared" si="6"/>
        <v>0</v>
      </c>
      <c r="M26" s="321">
        <f t="shared" si="6"/>
        <v>0</v>
      </c>
      <c r="N26" s="321">
        <f t="shared" si="6"/>
        <v>0</v>
      </c>
      <c r="O26" s="321">
        <f t="shared" si="6"/>
        <v>0</v>
      </c>
      <c r="P26" s="293">
        <f>SUM(D26:O26)</f>
        <v>16</v>
      </c>
      <c r="Q26" s="23"/>
      <c r="R26" s="30"/>
      <c r="S26" s="30"/>
      <c r="T26" s="30"/>
      <c r="U26" s="30"/>
      <c r="V26" s="30"/>
      <c r="W26" s="30"/>
      <c r="X26" s="23"/>
      <c r="Y26" s="23"/>
    </row>
    <row r="27" spans="2:25" ht="15" hidden="1">
      <c r="B27" s="311">
        <v>18</v>
      </c>
      <c r="C27" s="307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291"/>
      <c r="Q27" s="272"/>
      <c r="R27" s="30"/>
      <c r="S27" s="30"/>
      <c r="T27" s="30"/>
      <c r="U27" s="30"/>
      <c r="V27" s="30"/>
      <c r="W27" s="30"/>
      <c r="X27" s="23"/>
      <c r="Y27" s="23"/>
    </row>
    <row r="28" spans="2:25" ht="15">
      <c r="B28" s="310" t="s">
        <v>419</v>
      </c>
      <c r="C28" s="307" t="s">
        <v>420</v>
      </c>
      <c r="D28" s="317"/>
      <c r="E28" s="317"/>
      <c r="F28" s="317">
        <f t="shared" ref="F28:O28" si="7">IF(F$5=TRUE,$B$29+15000,0)</f>
        <v>25000</v>
      </c>
      <c r="G28" s="317">
        <f t="shared" si="7"/>
        <v>0</v>
      </c>
      <c r="H28" s="317">
        <f t="shared" si="7"/>
        <v>0</v>
      </c>
      <c r="I28" s="317">
        <f t="shared" si="7"/>
        <v>0</v>
      </c>
      <c r="J28" s="317">
        <f t="shared" si="7"/>
        <v>0</v>
      </c>
      <c r="K28" s="317">
        <f t="shared" si="7"/>
        <v>0</v>
      </c>
      <c r="L28" s="317">
        <f t="shared" si="7"/>
        <v>0</v>
      </c>
      <c r="M28" s="317">
        <f t="shared" si="7"/>
        <v>0</v>
      </c>
      <c r="N28" s="317">
        <f t="shared" si="7"/>
        <v>0</v>
      </c>
      <c r="O28" s="317">
        <f t="shared" si="7"/>
        <v>0</v>
      </c>
      <c r="P28" s="294">
        <f>SUM(D28:O28)</f>
        <v>25000</v>
      </c>
      <c r="Q28" s="272"/>
      <c r="R28" s="30"/>
      <c r="S28" s="30"/>
      <c r="T28" s="30"/>
      <c r="U28" s="30"/>
      <c r="V28" s="30"/>
      <c r="W28" s="30"/>
      <c r="X28" s="23"/>
      <c r="Y28" s="23"/>
    </row>
    <row r="29" spans="2:25" ht="15" hidden="1">
      <c r="B29" s="311">
        <v>10000</v>
      </c>
      <c r="C29" s="307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294">
        <f t="shared" ref="P29:P46" si="8">SUM(D29:O29)</f>
        <v>0</v>
      </c>
      <c r="Q29" s="272"/>
      <c r="R29" s="30"/>
      <c r="S29" s="30"/>
      <c r="T29" s="30"/>
      <c r="U29" s="30"/>
      <c r="V29" s="30"/>
      <c r="W29" s="30"/>
      <c r="X29" s="23"/>
      <c r="Y29" s="23"/>
    </row>
    <row r="30" spans="2:25" ht="15">
      <c r="B30" s="310" t="s">
        <v>421</v>
      </c>
      <c r="C30" s="307" t="s">
        <v>978</v>
      </c>
      <c r="D30" s="317"/>
      <c r="E30" s="317"/>
      <c r="F30" s="317">
        <v>50000</v>
      </c>
      <c r="G30" s="317">
        <f t="shared" ref="G30:O30" si="9">IF(G$5=TRUE,$B$31+30000,0)</f>
        <v>0</v>
      </c>
      <c r="H30" s="317">
        <f t="shared" si="9"/>
        <v>0</v>
      </c>
      <c r="I30" s="317">
        <f t="shared" si="9"/>
        <v>0</v>
      </c>
      <c r="J30" s="317">
        <f t="shared" si="9"/>
        <v>0</v>
      </c>
      <c r="K30" s="317">
        <f t="shared" si="9"/>
        <v>0</v>
      </c>
      <c r="L30" s="317">
        <f t="shared" si="9"/>
        <v>0</v>
      </c>
      <c r="M30" s="317">
        <f t="shared" si="9"/>
        <v>0</v>
      </c>
      <c r="N30" s="317">
        <f t="shared" si="9"/>
        <v>0</v>
      </c>
      <c r="O30" s="317">
        <f t="shared" si="9"/>
        <v>0</v>
      </c>
      <c r="P30" s="294">
        <f t="shared" si="8"/>
        <v>50000</v>
      </c>
      <c r="Q30" s="272">
        <v>11000</v>
      </c>
      <c r="R30" s="30"/>
      <c r="S30" s="30"/>
      <c r="T30" s="30"/>
      <c r="U30" s="30"/>
      <c r="V30" s="30"/>
      <c r="W30" s="30"/>
      <c r="X30" s="23"/>
      <c r="Y30" s="23"/>
    </row>
    <row r="31" spans="2:25" ht="15" hidden="1">
      <c r="B31" s="311">
        <v>30000</v>
      </c>
      <c r="C31" s="307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294">
        <f t="shared" si="8"/>
        <v>0</v>
      </c>
      <c r="Q31" s="272"/>
      <c r="R31" s="30"/>
      <c r="S31" s="30"/>
      <c r="T31" s="30"/>
      <c r="U31" s="30"/>
      <c r="V31" s="30"/>
      <c r="W31" s="30"/>
      <c r="X31" s="23"/>
      <c r="Y31" s="23"/>
    </row>
    <row r="32" spans="2:25" ht="15">
      <c r="B32" s="310" t="s">
        <v>423</v>
      </c>
      <c r="C32" s="307" t="s">
        <v>422</v>
      </c>
      <c r="D32" s="317"/>
      <c r="E32" s="317"/>
      <c r="F32" s="317">
        <f t="shared" ref="F32:O32" si="10">IF(F$5=TRUE,$B$33*1000,0)</f>
        <v>200000</v>
      </c>
      <c r="G32" s="317">
        <f t="shared" si="10"/>
        <v>0</v>
      </c>
      <c r="H32" s="317">
        <f t="shared" si="10"/>
        <v>0</v>
      </c>
      <c r="I32" s="317">
        <f t="shared" si="10"/>
        <v>0</v>
      </c>
      <c r="J32" s="317">
        <f t="shared" si="10"/>
        <v>0</v>
      </c>
      <c r="K32" s="317">
        <f t="shared" si="10"/>
        <v>0</v>
      </c>
      <c r="L32" s="317">
        <f t="shared" si="10"/>
        <v>0</v>
      </c>
      <c r="M32" s="317">
        <f t="shared" si="10"/>
        <v>0</v>
      </c>
      <c r="N32" s="317">
        <f t="shared" si="10"/>
        <v>0</v>
      </c>
      <c r="O32" s="317">
        <f t="shared" si="10"/>
        <v>0</v>
      </c>
      <c r="P32" s="294">
        <f t="shared" si="8"/>
        <v>200000</v>
      </c>
      <c r="Q32" s="272"/>
      <c r="R32" s="30"/>
      <c r="S32" s="30"/>
      <c r="T32" s="30"/>
      <c r="U32" s="30"/>
      <c r="V32" s="30"/>
      <c r="W32" s="30"/>
      <c r="X32" s="23"/>
      <c r="Y32" s="23"/>
    </row>
    <row r="33" spans="2:25" ht="15" hidden="1">
      <c r="B33" s="311">
        <v>200</v>
      </c>
      <c r="C33" s="307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94">
        <f t="shared" si="8"/>
        <v>0</v>
      </c>
      <c r="Q33" s="272"/>
      <c r="R33" s="30"/>
      <c r="S33" s="30"/>
      <c r="T33" s="30"/>
      <c r="U33" s="30"/>
      <c r="V33" s="30"/>
      <c r="W33" s="30"/>
      <c r="X33" s="23"/>
      <c r="Y33" s="23"/>
    </row>
    <row r="34" spans="2:25" ht="15">
      <c r="B34" s="312" t="s">
        <v>424</v>
      </c>
      <c r="C34" s="313" t="s">
        <v>425</v>
      </c>
      <c r="D34" s="323">
        <f>IF(D26=0,0,((D22+D24)*((D26*(D28+D30)+D32))))</f>
        <v>0</v>
      </c>
      <c r="E34" s="323">
        <f t="shared" ref="E34:O34" si="11">IF(E26=0,0,((E22+E24)*((E26*(E28+E30)+E32))))</f>
        <v>0</v>
      </c>
      <c r="F34" s="323">
        <f t="shared" si="11"/>
        <v>0</v>
      </c>
      <c r="G34" s="323">
        <f t="shared" si="11"/>
        <v>0</v>
      </c>
      <c r="H34" s="323">
        <f t="shared" si="11"/>
        <v>0</v>
      </c>
      <c r="I34" s="323">
        <f t="shared" si="11"/>
        <v>0</v>
      </c>
      <c r="J34" s="323">
        <f t="shared" si="11"/>
        <v>0</v>
      </c>
      <c r="K34" s="323">
        <f t="shared" si="11"/>
        <v>0</v>
      </c>
      <c r="L34" s="323">
        <f t="shared" si="11"/>
        <v>0</v>
      </c>
      <c r="M34" s="323">
        <f t="shared" si="11"/>
        <v>0</v>
      </c>
      <c r="N34" s="323">
        <f t="shared" si="11"/>
        <v>0</v>
      </c>
      <c r="O34" s="323">
        <f t="shared" si="11"/>
        <v>0</v>
      </c>
      <c r="P34" s="294">
        <f t="shared" si="8"/>
        <v>0</v>
      </c>
      <c r="Q34" s="272"/>
      <c r="R34" s="30"/>
      <c r="S34" s="30"/>
      <c r="T34" s="30"/>
      <c r="U34" s="30"/>
      <c r="V34" s="30"/>
      <c r="W34" s="30"/>
      <c r="X34" s="23"/>
      <c r="Y34" s="23"/>
    </row>
    <row r="35" spans="2:25" ht="15">
      <c r="B35" s="1113" t="s">
        <v>212</v>
      </c>
      <c r="C35" s="1114"/>
      <c r="D35" s="1114"/>
      <c r="E35" s="1114"/>
      <c r="F35" s="1114"/>
      <c r="G35" s="1114"/>
      <c r="H35" s="1114"/>
      <c r="I35" s="1114"/>
      <c r="J35" s="1114"/>
      <c r="K35" s="1114"/>
      <c r="L35" s="1114"/>
      <c r="M35" s="1114"/>
      <c r="N35" s="1114"/>
      <c r="O35" s="1115"/>
      <c r="P35" s="295">
        <f t="shared" si="8"/>
        <v>0</v>
      </c>
      <c r="Q35" s="30"/>
      <c r="R35" s="30"/>
      <c r="S35" s="30"/>
      <c r="T35" s="30"/>
      <c r="U35" s="30"/>
      <c r="V35" s="30"/>
      <c r="W35" s="30"/>
      <c r="X35" s="23"/>
      <c r="Y35" s="23"/>
    </row>
    <row r="36" spans="2:25" ht="15">
      <c r="B36" s="310" t="s">
        <v>38</v>
      </c>
      <c r="C36" s="307" t="s">
        <v>415</v>
      </c>
      <c r="D36" s="321">
        <f>IF(D$5=TRUE,$B$37,0)</f>
        <v>0</v>
      </c>
      <c r="E36" s="321">
        <f t="shared" ref="E36:O36" si="12">IF(E$5=TRUE,$B$37,0)</f>
        <v>0</v>
      </c>
      <c r="F36" s="321"/>
      <c r="G36" s="321">
        <f t="shared" si="12"/>
        <v>0</v>
      </c>
      <c r="H36" s="321">
        <f t="shared" si="12"/>
        <v>0</v>
      </c>
      <c r="I36" s="321">
        <f t="shared" si="12"/>
        <v>0</v>
      </c>
      <c r="J36" s="321">
        <f t="shared" si="12"/>
        <v>0</v>
      </c>
      <c r="K36" s="321">
        <f t="shared" si="12"/>
        <v>0</v>
      </c>
      <c r="L36" s="321">
        <f t="shared" si="12"/>
        <v>0</v>
      </c>
      <c r="M36" s="321">
        <f t="shared" si="12"/>
        <v>0</v>
      </c>
      <c r="N36" s="321">
        <f t="shared" si="12"/>
        <v>0</v>
      </c>
      <c r="O36" s="321">
        <f t="shared" si="12"/>
        <v>0</v>
      </c>
      <c r="P36" s="290">
        <f t="shared" si="8"/>
        <v>0</v>
      </c>
      <c r="Q36" s="30"/>
      <c r="R36" s="30"/>
      <c r="S36" s="30"/>
      <c r="T36" s="30"/>
      <c r="U36" s="30"/>
      <c r="V36" s="30"/>
      <c r="W36" s="30"/>
      <c r="X36" s="23"/>
      <c r="Y36" s="23"/>
    </row>
    <row r="37" spans="2:25" ht="15" hidden="1">
      <c r="B37" s="311">
        <v>0</v>
      </c>
      <c r="C37" s="307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291">
        <f t="shared" si="8"/>
        <v>0</v>
      </c>
      <c r="Q37" s="30"/>
      <c r="R37" s="30"/>
      <c r="S37" s="30"/>
      <c r="T37" s="30"/>
      <c r="U37" s="30"/>
      <c r="V37" s="30"/>
      <c r="W37" s="30"/>
      <c r="X37" s="23"/>
      <c r="Y37" s="23"/>
    </row>
    <row r="38" spans="2:25" ht="15">
      <c r="B38" s="310" t="s">
        <v>417</v>
      </c>
      <c r="C38" s="307" t="s">
        <v>416</v>
      </c>
      <c r="D38" s="321">
        <f>IF(D$5=TRUE,$B$39,0)</f>
        <v>0</v>
      </c>
      <c r="E38" s="321">
        <f t="shared" ref="E38:O38" si="13">IF(E$5=TRUE,$B$39,0)</f>
        <v>0</v>
      </c>
      <c r="F38" s="321">
        <f t="shared" si="13"/>
        <v>0</v>
      </c>
      <c r="G38" s="321">
        <f t="shared" si="13"/>
        <v>0</v>
      </c>
      <c r="H38" s="321">
        <f t="shared" si="13"/>
        <v>0</v>
      </c>
      <c r="I38" s="321">
        <f t="shared" si="13"/>
        <v>0</v>
      </c>
      <c r="J38" s="321">
        <f t="shared" si="13"/>
        <v>0</v>
      </c>
      <c r="K38" s="321">
        <f t="shared" si="13"/>
        <v>0</v>
      </c>
      <c r="L38" s="321">
        <f t="shared" si="13"/>
        <v>0</v>
      </c>
      <c r="M38" s="321">
        <f t="shared" si="13"/>
        <v>0</v>
      </c>
      <c r="N38" s="321">
        <f t="shared" si="13"/>
        <v>0</v>
      </c>
      <c r="O38" s="321">
        <f t="shared" si="13"/>
        <v>0</v>
      </c>
      <c r="P38" s="292">
        <f t="shared" si="8"/>
        <v>0</v>
      </c>
      <c r="Q38" s="30"/>
      <c r="R38" s="30"/>
      <c r="S38" s="30"/>
      <c r="T38" s="30"/>
      <c r="U38" s="30"/>
      <c r="V38" s="30"/>
      <c r="W38" s="30"/>
      <c r="X38" s="23"/>
      <c r="Y38" s="23"/>
    </row>
    <row r="39" spans="2:25" ht="15" hidden="1">
      <c r="B39" s="311">
        <v>0</v>
      </c>
      <c r="C39" s="307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291">
        <f t="shared" si="8"/>
        <v>0</v>
      </c>
      <c r="Q39" s="30"/>
      <c r="R39" s="30"/>
      <c r="S39" s="30"/>
      <c r="T39" s="30"/>
      <c r="U39" s="30"/>
      <c r="V39" s="30"/>
      <c r="W39" s="30"/>
      <c r="X39" s="23"/>
      <c r="Y39" s="23"/>
    </row>
    <row r="40" spans="2:25" ht="15">
      <c r="B40" s="310" t="s">
        <v>41</v>
      </c>
      <c r="C40" s="307" t="s">
        <v>418</v>
      </c>
      <c r="D40" s="321"/>
      <c r="E40" s="321"/>
      <c r="F40" s="321">
        <f t="shared" ref="F40:O40" si="14">IF(F$5=TRUE,$B$41,0)</f>
        <v>33</v>
      </c>
      <c r="G40" s="321">
        <f t="shared" si="14"/>
        <v>0</v>
      </c>
      <c r="H40" s="321">
        <f t="shared" si="14"/>
        <v>0</v>
      </c>
      <c r="I40" s="321">
        <f t="shared" si="14"/>
        <v>0</v>
      </c>
      <c r="J40" s="321">
        <f t="shared" si="14"/>
        <v>0</v>
      </c>
      <c r="K40" s="321">
        <f t="shared" si="14"/>
        <v>0</v>
      </c>
      <c r="L40" s="321">
        <f t="shared" si="14"/>
        <v>0</v>
      </c>
      <c r="M40" s="321">
        <f t="shared" si="14"/>
        <v>0</v>
      </c>
      <c r="N40" s="321">
        <f t="shared" si="14"/>
        <v>0</v>
      </c>
      <c r="O40" s="321">
        <f t="shared" si="14"/>
        <v>0</v>
      </c>
      <c r="P40" s="293">
        <f t="shared" si="8"/>
        <v>33</v>
      </c>
      <c r="Q40" s="30"/>
      <c r="R40" s="30"/>
      <c r="S40" s="30"/>
      <c r="T40" s="30"/>
      <c r="U40" s="30"/>
      <c r="V40" s="30"/>
      <c r="W40" s="30"/>
      <c r="X40" s="23"/>
      <c r="Y40" s="23"/>
    </row>
    <row r="41" spans="2:25" ht="15" hidden="1">
      <c r="B41" s="311">
        <v>33</v>
      </c>
      <c r="C41" s="307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295">
        <f t="shared" si="8"/>
        <v>0</v>
      </c>
      <c r="Q41" s="30"/>
      <c r="R41" s="30"/>
      <c r="S41" s="30"/>
      <c r="T41" s="30"/>
      <c r="U41" s="30"/>
      <c r="V41" s="30"/>
      <c r="W41" s="30"/>
      <c r="X41" s="23"/>
      <c r="Y41" s="23"/>
    </row>
    <row r="42" spans="2:25" ht="15">
      <c r="B42" s="310" t="s">
        <v>419</v>
      </c>
      <c r="C42" s="307" t="s">
        <v>420</v>
      </c>
      <c r="D42" s="317"/>
      <c r="E42" s="317"/>
      <c r="F42" s="317">
        <f t="shared" ref="F42:O42" si="15">IF(F$5=TRUE,$B$43+15000,0)</f>
        <v>25000</v>
      </c>
      <c r="G42" s="317">
        <f t="shared" si="15"/>
        <v>0</v>
      </c>
      <c r="H42" s="317">
        <f t="shared" si="15"/>
        <v>0</v>
      </c>
      <c r="I42" s="317">
        <f t="shared" si="15"/>
        <v>0</v>
      </c>
      <c r="J42" s="317">
        <f t="shared" si="15"/>
        <v>0</v>
      </c>
      <c r="K42" s="317">
        <f t="shared" si="15"/>
        <v>0</v>
      </c>
      <c r="L42" s="317">
        <f t="shared" si="15"/>
        <v>0</v>
      </c>
      <c r="M42" s="317">
        <f t="shared" si="15"/>
        <v>0</v>
      </c>
      <c r="N42" s="317">
        <f t="shared" si="15"/>
        <v>0</v>
      </c>
      <c r="O42" s="317">
        <f t="shared" si="15"/>
        <v>0</v>
      </c>
      <c r="P42" s="294">
        <f t="shared" si="8"/>
        <v>25000</v>
      </c>
      <c r="Q42" s="30"/>
      <c r="R42" s="30"/>
      <c r="S42" s="30"/>
      <c r="T42" s="30"/>
      <c r="U42" s="30"/>
      <c r="V42" s="30"/>
      <c r="W42" s="30"/>
      <c r="X42" s="23"/>
      <c r="Y42" s="23"/>
    </row>
    <row r="43" spans="2:25" ht="15" hidden="1">
      <c r="B43" s="311">
        <v>10000</v>
      </c>
      <c r="C43" s="30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294">
        <f t="shared" si="8"/>
        <v>0</v>
      </c>
      <c r="Q43" s="30"/>
      <c r="R43" s="30"/>
      <c r="S43" s="30"/>
      <c r="T43" s="30"/>
      <c r="U43" s="30"/>
      <c r="V43" s="30"/>
      <c r="W43" s="30"/>
      <c r="X43" s="23"/>
      <c r="Y43" s="23"/>
    </row>
    <row r="44" spans="2:25" ht="15">
      <c r="B44" s="310" t="s">
        <v>421</v>
      </c>
      <c r="C44" s="307" t="s">
        <v>978</v>
      </c>
      <c r="D44" s="317"/>
      <c r="E44" s="317"/>
      <c r="F44" s="317">
        <v>50000</v>
      </c>
      <c r="G44" s="317">
        <f t="shared" ref="G44:O44" si="16">IF(G$5=TRUE,$B$45+30000,0)</f>
        <v>0</v>
      </c>
      <c r="H44" s="317">
        <f t="shared" si="16"/>
        <v>0</v>
      </c>
      <c r="I44" s="317">
        <f t="shared" si="16"/>
        <v>0</v>
      </c>
      <c r="J44" s="317">
        <f t="shared" si="16"/>
        <v>0</v>
      </c>
      <c r="K44" s="317">
        <f t="shared" si="16"/>
        <v>0</v>
      </c>
      <c r="L44" s="317">
        <f t="shared" si="16"/>
        <v>0</v>
      </c>
      <c r="M44" s="317">
        <f t="shared" si="16"/>
        <v>0</v>
      </c>
      <c r="N44" s="317">
        <f t="shared" si="16"/>
        <v>0</v>
      </c>
      <c r="O44" s="317">
        <f t="shared" si="16"/>
        <v>0</v>
      </c>
      <c r="P44" s="294">
        <f t="shared" si="8"/>
        <v>50000</v>
      </c>
      <c r="Q44" s="30"/>
      <c r="R44" s="30"/>
      <c r="S44" s="30"/>
      <c r="T44" s="30"/>
      <c r="U44" s="30"/>
      <c r="V44" s="30"/>
      <c r="W44" s="30"/>
      <c r="X44" s="23"/>
      <c r="Y44" s="23"/>
    </row>
    <row r="45" spans="2:25" ht="15" hidden="1">
      <c r="B45" s="311">
        <v>6000</v>
      </c>
      <c r="C45" s="30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294">
        <f t="shared" si="8"/>
        <v>0</v>
      </c>
      <c r="Q45" s="30"/>
      <c r="R45" s="30"/>
      <c r="S45" s="30"/>
      <c r="T45" s="30"/>
      <c r="U45" s="30"/>
      <c r="V45" s="30"/>
      <c r="W45" s="30"/>
      <c r="X45" s="23"/>
      <c r="Y45" s="23"/>
    </row>
    <row r="46" spans="2:25" ht="15">
      <c r="B46" s="310" t="s">
        <v>423</v>
      </c>
      <c r="C46" s="307" t="s">
        <v>422</v>
      </c>
      <c r="D46" s="317"/>
      <c r="E46" s="317"/>
      <c r="F46" s="317">
        <f t="shared" ref="F46:O46" si="17">IF(F$5=TRUE,$B$47*1000,0)</f>
        <v>200000</v>
      </c>
      <c r="G46" s="317">
        <f t="shared" si="17"/>
        <v>0</v>
      </c>
      <c r="H46" s="317">
        <f t="shared" si="17"/>
        <v>0</v>
      </c>
      <c r="I46" s="317">
        <f t="shared" si="17"/>
        <v>0</v>
      </c>
      <c r="J46" s="317">
        <f t="shared" si="17"/>
        <v>0</v>
      </c>
      <c r="K46" s="317">
        <f t="shared" si="17"/>
        <v>0</v>
      </c>
      <c r="L46" s="317">
        <f t="shared" si="17"/>
        <v>0</v>
      </c>
      <c r="M46" s="317">
        <f t="shared" si="17"/>
        <v>0</v>
      </c>
      <c r="N46" s="317">
        <f t="shared" si="17"/>
        <v>0</v>
      </c>
      <c r="O46" s="317">
        <f t="shared" si="17"/>
        <v>0</v>
      </c>
      <c r="P46" s="294">
        <f t="shared" si="8"/>
        <v>200000</v>
      </c>
      <c r="Q46" s="30"/>
      <c r="R46" s="30"/>
      <c r="S46" s="30"/>
      <c r="T46" s="30"/>
      <c r="U46" s="30"/>
      <c r="V46" s="30"/>
      <c r="W46" s="30"/>
      <c r="X46" s="23"/>
      <c r="Y46" s="23"/>
    </row>
    <row r="47" spans="2:25" ht="15" hidden="1">
      <c r="B47" s="311">
        <v>200</v>
      </c>
      <c r="C47" s="314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96"/>
      <c r="Q47" s="30"/>
      <c r="R47" s="30"/>
      <c r="S47" s="30"/>
      <c r="T47" s="30"/>
      <c r="U47" s="30"/>
      <c r="V47" s="30"/>
      <c r="W47" s="30"/>
      <c r="X47" s="23"/>
      <c r="Y47" s="23"/>
    </row>
    <row r="48" spans="2:25" ht="15.75" thickBot="1">
      <c r="B48" s="315" t="s">
        <v>424</v>
      </c>
      <c r="C48" s="316" t="s">
        <v>427</v>
      </c>
      <c r="D48" s="324">
        <f>IF(D40=0,0,(D36+D38)*((D40*(D42+D44)+D46)))</f>
        <v>0</v>
      </c>
      <c r="E48" s="324">
        <f t="shared" ref="E48:O48" si="18">IF(E40=0,0,(E36+E38)*((E40*(E42+E44)+E46)))</f>
        <v>0</v>
      </c>
      <c r="F48" s="324">
        <f t="shared" si="18"/>
        <v>0</v>
      </c>
      <c r="G48" s="324">
        <f t="shared" si="18"/>
        <v>0</v>
      </c>
      <c r="H48" s="324">
        <f t="shared" si="18"/>
        <v>0</v>
      </c>
      <c r="I48" s="324">
        <f t="shared" si="18"/>
        <v>0</v>
      </c>
      <c r="J48" s="324">
        <f t="shared" si="18"/>
        <v>0</v>
      </c>
      <c r="K48" s="324">
        <f t="shared" si="18"/>
        <v>0</v>
      </c>
      <c r="L48" s="324">
        <f t="shared" si="18"/>
        <v>0</v>
      </c>
      <c r="M48" s="324">
        <f t="shared" si="18"/>
        <v>0</v>
      </c>
      <c r="N48" s="324">
        <f t="shared" si="18"/>
        <v>0</v>
      </c>
      <c r="O48" s="324">
        <f t="shared" si="18"/>
        <v>0</v>
      </c>
      <c r="P48" s="296">
        <f>SUM(D48:O48)</f>
        <v>0</v>
      </c>
      <c r="Q48" s="30"/>
      <c r="R48" s="30"/>
      <c r="S48" s="30"/>
      <c r="T48" s="30"/>
      <c r="U48" s="30"/>
      <c r="V48" s="30"/>
      <c r="W48" s="30"/>
      <c r="X48" s="23"/>
      <c r="Y48" s="23"/>
    </row>
    <row r="49" spans="2:25" ht="15.75" thickBot="1">
      <c r="B49" s="303" t="s">
        <v>426</v>
      </c>
      <c r="C49" s="304"/>
      <c r="D49" s="325">
        <f>D48+D34</f>
        <v>0</v>
      </c>
      <c r="E49" s="325">
        <f t="shared" ref="E49:O49" si="19">E48+E34</f>
        <v>0</v>
      </c>
      <c r="F49" s="325">
        <f t="shared" si="19"/>
        <v>0</v>
      </c>
      <c r="G49" s="325">
        <f t="shared" si="19"/>
        <v>0</v>
      </c>
      <c r="H49" s="325">
        <f t="shared" si="19"/>
        <v>0</v>
      </c>
      <c r="I49" s="325">
        <f t="shared" si="19"/>
        <v>0</v>
      </c>
      <c r="J49" s="325">
        <f t="shared" si="19"/>
        <v>0</v>
      </c>
      <c r="K49" s="325">
        <f t="shared" si="19"/>
        <v>0</v>
      </c>
      <c r="L49" s="325">
        <f t="shared" si="19"/>
        <v>0</v>
      </c>
      <c r="M49" s="325">
        <f t="shared" si="19"/>
        <v>0</v>
      </c>
      <c r="N49" s="325">
        <f t="shared" si="19"/>
        <v>0</v>
      </c>
      <c r="O49" s="325">
        <f t="shared" si="19"/>
        <v>0</v>
      </c>
      <c r="P49" s="297">
        <f>SUM(D49:O49)</f>
        <v>0</v>
      </c>
      <c r="Q49" s="30"/>
      <c r="R49" s="30"/>
      <c r="S49" s="30"/>
      <c r="T49" s="30"/>
      <c r="U49" s="30"/>
      <c r="V49" s="30"/>
      <c r="W49" s="30"/>
      <c r="X49" s="23"/>
      <c r="Y49" s="23"/>
    </row>
    <row r="50" spans="2:25" ht="15" hidden="1">
      <c r="B50" s="28"/>
      <c r="C50" s="24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30"/>
      <c r="R50" s="30"/>
      <c r="S50" s="30"/>
      <c r="T50" s="30"/>
      <c r="U50" s="30"/>
      <c r="V50" s="30"/>
      <c r="W50" s="30"/>
      <c r="X50" s="23"/>
      <c r="Y50" s="23"/>
    </row>
    <row r="51" spans="2:25" ht="15" hidden="1">
      <c r="B51" s="24"/>
      <c r="C51" s="13" t="s">
        <v>794</v>
      </c>
      <c r="D51" s="229">
        <f>D34</f>
        <v>0</v>
      </c>
      <c r="E51" s="229">
        <f t="shared" ref="E51:O51" si="20">E34</f>
        <v>0</v>
      </c>
      <c r="F51" s="229">
        <f t="shared" si="20"/>
        <v>0</v>
      </c>
      <c r="G51" s="229">
        <f t="shared" si="20"/>
        <v>0</v>
      </c>
      <c r="H51" s="229">
        <f t="shared" si="20"/>
        <v>0</v>
      </c>
      <c r="I51" s="229">
        <f t="shared" si="20"/>
        <v>0</v>
      </c>
      <c r="J51" s="229">
        <f t="shared" si="20"/>
        <v>0</v>
      </c>
      <c r="K51" s="229">
        <f t="shared" si="20"/>
        <v>0</v>
      </c>
      <c r="L51" s="229">
        <f t="shared" si="20"/>
        <v>0</v>
      </c>
      <c r="M51" s="229">
        <f t="shared" si="20"/>
        <v>0</v>
      </c>
      <c r="N51" s="229">
        <f t="shared" si="20"/>
        <v>0</v>
      </c>
      <c r="O51" s="229">
        <f t="shared" si="20"/>
        <v>0</v>
      </c>
      <c r="P51" s="47"/>
      <c r="Q51" s="30"/>
      <c r="R51" s="30"/>
      <c r="S51" s="30"/>
      <c r="T51" s="30"/>
      <c r="U51" s="30"/>
      <c r="V51" s="30"/>
      <c r="W51" s="30"/>
      <c r="X51" s="23"/>
      <c r="Y51" s="23"/>
    </row>
    <row r="52" spans="2:25" ht="15" hidden="1">
      <c r="B52" s="24"/>
      <c r="C52" s="13" t="s">
        <v>796</v>
      </c>
      <c r="D52" s="229">
        <f>D48</f>
        <v>0</v>
      </c>
      <c r="E52" s="229">
        <f t="shared" ref="E52:O52" si="21">E48</f>
        <v>0</v>
      </c>
      <c r="F52" s="229">
        <f t="shared" si="21"/>
        <v>0</v>
      </c>
      <c r="G52" s="229">
        <f t="shared" si="21"/>
        <v>0</v>
      </c>
      <c r="H52" s="229">
        <f t="shared" si="21"/>
        <v>0</v>
      </c>
      <c r="I52" s="229">
        <f t="shared" si="21"/>
        <v>0</v>
      </c>
      <c r="J52" s="229">
        <f t="shared" si="21"/>
        <v>0</v>
      </c>
      <c r="K52" s="229">
        <f t="shared" si="21"/>
        <v>0</v>
      </c>
      <c r="L52" s="229">
        <f t="shared" si="21"/>
        <v>0</v>
      </c>
      <c r="M52" s="229">
        <f t="shared" si="21"/>
        <v>0</v>
      </c>
      <c r="N52" s="229">
        <f t="shared" si="21"/>
        <v>0</v>
      </c>
      <c r="O52" s="229">
        <f t="shared" si="21"/>
        <v>0</v>
      </c>
      <c r="P52" s="47"/>
      <c r="Q52" s="30"/>
      <c r="R52" s="30"/>
      <c r="S52" s="30"/>
      <c r="T52" s="30"/>
      <c r="U52" s="30"/>
      <c r="V52" s="30"/>
      <c r="W52" s="30"/>
      <c r="X52" s="23"/>
      <c r="Y52" s="23"/>
    </row>
    <row r="53" spans="2:25" ht="15.75" thickBot="1">
      <c r="B53" s="28"/>
      <c r="C53" s="24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/>
      <c r="R53" s="30"/>
      <c r="S53" s="30"/>
      <c r="T53" s="30"/>
      <c r="U53" s="30"/>
      <c r="V53" s="30"/>
      <c r="W53" s="30"/>
      <c r="X53" s="23"/>
      <c r="Y53" s="23"/>
    </row>
    <row r="54" spans="2:25" ht="15.75" thickTop="1">
      <c r="B54" s="1116" t="s">
        <v>770</v>
      </c>
      <c r="C54" s="1117"/>
      <c r="D54" s="1117"/>
      <c r="E54" s="1117"/>
      <c r="F54" s="1117"/>
      <c r="G54" s="1117"/>
      <c r="H54" s="1117"/>
      <c r="I54" s="1117"/>
      <c r="J54" s="1117"/>
      <c r="K54" s="1117"/>
      <c r="L54" s="1117"/>
      <c r="M54" s="1117"/>
      <c r="N54" s="1117"/>
      <c r="O54" s="1118"/>
      <c r="P54" s="288" t="s">
        <v>205</v>
      </c>
      <c r="Q54" s="30"/>
      <c r="R54" s="30"/>
      <c r="S54" s="30"/>
      <c r="T54" s="30"/>
      <c r="U54" s="30"/>
      <c r="V54" s="30"/>
      <c r="W54" s="30"/>
      <c r="X54" s="23"/>
      <c r="Y54" s="23"/>
    </row>
    <row r="55" spans="2:25" ht="15">
      <c r="B55" s="1103" t="s">
        <v>922</v>
      </c>
      <c r="C55" s="1104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8"/>
      <c r="P55" s="294">
        <f>SUM(D55:O55)</f>
        <v>0</v>
      </c>
      <c r="Q55" s="30"/>
      <c r="R55" s="30"/>
      <c r="S55" s="30"/>
      <c r="T55" s="30"/>
      <c r="U55" s="30"/>
      <c r="V55" s="30"/>
      <c r="W55" s="30"/>
      <c r="X55" s="23"/>
      <c r="Y55" s="23"/>
    </row>
    <row r="56" spans="2:25" ht="15">
      <c r="B56" s="1103" t="s">
        <v>228</v>
      </c>
      <c r="C56" s="1104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8"/>
      <c r="P56" s="294">
        <f t="shared" ref="P56:P61" si="22">SUM(D56:O56)</f>
        <v>0</v>
      </c>
      <c r="Q56" s="30"/>
      <c r="R56" s="30"/>
      <c r="S56" s="30"/>
      <c r="T56" s="30"/>
      <c r="U56" s="30"/>
      <c r="V56" s="30"/>
      <c r="W56" s="30"/>
      <c r="X56" s="23"/>
      <c r="Y56" s="23"/>
    </row>
    <row r="57" spans="2:25" ht="15">
      <c r="B57" s="1103" t="s">
        <v>229</v>
      </c>
      <c r="C57" s="1104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8"/>
      <c r="P57" s="294">
        <f t="shared" si="22"/>
        <v>0</v>
      </c>
      <c r="Q57" s="30"/>
      <c r="R57" s="30"/>
      <c r="S57" s="30"/>
      <c r="T57" s="30"/>
      <c r="U57" s="30"/>
      <c r="V57" s="30"/>
      <c r="W57" s="30"/>
      <c r="X57" s="23"/>
      <c r="Y57" s="23"/>
    </row>
    <row r="58" spans="2:25" ht="15">
      <c r="B58" s="1103" t="s">
        <v>230</v>
      </c>
      <c r="C58" s="1104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8"/>
      <c r="P58" s="294">
        <f t="shared" si="22"/>
        <v>0</v>
      </c>
      <c r="Q58" s="30"/>
      <c r="R58" s="30"/>
      <c r="S58" s="30"/>
      <c r="T58" s="30"/>
      <c r="U58" s="30"/>
      <c r="V58" s="30"/>
      <c r="W58" s="30"/>
      <c r="X58" s="23"/>
      <c r="Y58" s="23"/>
    </row>
    <row r="59" spans="2:25" ht="15">
      <c r="B59" s="1103"/>
      <c r="C59" s="1104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8"/>
      <c r="P59" s="294">
        <f t="shared" si="22"/>
        <v>0</v>
      </c>
      <c r="Q59" s="30"/>
      <c r="R59" s="30"/>
      <c r="S59" s="30"/>
      <c r="T59" s="30"/>
      <c r="U59" s="30"/>
      <c r="V59" s="30"/>
      <c r="W59" s="30"/>
      <c r="X59" s="23"/>
      <c r="Y59" s="23"/>
    </row>
    <row r="60" spans="2:25" ht="15">
      <c r="B60" s="1103"/>
      <c r="C60" s="1104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8"/>
      <c r="P60" s="294">
        <f t="shared" si="22"/>
        <v>0</v>
      </c>
      <c r="Q60" s="30"/>
      <c r="R60" s="30"/>
      <c r="S60" s="30"/>
      <c r="T60" s="30"/>
      <c r="U60" s="30"/>
      <c r="V60" s="30"/>
      <c r="W60" s="30"/>
      <c r="X60" s="23"/>
      <c r="Y60" s="23"/>
    </row>
    <row r="61" spans="2:25" ht="15">
      <c r="B61" s="1103"/>
      <c r="C61" s="1104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8"/>
      <c r="P61" s="294">
        <f t="shared" si="22"/>
        <v>0</v>
      </c>
      <c r="Q61" s="30"/>
      <c r="R61" s="30"/>
      <c r="S61" s="30"/>
      <c r="T61" s="30"/>
      <c r="U61" s="30"/>
      <c r="V61" s="30"/>
      <c r="W61" s="30"/>
      <c r="X61" s="23"/>
      <c r="Y61" s="23"/>
    </row>
    <row r="62" spans="2:25" ht="15.75" thickBot="1">
      <c r="B62" s="1109"/>
      <c r="C62" s="1110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10"/>
      <c r="P62" s="294">
        <f>SUM(D62:O62)</f>
        <v>0</v>
      </c>
      <c r="Q62" s="30"/>
      <c r="R62" s="30"/>
      <c r="S62" s="30"/>
      <c r="T62" s="30"/>
      <c r="U62" s="30"/>
      <c r="V62" s="30"/>
      <c r="W62" s="30"/>
      <c r="X62" s="23"/>
      <c r="Y62" s="23"/>
    </row>
    <row r="63" spans="2:25" ht="15.75" thickBot="1">
      <c r="B63" s="1111" t="s">
        <v>216</v>
      </c>
      <c r="C63" s="1112"/>
      <c r="D63" s="328">
        <f t="shared" ref="D63:O63" si="23">SUM(D55:D62)</f>
        <v>0</v>
      </c>
      <c r="E63" s="328">
        <f t="shared" si="23"/>
        <v>0</v>
      </c>
      <c r="F63" s="328">
        <f t="shared" si="23"/>
        <v>0</v>
      </c>
      <c r="G63" s="328">
        <f t="shared" si="23"/>
        <v>0</v>
      </c>
      <c r="H63" s="328">
        <f t="shared" si="23"/>
        <v>0</v>
      </c>
      <c r="I63" s="328">
        <f t="shared" si="23"/>
        <v>0</v>
      </c>
      <c r="J63" s="328">
        <f t="shared" si="23"/>
        <v>0</v>
      </c>
      <c r="K63" s="328">
        <f t="shared" si="23"/>
        <v>0</v>
      </c>
      <c r="L63" s="328">
        <f t="shared" si="23"/>
        <v>0</v>
      </c>
      <c r="M63" s="328">
        <f t="shared" si="23"/>
        <v>0</v>
      </c>
      <c r="N63" s="328">
        <f t="shared" si="23"/>
        <v>0</v>
      </c>
      <c r="O63" s="329">
        <f t="shared" si="23"/>
        <v>0</v>
      </c>
      <c r="P63" s="298">
        <f>SUM(D63:O63)</f>
        <v>0</v>
      </c>
      <c r="Q63" s="30"/>
      <c r="R63" s="30"/>
      <c r="S63" s="30"/>
      <c r="T63" s="30"/>
      <c r="U63" s="30"/>
      <c r="V63" s="30"/>
      <c r="W63" s="30"/>
      <c r="X63" s="23"/>
      <c r="Y63" s="23"/>
    </row>
    <row r="64" spans="2:25" ht="15.75" thickBot="1">
      <c r="B64" s="28"/>
      <c r="C64" s="24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30"/>
      <c r="R64" s="30"/>
      <c r="S64" s="30"/>
      <c r="T64" s="30"/>
      <c r="U64" s="30"/>
      <c r="V64" s="30"/>
      <c r="W64" s="30"/>
      <c r="X64" s="23"/>
      <c r="Y64" s="23"/>
    </row>
    <row r="65" spans="2:25" ht="15.75" thickTop="1">
      <c r="B65" s="1105" t="s">
        <v>162</v>
      </c>
      <c r="C65" s="1106"/>
      <c r="D65" s="1106"/>
      <c r="E65" s="1106"/>
      <c r="F65" s="1106"/>
      <c r="G65" s="1106"/>
      <c r="H65" s="1106"/>
      <c r="I65" s="1106"/>
      <c r="J65" s="1106"/>
      <c r="K65" s="1106"/>
      <c r="L65" s="1106"/>
      <c r="M65" s="1106"/>
      <c r="N65" s="1106"/>
      <c r="O65" s="1106"/>
      <c r="P65" s="288" t="s">
        <v>205</v>
      </c>
      <c r="Q65" s="30"/>
      <c r="R65" s="30"/>
      <c r="S65" s="30"/>
      <c r="T65" s="30"/>
      <c r="U65" s="30"/>
      <c r="V65" s="30"/>
      <c r="W65" s="30"/>
      <c r="X65" s="23"/>
      <c r="Y65" s="23"/>
    </row>
    <row r="66" spans="2:25" ht="15">
      <c r="B66" s="299">
        <f>IF(ISBLANK(C66),"",INDEX(List!$AP$2:$AP$3,MATCH($C66,List!$AO$2:$AO$3,0)))</f>
        <v>45</v>
      </c>
      <c r="C66" s="300" t="s">
        <v>757</v>
      </c>
      <c r="D66" s="317" t="str">
        <f>IF(D67=FALSE,"",B66/P67*100000)</f>
        <v/>
      </c>
      <c r="E66" s="317" t="str">
        <f>IF(E67=FALSE,"",B66/P67*100000)</f>
        <v/>
      </c>
      <c r="F66" s="317" t="str">
        <f>IF(F67=FALSE,"",B66/P67*100000)</f>
        <v/>
      </c>
      <c r="G66" s="317" t="str">
        <f>IF(G67=FALSE,"",B66/P67*100000)</f>
        <v/>
      </c>
      <c r="H66" s="317" t="str">
        <f>IF(H67=FALSE,"",B66/P67*100000)</f>
        <v/>
      </c>
      <c r="I66" s="317" t="str">
        <f>IF(I67=FALSE,"",B66/P67*100000)</f>
        <v/>
      </c>
      <c r="J66" s="317" t="str">
        <f>IF(J67=FALSE,"",B66/P67*100000)</f>
        <v/>
      </c>
      <c r="K66" s="317" t="str">
        <f>IF(K67=FALSE,"",B66/P67*100000)</f>
        <v/>
      </c>
      <c r="L66" s="317" t="str">
        <f>IF(L67=FALSE,"",B66/P67*100000)</f>
        <v/>
      </c>
      <c r="M66" s="317" t="str">
        <f>IF(M67=FALSE,"",B66/P67*100000)</f>
        <v/>
      </c>
      <c r="N66" s="317" t="str">
        <f>IF(N67=FALSE,"",B66/P67*100000)</f>
        <v/>
      </c>
      <c r="O66" s="318" t="str">
        <f>IF(O67=FALSE,"",B66/P67*100000)</f>
        <v/>
      </c>
      <c r="P66" s="294">
        <f>SUM(D66:O66)</f>
        <v>0</v>
      </c>
      <c r="Q66" s="30"/>
      <c r="R66" s="30"/>
      <c r="S66" s="30"/>
      <c r="T66" s="30"/>
      <c r="U66" s="30"/>
      <c r="V66" s="30"/>
      <c r="W66" s="30"/>
      <c r="X66" s="23"/>
      <c r="Y66" s="23"/>
    </row>
    <row r="67" spans="2:25" ht="15" hidden="1">
      <c r="B67" s="1107" t="str">
        <f>IF(ISBLANK(C67),"",INDEX(List!$AP$2:$AP$3,MATCH($C67,List!$AO$2:$AO$3,0)))</f>
        <v/>
      </c>
      <c r="C67" s="1108"/>
      <c r="D67" s="319" t="b">
        <v>0</v>
      </c>
      <c r="E67" s="319" t="b">
        <v>0</v>
      </c>
      <c r="F67" s="319" t="b">
        <v>0</v>
      </c>
      <c r="G67" s="319" t="b">
        <v>0</v>
      </c>
      <c r="H67" s="319" t="b">
        <v>0</v>
      </c>
      <c r="I67" s="319" t="b">
        <v>0</v>
      </c>
      <c r="J67" s="319" t="b">
        <v>0</v>
      </c>
      <c r="K67" s="319" t="b">
        <v>0</v>
      </c>
      <c r="L67" s="319" t="b">
        <v>0</v>
      </c>
      <c r="M67" s="319" t="b">
        <v>0</v>
      </c>
      <c r="N67" s="319" t="b">
        <v>0</v>
      </c>
      <c r="O67" s="320" t="b">
        <v>0</v>
      </c>
      <c r="P67" s="294">
        <f>COUNTIF(D67:O67,TRUE)</f>
        <v>0</v>
      </c>
      <c r="Q67" s="30"/>
      <c r="R67" s="30"/>
      <c r="S67" s="30"/>
      <c r="T67" s="30"/>
      <c r="U67" s="30"/>
      <c r="V67" s="30"/>
      <c r="W67" s="30"/>
      <c r="X67" s="23"/>
      <c r="Y67" s="23"/>
    </row>
    <row r="68" spans="2:25" ht="15">
      <c r="B68" s="299" t="str">
        <f>IF(ISBLANK(C68),"",INDEX(List!$AP$2:$AP$3,MATCH($C68,List!$AO$2:$AO$3,0)))</f>
        <v/>
      </c>
      <c r="C68" s="300"/>
      <c r="D68" s="317" t="str">
        <f>IF(D69=FALSE,"",B68/P69*100000)</f>
        <v/>
      </c>
      <c r="E68" s="317" t="str">
        <f>IF(E69=FALSE,"",B68/P69*100000)</f>
        <v/>
      </c>
      <c r="F68" s="317" t="str">
        <f>IF(F69=FALSE,"",B68/P69*100000)</f>
        <v/>
      </c>
      <c r="G68" s="317" t="str">
        <f>IF(G69=FALSE,"",B68/P69*100000)</f>
        <v/>
      </c>
      <c r="H68" s="317" t="str">
        <f>IF(H69=FALSE,"",B68/P69*100000)</f>
        <v/>
      </c>
      <c r="I68" s="317" t="str">
        <f>IF(I69=FALSE,"",B68/P69*100000)</f>
        <v/>
      </c>
      <c r="J68" s="317" t="str">
        <f>IF(J69=FALSE,"",B68/P69*100000)</f>
        <v/>
      </c>
      <c r="K68" s="317" t="str">
        <f>IF(K69=FALSE,"",B68/P69*100000)</f>
        <v/>
      </c>
      <c r="L68" s="317" t="str">
        <f>IF(L69=FALSE,"",B68/P69*100000)</f>
        <v/>
      </c>
      <c r="M68" s="317" t="str">
        <f>IF(M69=FALSE,"",B68/P69*100000)</f>
        <v/>
      </c>
      <c r="N68" s="317" t="str">
        <f>IF(N69=FALSE,"",B68/P69*100000)</f>
        <v/>
      </c>
      <c r="O68" s="318" t="str">
        <f>IF(O69=FALSE,"",B68/P69*100000)</f>
        <v/>
      </c>
      <c r="P68" s="294">
        <f>SUM(D68:O68)</f>
        <v>0</v>
      </c>
      <c r="Q68" s="30"/>
      <c r="R68" s="30"/>
      <c r="S68" s="30"/>
      <c r="T68" s="30"/>
      <c r="U68" s="30"/>
      <c r="V68" s="30"/>
      <c r="W68" s="30"/>
      <c r="X68" s="23"/>
      <c r="Y68" s="23"/>
    </row>
    <row r="69" spans="2:25" ht="15" hidden="1">
      <c r="B69" s="299">
        <f>IF(ISBLANK(C69),"",INDEX(List!$AP$2:$AP$3,MATCH($C69,List!$AO$2:$AO$3,0)))</f>
        <v>51</v>
      </c>
      <c r="C69" s="300" t="s">
        <v>756</v>
      </c>
      <c r="D69" s="319" t="b">
        <v>0</v>
      </c>
      <c r="E69" s="319" t="b">
        <v>0</v>
      </c>
      <c r="F69" s="319" t="b">
        <v>0</v>
      </c>
      <c r="G69" s="319" t="b">
        <v>0</v>
      </c>
      <c r="H69" s="319" t="b">
        <v>0</v>
      </c>
      <c r="I69" s="319" t="b">
        <v>0</v>
      </c>
      <c r="J69" s="319" t="b">
        <v>0</v>
      </c>
      <c r="K69" s="319" t="b">
        <v>0</v>
      </c>
      <c r="L69" s="319" t="b">
        <v>0</v>
      </c>
      <c r="M69" s="319" t="b">
        <v>0</v>
      </c>
      <c r="N69" s="319" t="b">
        <v>0</v>
      </c>
      <c r="O69" s="320" t="b">
        <v>0</v>
      </c>
      <c r="P69" s="294">
        <f>COUNTIF(D69:O69,TRUE)</f>
        <v>0</v>
      </c>
      <c r="Q69" s="30"/>
      <c r="R69" s="30"/>
      <c r="S69" s="30"/>
      <c r="T69" s="30"/>
      <c r="U69" s="30"/>
      <c r="V69" s="30"/>
      <c r="W69" s="30"/>
      <c r="X69" s="23"/>
      <c r="Y69" s="23"/>
    </row>
    <row r="70" spans="2:25" ht="15.75" thickBot="1">
      <c r="B70" s="299" t="str">
        <f>IF(ISBLANK(C70),"",INDEX(List!$AP$2:$AP$3,MATCH($C70,List!$AO$2:$AO$3,0)))</f>
        <v/>
      </c>
      <c r="C70" s="300"/>
      <c r="D70" s="317" t="str">
        <f>IF(D71=FALSE,"",B70/P71*100000)</f>
        <v/>
      </c>
      <c r="E70" s="317" t="str">
        <f>IF(E71=FALSE,"",B70/P71*100000)</f>
        <v/>
      </c>
      <c r="F70" s="317" t="str">
        <f>IF(F71=FALSE,"",B70/P71*100000)</f>
        <v/>
      </c>
      <c r="G70" s="317" t="str">
        <f>IF(G71=FALSE,"",B70/P71*100000)</f>
        <v/>
      </c>
      <c r="H70" s="317" t="str">
        <f>IF(H71=FALSE,"",B70/P71*100000)</f>
        <v/>
      </c>
      <c r="I70" s="317" t="str">
        <f>IF(I71=FALSE,"",B70/P71*100000)</f>
        <v/>
      </c>
      <c r="J70" s="317" t="str">
        <f>IF(J71=FALSE,"",B70/P71*100000)</f>
        <v/>
      </c>
      <c r="K70" s="317" t="str">
        <f>IF(K71=FALSE,"",B70/P71*100000)</f>
        <v/>
      </c>
      <c r="L70" s="317" t="str">
        <f>IF(L71=FALSE,"",B70/P71*100000)</f>
        <v/>
      </c>
      <c r="M70" s="317" t="str">
        <f>IF(M71=FALSE,"",B70/P71*100000)</f>
        <v/>
      </c>
      <c r="N70" s="317" t="str">
        <f>IF(N71=FALSE,"",B70/P71*100000)</f>
        <v/>
      </c>
      <c r="O70" s="318" t="str">
        <f>IF(O71=FALSE,"",B70/P71*100000)</f>
        <v/>
      </c>
      <c r="P70" s="294">
        <f>SUM(D70:O70)</f>
        <v>0</v>
      </c>
      <c r="Q70" s="30"/>
      <c r="R70" s="30"/>
      <c r="S70" s="30"/>
      <c r="T70" s="30"/>
      <c r="U70" s="30"/>
      <c r="V70" s="30"/>
      <c r="W70" s="30"/>
      <c r="X70" s="23"/>
      <c r="Y70" s="23"/>
    </row>
    <row r="71" spans="2:25" ht="15.75" hidden="1" thickBot="1">
      <c r="B71" s="301"/>
      <c r="C71" s="302"/>
      <c r="D71" s="284" t="b">
        <v>0</v>
      </c>
      <c r="E71" s="284" t="b">
        <v>0</v>
      </c>
      <c r="F71" s="284" t="b">
        <v>0</v>
      </c>
      <c r="G71" s="284" t="b">
        <v>0</v>
      </c>
      <c r="H71" s="284" t="b">
        <v>0</v>
      </c>
      <c r="I71" s="284" t="b">
        <v>0</v>
      </c>
      <c r="J71" s="284" t="b">
        <v>0</v>
      </c>
      <c r="K71" s="284" t="b">
        <v>0</v>
      </c>
      <c r="L71" s="284" t="b">
        <v>0</v>
      </c>
      <c r="M71" s="284" t="b">
        <v>0</v>
      </c>
      <c r="N71" s="284" t="b">
        <v>0</v>
      </c>
      <c r="O71" s="285" t="b">
        <v>0</v>
      </c>
      <c r="P71" s="294">
        <f>COUNTIF(D71:O71,TRUE)</f>
        <v>0</v>
      </c>
      <c r="Q71" s="30"/>
      <c r="R71" s="30"/>
      <c r="S71" s="30"/>
      <c r="T71" s="30"/>
      <c r="U71" s="30"/>
      <c r="V71" s="30"/>
      <c r="W71" s="30"/>
      <c r="X71" s="23"/>
      <c r="Y71" s="23"/>
    </row>
    <row r="72" spans="2:25" ht="15.75" thickBot="1">
      <c r="B72" s="303" t="s">
        <v>216</v>
      </c>
      <c r="C72" s="304"/>
      <c r="D72" s="325">
        <f t="shared" ref="D72:O72" si="24">SUM(D66:D71)</f>
        <v>0</v>
      </c>
      <c r="E72" s="325">
        <f t="shared" si="24"/>
        <v>0</v>
      </c>
      <c r="F72" s="325">
        <f t="shared" si="24"/>
        <v>0</v>
      </c>
      <c r="G72" s="325">
        <f t="shared" si="24"/>
        <v>0</v>
      </c>
      <c r="H72" s="325">
        <f t="shared" si="24"/>
        <v>0</v>
      </c>
      <c r="I72" s="325">
        <f t="shared" si="24"/>
        <v>0</v>
      </c>
      <c r="J72" s="325">
        <f t="shared" si="24"/>
        <v>0</v>
      </c>
      <c r="K72" s="325">
        <f t="shared" si="24"/>
        <v>0</v>
      </c>
      <c r="L72" s="325">
        <f t="shared" si="24"/>
        <v>0</v>
      </c>
      <c r="M72" s="325">
        <f t="shared" si="24"/>
        <v>0</v>
      </c>
      <c r="N72" s="325">
        <f t="shared" si="24"/>
        <v>0</v>
      </c>
      <c r="O72" s="330">
        <f t="shared" si="24"/>
        <v>0</v>
      </c>
      <c r="P72" s="298">
        <f>SUM(D72:O72)</f>
        <v>0</v>
      </c>
      <c r="Q72" s="30"/>
      <c r="R72" s="30"/>
      <c r="S72" s="30"/>
      <c r="T72" s="30"/>
      <c r="U72" s="30"/>
      <c r="V72" s="30"/>
      <c r="W72" s="30"/>
      <c r="X72" s="23"/>
      <c r="Y72" s="23"/>
    </row>
    <row r="73" spans="2:25" s="276" customFormat="1"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</row>
    <row r="74" spans="2:25" s="276" customFormat="1"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</row>
    <row r="75" spans="2:25" s="276" customFormat="1"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</row>
    <row r="76" spans="2:25" s="276" customFormat="1"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</row>
    <row r="77" spans="2:25" s="276" customFormat="1"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</row>
    <row r="78" spans="2:25" s="276" customFormat="1"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</row>
    <row r="79" spans="2:25" s="276" customFormat="1"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</row>
    <row r="80" spans="2:25" s="276" customFormat="1"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</row>
    <row r="81" spans="4:23" s="276" customFormat="1"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</row>
    <row r="82" spans="4:23" s="276" customFormat="1"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</row>
    <row r="83" spans="4:23" s="276" customFormat="1"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</row>
    <row r="84" spans="4:23" s="276" customFormat="1"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</row>
    <row r="85" spans="4:23" s="276" customFormat="1"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</row>
    <row r="86" spans="4:23" s="276" customFormat="1"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</row>
    <row r="87" spans="4:23" s="276" customFormat="1"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</row>
    <row r="88" spans="4:23" s="276" customFormat="1"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</row>
    <row r="89" spans="4:23" s="276" customFormat="1"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</row>
    <row r="90" spans="4:23" s="276" customFormat="1"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</row>
    <row r="91" spans="4:23" s="276" customFormat="1"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</row>
    <row r="92" spans="4:23" s="276" customFormat="1"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</row>
    <row r="93" spans="4:23" s="276" customFormat="1"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</row>
    <row r="94" spans="4:23" s="276" customFormat="1"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</row>
    <row r="95" spans="4:23" s="276" customFormat="1"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</row>
    <row r="96" spans="4:23" s="276" customFormat="1"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</row>
    <row r="97" spans="4:23" s="276" customFormat="1"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</row>
    <row r="98" spans="4:23" s="276" customFormat="1"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</row>
    <row r="99" spans="4:23" s="276" customFormat="1"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</row>
    <row r="100" spans="4:23" s="276" customFormat="1"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</row>
    <row r="101" spans="4:23" s="276" customFormat="1"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</row>
    <row r="102" spans="4:23" s="276" customFormat="1"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</row>
    <row r="103" spans="4:23" s="276" customFormat="1"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</row>
    <row r="104" spans="4:23" s="276" customFormat="1"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</row>
    <row r="105" spans="4:23" s="276" customFormat="1"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</row>
    <row r="106" spans="4:23" s="276" customFormat="1"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</row>
    <row r="107" spans="4:23" s="276" customFormat="1"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</row>
    <row r="108" spans="4:23" s="276" customFormat="1"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</row>
    <row r="109" spans="4:23" s="276" customFormat="1"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</row>
  </sheetData>
  <sheetProtection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21:O21"/>
    <mergeCell ref="B35:O35"/>
    <mergeCell ref="B8:O8"/>
    <mergeCell ref="B54:O54"/>
    <mergeCell ref="B55:C55"/>
    <mergeCell ref="B20:C20"/>
    <mergeCell ref="D20:O20"/>
    <mergeCell ref="B56:C56"/>
    <mergeCell ref="B57:C57"/>
    <mergeCell ref="B58:C58"/>
    <mergeCell ref="B65:O65"/>
    <mergeCell ref="B67:C67"/>
    <mergeCell ref="B59:C59"/>
    <mergeCell ref="B60:C60"/>
    <mergeCell ref="B61:C61"/>
    <mergeCell ref="B62:C62"/>
    <mergeCell ref="B63:C63"/>
    <mergeCell ref="B5:C5"/>
    <mergeCell ref="B2:O2"/>
    <mergeCell ref="P2:P5"/>
    <mergeCell ref="B3:C3"/>
    <mergeCell ref="D3:O3"/>
    <mergeCell ref="B4:C4"/>
  </mergeCells>
  <conditionalFormatting sqref="D26:O32">
    <cfRule type="expression" dxfId="168" priority="55">
      <formula>D$22+D$24=0</formula>
    </cfRule>
  </conditionalFormatting>
  <conditionalFormatting sqref="D40:O46">
    <cfRule type="expression" dxfId="167" priority="54">
      <formula>D$36+D$38=0</formula>
    </cfRule>
  </conditionalFormatting>
  <conditionalFormatting sqref="D42:O46">
    <cfRule type="expression" dxfId="166" priority="48">
      <formula>D$40=0</formula>
    </cfRule>
  </conditionalFormatting>
  <conditionalFormatting sqref="G4:O4">
    <cfRule type="expression" dxfId="165" priority="162">
      <formula>G$5=TRUE</formula>
    </cfRule>
  </conditionalFormatting>
  <conditionalFormatting sqref="D66:D72 D55:D63 D14 D22:O34 D36:O49">
    <cfRule type="expression" dxfId="164" priority="164">
      <formula>D$5</formula>
    </cfRule>
  </conditionalFormatting>
  <conditionalFormatting sqref="E68:O72 O66:O67 E55:O63 E9:O14 D28:O32">
    <cfRule type="expression" dxfId="163" priority="160">
      <formula>D$5=TRUE</formula>
    </cfRule>
  </conditionalFormatting>
  <conditionalFormatting sqref="D4:F4">
    <cfRule type="expression" dxfId="162" priority="1">
      <formula>D$5=TRUE</formula>
    </cfRule>
  </conditionalFormatting>
  <conditionalFormatting sqref="D4:F4">
    <cfRule type="expression" dxfId="161" priority="2">
      <formula>$P$4=4</formula>
    </cfRule>
    <cfRule type="expression" dxfId="160" priority="3">
      <formula>$P$4=3</formula>
    </cfRule>
    <cfRule type="expression" dxfId="159" priority="4">
      <formula>$P$4=0</formula>
    </cfRule>
    <cfRule type="expression" dxfId="158" priority="5">
      <formula>$P$4=1</formula>
    </cfRule>
    <cfRule type="expression" dxfId="157" priority="6">
      <formula>$P$4=2</formula>
    </cfRule>
  </conditionalFormatting>
  <dataValidations count="6">
    <dataValidation type="list" allowBlank="1" showInputMessage="1" showErrorMessage="1" sqref="C69:C70">
      <formula1>$AK$2:$AK$3</formula1>
    </dataValidation>
    <dataValidation type="whole" operator="greaterThan" allowBlank="1" showInputMessage="1" showErrorMessage="1" sqref="D9:O13 D55:O62">
      <formula1>0</formula1>
    </dataValidation>
    <dataValidation operator="greaterThan" allowBlank="1" showInputMessage="1" showErrorMessage="1" error="Enter filing fees" sqref="D66:O71"/>
    <dataValidation type="whole" errorStyle="warning" operator="greaterThan" allowBlank="1" showInputMessage="1" sqref="D22:P27 D36:O41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D4:O4"/>
    <dataValidation type="list" allowBlank="1" showInputMessage="1" showErrorMessage="1" sqref="C68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ignoredErrors>
    <ignoredError sqref="G4:O4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Check Box 4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7" name="Check Box 7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8" name="Check Box 8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9" name="Check Box 9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0" name="Check Box 10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1" name="Check Box 11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2" name="Check Box 12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3" name="Check Box 13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4" name="Check Box 14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5" name="Check Box 15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6" name="Check Box 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17" name="Check Box 17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18" name="Check Box 18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19" name="Check Box 19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0" name="Check Box 20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1" name="Check Box 21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2" name="Check Box 22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3" name="Check Box 23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4" name="Check Box 24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5" name="Check Box 25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6" name="Check Box 26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27" name="Check Box 27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28" name="Check Box 28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29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0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1" name="Check Box 31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2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3" name="Check Box 33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4" name="Check Box 34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5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6" name="Check Box 36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37" name="Check Box 37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38" name="Check Box 38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39" name="Check Box 39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0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1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2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3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4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5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6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47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48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49" name="Spinner 49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0" name="Spinner 50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1" name="Spinner 51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52" name="Check Box 65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53" name="Check Box 66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54" name="Check Box 67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55" name="Check Box 68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56" name="Check Box 69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57" name="Check Box 70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58" name="Check Box 71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59" name="Check Box 72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60" name="Check Box 73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61" name="Check Box 74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62" name="Check Box 75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63" name="Check Box 76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64" name="Check Box 77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65" name="Check Box 78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66" name="Check Box 79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67" name="Check Box 80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68" name="Check Box 81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69" name="Check Box 82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70" name="Check Box 83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71" name="Check Box 84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72" name="Check Box 85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73" name="Check Box 86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74" name="Check Box 87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75" name="Check Box 88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76" name="Check Box 89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77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78" name="Check Box 9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3" id="{A9C81716-064F-4789-AC91-6E7D83B98FC6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92" id="{A1DAD888-8BE8-4A70-99AC-3305B321C91B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91" id="{6BC52E31-A871-4153-90AF-D95BB7982D3A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90" id="{D639D741-6E42-4509-B99B-901A1C4B005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89" id="{DC582B1D-9115-48E9-8464-54DEAFD0957C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88" id="{EA397D02-42D9-4E23-A6AA-DC158EC79A6C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94" id="{5372DC33-568B-462C-9303-1FDA7FB82E26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87" id="{342FB1DA-E1E9-4372-8E36-F6D38B390054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86" id="{B06ECD3F-9266-4930-AF0F-C65B2A04DA45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85" id="{B21D79FA-A400-4CC4-80D3-DCBBA7D717FE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75" id="{A2E5C84A-9FFB-4699-BA51-A4DE8D04A879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78" id="{CDAE6335-2BFC-4F42-A90F-4C21ED4F8706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56" id="{B9A65C12-28E7-4384-B474-193AD2F36A23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8" id="{4BB68522-F690-48CA-A5F0-00B1271F1C66}">
            <xm:f>'1.PM'!$P$4=4</xm:f>
            <x14:dxf>
              <numFmt numFmtId="216" formatCode="0.###&quot; mg/vial&quot;"/>
            </x14:dxf>
          </x14:cfRule>
          <x14:cfRule type="expression" priority="9" id="{3CC9A5F4-3944-488F-917D-C8981ABE8EC4}">
            <xm:f>'1.PM'!$P$4=3</xm:f>
            <x14:dxf>
              <numFmt numFmtId="215" formatCode="0.###&quot; mg/ml&quot;"/>
            </x14:dxf>
          </x14:cfRule>
          <x14:cfRule type="expression" priority="24" id="{585CED0C-CC68-45F6-BA3C-A19439F9A826}">
            <xm:f>'1.PM'!$P$4=0</xm:f>
            <x14:dxf>
              <numFmt numFmtId="212" formatCode="0.###&quot; mg&quot;"/>
            </x14:dxf>
          </x14:cfRule>
          <x14:cfRule type="expression" priority="25" id="{F280ED14-E907-4641-BA06-6C2E0B808805}">
            <xm:f>'1.PM'!$P$4=1</xm:f>
            <x14:dxf>
              <numFmt numFmtId="214" formatCode="0.###&quot; mEq&quot;"/>
            </x14:dxf>
          </x14:cfRule>
          <x14:cfRule type="expression" priority="26" id="{3E99DE97-9F31-4A72-8504-89E42457E5B2}">
            <xm:f>'1.PM'!$P$4=2</xm:f>
            <x14:dxf>
              <numFmt numFmtId="213" formatCode="0.###&quot; µg&quot;"/>
            </x14:dxf>
          </x14:cfRule>
          <xm:sqref>G4:O4</xm:sqref>
        </x14:conditionalFormatting>
        <x14:conditionalFormatting xmlns:xm="http://schemas.microsoft.com/office/excel/2006/main">
          <x14:cfRule type="expression" priority="7" id="{0C550449-2BEE-49FE-916E-A77C07F4FEBD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List!$AO$3:$AO$3</xm:f>
          </x14:formula1>
          <xm:sqref>C66</xm:sqref>
        </x14:dataValidation>
        <x14:dataValidation type="list" allowBlank="1" showInputMessage="1" showErrorMessage="1">
          <x14:formula1>
            <xm:f>List!$O$2:$O$16</xm:f>
          </x14:formula1>
          <xm:sqref>P4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19" activePane="bottomLeft" state="frozen"/>
      <selection activeCell="J8" sqref="J8:J9"/>
      <selection pane="bottomLeft" activeCell="B8" sqref="B8:O9"/>
    </sheetView>
  </sheetViews>
  <sheetFormatPr defaultColWidth="12.7109375" defaultRowHeight="12.75"/>
  <cols>
    <col min="1" max="1" width="1.140625" style="23" customWidth="1"/>
    <col min="2" max="2" width="7" style="21" customWidth="1"/>
    <col min="3" max="3" width="18.7109375" style="21" customWidth="1"/>
    <col min="4" max="4" width="13.7109375" style="52" bestFit="1" customWidth="1"/>
    <col min="5" max="10" width="12.7109375" style="52"/>
    <col min="11" max="11" width="12.7109375" style="52" customWidth="1"/>
    <col min="12" max="15" width="12.7109375" style="52"/>
    <col min="16" max="19" width="12.7109375" style="52" customWidth="1"/>
    <col min="20" max="23" width="12.7109375" style="52"/>
    <col min="24" max="24" width="13.85546875" style="21" bestFit="1" customWidth="1"/>
    <col min="25" max="25" width="14.28515625" style="21" bestFit="1" customWidth="1"/>
    <col min="26" max="16384" width="12.7109375" style="23"/>
  </cols>
  <sheetData>
    <row r="1" spans="1:30" ht="4.5" customHeight="1" thickBot="1">
      <c r="B1" s="23"/>
      <c r="C1" s="2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/>
      <c r="Y1" s="23"/>
    </row>
    <row r="2" spans="1:30" s="27" customFormat="1" ht="15" customHeight="1" thickTop="1">
      <c r="B2" s="1094" t="s">
        <v>1015</v>
      </c>
      <c r="C2" s="1095"/>
      <c r="D2" s="1095"/>
      <c r="E2" s="1095"/>
      <c r="F2" s="1095"/>
      <c r="G2" s="1095"/>
      <c r="H2" s="1095"/>
      <c r="I2" s="1095"/>
      <c r="J2" s="1095"/>
      <c r="K2" s="1095"/>
      <c r="L2" s="1095"/>
      <c r="M2" s="1095"/>
      <c r="N2" s="1095"/>
      <c r="O2" s="1096"/>
      <c r="P2" s="949"/>
      <c r="Q2" s="286"/>
      <c r="R2" s="286"/>
      <c r="S2" s="286"/>
      <c r="T2" s="32"/>
      <c r="U2" s="32"/>
      <c r="V2" s="32"/>
      <c r="W2" s="32"/>
      <c r="X2" s="29"/>
      <c r="Y2" s="29"/>
      <c r="Z2" s="29"/>
      <c r="AA2" s="29"/>
      <c r="AB2" s="29"/>
    </row>
    <row r="3" spans="1:30" s="27" customFormat="1" ht="15" customHeight="1">
      <c r="B3" s="1097" t="s">
        <v>96</v>
      </c>
      <c r="C3" s="1098"/>
      <c r="D3" s="1099" t="str">
        <f>'1.PM'!C3</f>
        <v>Levetiracetam Tablets</v>
      </c>
      <c r="E3" s="1099"/>
      <c r="F3" s="1099"/>
      <c r="G3" s="1099"/>
      <c r="H3" s="1099"/>
      <c r="I3" s="1099"/>
      <c r="J3" s="1099"/>
      <c r="K3" s="1099"/>
      <c r="L3" s="1099"/>
      <c r="M3" s="1099"/>
      <c r="N3" s="1099"/>
      <c r="O3" s="1100"/>
      <c r="P3" s="950"/>
      <c r="Q3" s="287"/>
      <c r="R3" s="287"/>
      <c r="S3" s="287"/>
      <c r="T3" s="32"/>
      <c r="U3" s="32"/>
      <c r="V3" s="32"/>
      <c r="W3" s="32"/>
      <c r="X3" s="29"/>
      <c r="Y3" s="29"/>
      <c r="Z3" s="29"/>
      <c r="AA3" s="29"/>
      <c r="AB3" s="29"/>
    </row>
    <row r="4" spans="1:30" s="18" customFormat="1" ht="15" customHeight="1">
      <c r="A4" s="19"/>
      <c r="B4" s="1101" t="s">
        <v>924</v>
      </c>
      <c r="C4" s="1102"/>
      <c r="D4" s="331"/>
      <c r="E4" s="115"/>
      <c r="F4" s="115"/>
      <c r="G4" s="115"/>
      <c r="H4" s="115"/>
      <c r="I4" s="115"/>
      <c r="J4" s="115"/>
      <c r="K4" s="115"/>
      <c r="L4" s="282"/>
      <c r="M4" s="115"/>
      <c r="N4" s="115"/>
      <c r="O4" s="115"/>
      <c r="P4" s="950"/>
      <c r="Q4" s="271" t="e">
        <f>INDEX(List!P2:P6,MATCH($P4,List!O2:O6,0))</f>
        <v>#N/A</v>
      </c>
      <c r="R4" s="185"/>
      <c r="S4" s="185"/>
      <c r="T4" s="19"/>
      <c r="U4" s="19"/>
      <c r="V4" s="17"/>
      <c r="W4" s="17"/>
      <c r="X4" s="17"/>
      <c r="Y4" s="17"/>
      <c r="Z4" s="17"/>
      <c r="AA4" s="17"/>
      <c r="AB4" s="17"/>
      <c r="AC4" s="17"/>
      <c r="AD4" s="17"/>
    </row>
    <row r="5" spans="1:30" s="18" customFormat="1" ht="15" hidden="1" customHeight="1">
      <c r="A5" s="19"/>
      <c r="B5" s="1092"/>
      <c r="C5" s="1093"/>
      <c r="D5" s="55" t="b">
        <v>0</v>
      </c>
      <c r="E5" s="55" t="b">
        <v>0</v>
      </c>
      <c r="F5" s="55" t="b">
        <v>0</v>
      </c>
      <c r="G5" s="55" t="b">
        <v>0</v>
      </c>
      <c r="H5" s="55" t="b">
        <v>0</v>
      </c>
      <c r="I5" s="55" t="b">
        <v>0</v>
      </c>
      <c r="J5" s="55" t="b">
        <v>0</v>
      </c>
      <c r="K5" s="55" t="b">
        <v>0</v>
      </c>
      <c r="L5" s="55" t="b">
        <v>0</v>
      </c>
      <c r="M5" s="55" t="b">
        <v>0</v>
      </c>
      <c r="N5" s="55" t="b">
        <v>0</v>
      </c>
      <c r="O5" s="55" t="b">
        <v>0</v>
      </c>
      <c r="P5" s="950"/>
      <c r="Q5" s="270"/>
      <c r="R5" s="185"/>
      <c r="S5" s="185"/>
      <c r="T5" s="19"/>
      <c r="U5" s="19"/>
      <c r="V5" s="17"/>
      <c r="W5" s="17"/>
      <c r="X5" s="17"/>
      <c r="Y5" s="17"/>
      <c r="Z5" s="17"/>
      <c r="AA5" s="17"/>
      <c r="AB5" s="17"/>
      <c r="AC5" s="17"/>
      <c r="AD5" s="17"/>
    </row>
    <row r="6" spans="1:30" s="25" customFormat="1" ht="7.5" customHeight="1">
      <c r="B6" s="24"/>
      <c r="C6" s="24"/>
      <c r="D6" s="38"/>
      <c r="E6" s="39"/>
      <c r="F6" s="39"/>
      <c r="G6" s="40"/>
      <c r="H6" s="41"/>
      <c r="I6" s="41"/>
      <c r="J6" s="42"/>
      <c r="K6" s="39"/>
      <c r="L6" s="39"/>
      <c r="M6" s="43"/>
      <c r="N6" s="43"/>
      <c r="O6" s="43"/>
      <c r="P6" s="31"/>
      <c r="Q6" s="44"/>
      <c r="R6" s="44"/>
      <c r="S6" s="45"/>
      <c r="T6" s="45"/>
      <c r="U6" s="45"/>
      <c r="V6" s="45"/>
      <c r="W6" s="45"/>
      <c r="X6" s="26"/>
      <c r="Y6" s="26"/>
      <c r="Z6" s="26"/>
      <c r="AA6" s="26"/>
      <c r="AB6" s="26"/>
    </row>
    <row r="7" spans="1:30" s="25" customFormat="1" ht="7.5" customHeight="1" thickBot="1">
      <c r="B7" s="24"/>
      <c r="C7" s="24"/>
      <c r="D7" s="38"/>
      <c r="E7" s="39"/>
      <c r="F7" s="39"/>
      <c r="G7" s="40"/>
      <c r="H7" s="41"/>
      <c r="I7" s="41"/>
      <c r="J7" s="42"/>
      <c r="K7" s="39"/>
      <c r="L7" s="39"/>
      <c r="M7" s="43"/>
      <c r="N7" s="43"/>
      <c r="O7" s="43"/>
      <c r="P7" s="31"/>
      <c r="Q7" s="44"/>
      <c r="R7" s="44"/>
      <c r="S7" s="45"/>
      <c r="T7" s="45"/>
      <c r="U7" s="45"/>
      <c r="V7" s="45"/>
      <c r="W7" s="45"/>
      <c r="X7" s="26"/>
      <c r="Y7" s="26"/>
      <c r="Z7" s="26"/>
      <c r="AA7" s="26"/>
      <c r="AB7" s="26"/>
    </row>
    <row r="8" spans="1:30" ht="15.75" thickTop="1">
      <c r="B8" s="1116" t="s">
        <v>214</v>
      </c>
      <c r="C8" s="1117"/>
      <c r="D8" s="1117"/>
      <c r="E8" s="1117"/>
      <c r="F8" s="1117"/>
      <c r="G8" s="1117"/>
      <c r="H8" s="1117"/>
      <c r="I8" s="1117"/>
      <c r="J8" s="1117"/>
      <c r="K8" s="1117"/>
      <c r="L8" s="1117"/>
      <c r="M8" s="1117"/>
      <c r="N8" s="1117"/>
      <c r="O8" s="1118"/>
      <c r="P8" s="288" t="s">
        <v>205</v>
      </c>
      <c r="Q8" s="30"/>
      <c r="R8" s="30"/>
      <c r="S8" s="30"/>
      <c r="T8" s="30"/>
      <c r="U8" s="30"/>
      <c r="V8" s="30"/>
      <c r="W8" s="30"/>
      <c r="X8" s="23"/>
      <c r="Y8" s="23"/>
    </row>
    <row r="9" spans="1:30" ht="15">
      <c r="B9" s="354" t="s">
        <v>213</v>
      </c>
      <c r="C9" s="353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8"/>
      <c r="P9" s="305"/>
      <c r="Q9" s="30"/>
      <c r="R9" s="30"/>
      <c r="S9" s="30"/>
      <c r="T9" s="30"/>
      <c r="U9" s="30"/>
      <c r="V9" s="30"/>
      <c r="W9" s="30"/>
      <c r="X9" s="23"/>
      <c r="Y9" s="23"/>
    </row>
    <row r="10" spans="1:30" ht="15">
      <c r="B10" s="354" t="s">
        <v>215</v>
      </c>
      <c r="C10" s="353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1"/>
      <c r="P10" s="294">
        <f>SUMPRODUCT(D10:O10,D9:O9)</f>
        <v>0</v>
      </c>
      <c r="Q10" s="30"/>
      <c r="R10" s="30"/>
      <c r="S10" s="30"/>
      <c r="T10" s="30"/>
      <c r="U10" s="30"/>
      <c r="V10" s="30"/>
      <c r="W10" s="30"/>
      <c r="X10" s="23"/>
      <c r="Y10" s="23"/>
    </row>
    <row r="11" spans="1:30" ht="15">
      <c r="B11" s="354" t="s">
        <v>29</v>
      </c>
      <c r="C11" s="353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1"/>
      <c r="P11" s="294">
        <f>SUMPRODUCT(D11:O11,D9:O9)</f>
        <v>0</v>
      </c>
      <c r="Q11" s="30"/>
      <c r="R11" s="30"/>
      <c r="S11" s="30"/>
      <c r="T11" s="30"/>
      <c r="U11" s="30"/>
      <c r="V11" s="30"/>
      <c r="W11" s="30"/>
      <c r="X11" s="23"/>
      <c r="Y11" s="23"/>
    </row>
    <row r="12" spans="1:30" ht="15">
      <c r="B12" s="354" t="s">
        <v>995</v>
      </c>
      <c r="C12" s="353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1"/>
      <c r="P12" s="294">
        <f>SUMPRODUCT(D12:O12,D9:O9)</f>
        <v>0</v>
      </c>
      <c r="Q12" s="30"/>
      <c r="R12" s="30"/>
      <c r="S12" s="30"/>
      <c r="T12" s="30"/>
      <c r="U12" s="30"/>
      <c r="V12" s="30"/>
      <c r="W12" s="30"/>
      <c r="X12" s="23"/>
      <c r="Y12" s="23"/>
    </row>
    <row r="13" spans="1:30" ht="15">
      <c r="B13" s="354" t="s">
        <v>212</v>
      </c>
      <c r="C13" s="353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1"/>
      <c r="P13" s="294">
        <f>SUMPRODUCT(D13:O13,D9:O9)</f>
        <v>0</v>
      </c>
      <c r="Q13" s="30"/>
      <c r="R13" s="30"/>
      <c r="S13" s="30"/>
      <c r="T13" s="30"/>
      <c r="U13" s="30"/>
      <c r="V13" s="30"/>
      <c r="W13" s="30"/>
      <c r="X13" s="23"/>
      <c r="Y13" s="23"/>
    </row>
    <row r="14" spans="1:30" ht="15.75" thickBot="1">
      <c r="B14" s="308" t="s">
        <v>216</v>
      </c>
      <c r="C14" s="309"/>
      <c r="D14" s="326">
        <f>(SUM(D10:D13)*D9)</f>
        <v>0</v>
      </c>
      <c r="E14" s="326">
        <f t="shared" ref="E14:O14" si="0">(SUM(E10:E13)*E9)</f>
        <v>0</v>
      </c>
      <c r="F14" s="326">
        <f t="shared" si="0"/>
        <v>0</v>
      </c>
      <c r="G14" s="326">
        <f t="shared" si="0"/>
        <v>0</v>
      </c>
      <c r="H14" s="326">
        <f t="shared" si="0"/>
        <v>0</v>
      </c>
      <c r="I14" s="326">
        <f t="shared" si="0"/>
        <v>0</v>
      </c>
      <c r="J14" s="326">
        <f t="shared" si="0"/>
        <v>0</v>
      </c>
      <c r="K14" s="326">
        <f t="shared" si="0"/>
        <v>0</v>
      </c>
      <c r="L14" s="326">
        <f t="shared" si="0"/>
        <v>0</v>
      </c>
      <c r="M14" s="326">
        <f t="shared" si="0"/>
        <v>0</v>
      </c>
      <c r="N14" s="326">
        <f t="shared" si="0"/>
        <v>0</v>
      </c>
      <c r="O14" s="327">
        <f t="shared" si="0"/>
        <v>0</v>
      </c>
      <c r="P14" s="298">
        <f>SUM(D14:O14)</f>
        <v>0</v>
      </c>
      <c r="Q14" s="30"/>
      <c r="R14" s="30"/>
      <c r="S14" s="30"/>
      <c r="T14" s="30"/>
      <c r="U14" s="30"/>
      <c r="V14" s="30"/>
      <c r="W14" s="30"/>
      <c r="X14" s="23"/>
      <c r="Y14" s="23"/>
    </row>
    <row r="15" spans="1:30" ht="15" hidden="1">
      <c r="B15" s="28"/>
      <c r="C15" s="2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30"/>
      <c r="R15" s="30"/>
      <c r="S15" s="30"/>
      <c r="T15" s="30"/>
      <c r="U15" s="30"/>
      <c r="V15" s="30"/>
      <c r="W15" s="30"/>
      <c r="X15" s="23"/>
      <c r="Y15" s="23"/>
    </row>
    <row r="16" spans="1:30" ht="15" hidden="1">
      <c r="B16" s="24"/>
      <c r="C16" s="13" t="s">
        <v>154</v>
      </c>
      <c r="D16" s="229">
        <f>SUM(D10:D11)*D9</f>
        <v>0</v>
      </c>
      <c r="E16" s="229">
        <f t="shared" ref="E16:O16" si="1">SUM(E10:E11)*E9</f>
        <v>0</v>
      </c>
      <c r="F16" s="229">
        <f t="shared" si="1"/>
        <v>0</v>
      </c>
      <c r="G16" s="229">
        <f t="shared" si="1"/>
        <v>0</v>
      </c>
      <c r="H16" s="229">
        <f t="shared" si="1"/>
        <v>0</v>
      </c>
      <c r="I16" s="229">
        <f t="shared" si="1"/>
        <v>0</v>
      </c>
      <c r="J16" s="229">
        <f t="shared" si="1"/>
        <v>0</v>
      </c>
      <c r="K16" s="229">
        <f t="shared" si="1"/>
        <v>0</v>
      </c>
      <c r="L16" s="229">
        <f t="shared" si="1"/>
        <v>0</v>
      </c>
      <c r="M16" s="229">
        <f t="shared" si="1"/>
        <v>0</v>
      </c>
      <c r="N16" s="229">
        <f t="shared" si="1"/>
        <v>0</v>
      </c>
      <c r="O16" s="229">
        <f t="shared" si="1"/>
        <v>0</v>
      </c>
      <c r="P16" s="47"/>
      <c r="Q16" s="30"/>
      <c r="R16" s="30"/>
      <c r="S16" s="30"/>
      <c r="T16" s="30"/>
      <c r="U16" s="30"/>
      <c r="V16" s="30"/>
      <c r="W16" s="30"/>
      <c r="X16" s="23"/>
      <c r="Y16" s="23"/>
    </row>
    <row r="17" spans="2:25" ht="15" hidden="1">
      <c r="B17" s="24"/>
      <c r="C17" s="13" t="s">
        <v>842</v>
      </c>
      <c r="D17" s="229">
        <f>D12*D9</f>
        <v>0</v>
      </c>
      <c r="E17" s="229">
        <f t="shared" ref="E17:O17" si="2">E12*E9</f>
        <v>0</v>
      </c>
      <c r="F17" s="229">
        <f t="shared" si="2"/>
        <v>0</v>
      </c>
      <c r="G17" s="229">
        <f t="shared" si="2"/>
        <v>0</v>
      </c>
      <c r="H17" s="229">
        <f t="shared" si="2"/>
        <v>0</v>
      </c>
      <c r="I17" s="229">
        <f t="shared" si="2"/>
        <v>0</v>
      </c>
      <c r="J17" s="229">
        <f t="shared" si="2"/>
        <v>0</v>
      </c>
      <c r="K17" s="229">
        <f t="shared" si="2"/>
        <v>0</v>
      </c>
      <c r="L17" s="229">
        <f t="shared" si="2"/>
        <v>0</v>
      </c>
      <c r="M17" s="229">
        <f t="shared" si="2"/>
        <v>0</v>
      </c>
      <c r="N17" s="229">
        <f t="shared" si="2"/>
        <v>0</v>
      </c>
      <c r="O17" s="229">
        <f t="shared" si="2"/>
        <v>0</v>
      </c>
      <c r="P17" s="47"/>
      <c r="Q17" s="30"/>
      <c r="R17" s="30"/>
      <c r="S17" s="30"/>
      <c r="T17" s="30"/>
      <c r="U17" s="30"/>
      <c r="V17" s="30"/>
      <c r="W17" s="30"/>
      <c r="X17" s="23"/>
      <c r="Y17" s="23"/>
    </row>
    <row r="18" spans="2:25" ht="15" hidden="1">
      <c r="B18" s="24"/>
      <c r="C18" s="13" t="s">
        <v>843</v>
      </c>
      <c r="D18" s="229">
        <f>D13*D9</f>
        <v>0</v>
      </c>
      <c r="E18" s="229">
        <f t="shared" ref="E18:O18" si="3">E13*E9</f>
        <v>0</v>
      </c>
      <c r="F18" s="229">
        <f t="shared" si="3"/>
        <v>0</v>
      </c>
      <c r="G18" s="229">
        <f t="shared" si="3"/>
        <v>0</v>
      </c>
      <c r="H18" s="229">
        <f t="shared" si="3"/>
        <v>0</v>
      </c>
      <c r="I18" s="229">
        <f t="shared" si="3"/>
        <v>0</v>
      </c>
      <c r="J18" s="229">
        <f t="shared" si="3"/>
        <v>0</v>
      </c>
      <c r="K18" s="229">
        <f t="shared" si="3"/>
        <v>0</v>
      </c>
      <c r="L18" s="229">
        <f t="shared" si="3"/>
        <v>0</v>
      </c>
      <c r="M18" s="229">
        <f t="shared" si="3"/>
        <v>0</v>
      </c>
      <c r="N18" s="229">
        <f t="shared" si="3"/>
        <v>0</v>
      </c>
      <c r="O18" s="229">
        <f t="shared" si="3"/>
        <v>0</v>
      </c>
      <c r="P18" s="47"/>
      <c r="Q18" s="30"/>
      <c r="R18" s="30"/>
      <c r="S18" s="30"/>
      <c r="T18" s="30"/>
      <c r="U18" s="30"/>
      <c r="V18" s="30"/>
      <c r="W18" s="30"/>
      <c r="X18" s="23"/>
      <c r="Y18" s="23"/>
    </row>
    <row r="19" spans="2:25" ht="15.75" thickBot="1">
      <c r="B19" s="24"/>
      <c r="C19" s="24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30"/>
      <c r="R19" s="30"/>
      <c r="S19" s="30"/>
      <c r="T19" s="30"/>
      <c r="U19" s="30"/>
      <c r="V19" s="30"/>
      <c r="W19" s="30"/>
      <c r="X19" s="23"/>
      <c r="Y19" s="23"/>
    </row>
    <row r="20" spans="2:25" ht="15.75" thickTop="1">
      <c r="B20" s="1119" t="s">
        <v>225</v>
      </c>
      <c r="C20" s="1120"/>
      <c r="D20" s="1120" t="str">
        <f>IF(('1.PM'!N2)="Injectables","NOT APPLICABLE","")</f>
        <v/>
      </c>
      <c r="E20" s="1120"/>
      <c r="F20" s="1120"/>
      <c r="G20" s="1120"/>
      <c r="H20" s="1120"/>
      <c r="I20" s="1120"/>
      <c r="J20" s="1120"/>
      <c r="K20" s="1120"/>
      <c r="L20" s="1120"/>
      <c r="M20" s="1120"/>
      <c r="N20" s="1120"/>
      <c r="O20" s="1121"/>
      <c r="P20" s="288" t="s">
        <v>205</v>
      </c>
      <c r="Q20" s="30"/>
      <c r="R20" s="30"/>
      <c r="S20" s="30"/>
      <c r="T20" s="30"/>
      <c r="U20" s="30"/>
      <c r="V20" s="30"/>
      <c r="W20" s="30"/>
      <c r="X20" s="23"/>
      <c r="Y20" s="23"/>
    </row>
    <row r="21" spans="2:25" ht="15">
      <c r="B21" s="1113" t="s">
        <v>211</v>
      </c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5"/>
      <c r="P21" s="289"/>
      <c r="Q21" s="272"/>
      <c r="R21" s="30"/>
      <c r="S21" s="30"/>
      <c r="T21" s="30"/>
      <c r="U21" s="30"/>
      <c r="V21" s="30"/>
      <c r="W21" s="30"/>
      <c r="X21" s="23"/>
      <c r="Y21" s="23"/>
    </row>
    <row r="22" spans="2:25" ht="15">
      <c r="B22" s="310" t="s">
        <v>38</v>
      </c>
      <c r="C22" s="353" t="s">
        <v>415</v>
      </c>
      <c r="D22" s="321">
        <f>IF(D$5=TRUE,$B$23,0)</f>
        <v>0</v>
      </c>
      <c r="E22" s="321">
        <f t="shared" ref="E22:O22" si="4">IF(E$5=TRUE,$B$23,0)</f>
        <v>0</v>
      </c>
      <c r="F22" s="321">
        <f t="shared" si="4"/>
        <v>0</v>
      </c>
      <c r="G22" s="321">
        <f t="shared" si="4"/>
        <v>0</v>
      </c>
      <c r="H22" s="321">
        <f t="shared" si="4"/>
        <v>0</v>
      </c>
      <c r="I22" s="321">
        <f t="shared" si="4"/>
        <v>0</v>
      </c>
      <c r="J22" s="321">
        <f t="shared" si="4"/>
        <v>0</v>
      </c>
      <c r="K22" s="321">
        <f t="shared" si="4"/>
        <v>0</v>
      </c>
      <c r="L22" s="321">
        <f t="shared" si="4"/>
        <v>0</v>
      </c>
      <c r="M22" s="321">
        <f t="shared" si="4"/>
        <v>0</v>
      </c>
      <c r="N22" s="321">
        <f t="shared" si="4"/>
        <v>0</v>
      </c>
      <c r="O22" s="321">
        <f t="shared" si="4"/>
        <v>0</v>
      </c>
      <c r="P22" s="290">
        <f>SUM(D22:O22)</f>
        <v>0</v>
      </c>
      <c r="Q22" s="23"/>
      <c r="R22" s="30"/>
      <c r="S22" s="30"/>
      <c r="T22" s="30"/>
      <c r="U22" s="30"/>
      <c r="V22" s="30"/>
      <c r="W22" s="30"/>
      <c r="X22" s="23"/>
      <c r="Y22" s="23"/>
    </row>
    <row r="23" spans="2:25" ht="15" hidden="1">
      <c r="B23" s="311">
        <v>0</v>
      </c>
      <c r="C23" s="353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291"/>
      <c r="Q23" s="273"/>
      <c r="R23" s="30"/>
      <c r="S23" s="30"/>
      <c r="T23" s="30"/>
      <c r="U23" s="30"/>
      <c r="V23" s="30"/>
      <c r="W23" s="30"/>
      <c r="X23" s="23"/>
      <c r="Y23" s="23"/>
    </row>
    <row r="24" spans="2:25" ht="15">
      <c r="B24" s="310" t="s">
        <v>417</v>
      </c>
      <c r="C24" s="353" t="s">
        <v>416</v>
      </c>
      <c r="D24" s="321">
        <f>IF(D$5=TRUE,$B$25,0)</f>
        <v>0</v>
      </c>
      <c r="E24" s="321">
        <f t="shared" ref="E24:O24" si="5">IF(E$5=TRUE,$B$25,0)</f>
        <v>0</v>
      </c>
      <c r="F24" s="321">
        <f t="shared" si="5"/>
        <v>0</v>
      </c>
      <c r="G24" s="321">
        <f t="shared" si="5"/>
        <v>0</v>
      </c>
      <c r="H24" s="321">
        <f t="shared" si="5"/>
        <v>0</v>
      </c>
      <c r="I24" s="321">
        <f t="shared" si="5"/>
        <v>0</v>
      </c>
      <c r="J24" s="321">
        <f t="shared" si="5"/>
        <v>0</v>
      </c>
      <c r="K24" s="321">
        <f t="shared" si="5"/>
        <v>0</v>
      </c>
      <c r="L24" s="321">
        <f t="shared" si="5"/>
        <v>0</v>
      </c>
      <c r="M24" s="321">
        <f t="shared" si="5"/>
        <v>0</v>
      </c>
      <c r="N24" s="321">
        <f t="shared" si="5"/>
        <v>0</v>
      </c>
      <c r="O24" s="321">
        <f t="shared" si="5"/>
        <v>0</v>
      </c>
      <c r="P24" s="292">
        <f>SUM(D24:O24)</f>
        <v>0</v>
      </c>
      <c r="Q24" s="23"/>
      <c r="R24" s="30"/>
      <c r="S24" s="30"/>
      <c r="T24" s="30"/>
      <c r="U24" s="30"/>
      <c r="V24" s="30"/>
      <c r="W24" s="30"/>
      <c r="X24" s="23"/>
      <c r="Y24" s="23"/>
    </row>
    <row r="25" spans="2:25" ht="15" hidden="1">
      <c r="B25" s="311">
        <v>0</v>
      </c>
      <c r="C25" s="353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291"/>
      <c r="Q25" s="272"/>
      <c r="R25" s="30"/>
      <c r="S25" s="30"/>
      <c r="T25" s="30"/>
      <c r="U25" s="30"/>
      <c r="V25" s="30"/>
      <c r="W25" s="30"/>
      <c r="X25" s="23"/>
      <c r="Y25" s="23"/>
    </row>
    <row r="26" spans="2:25" ht="15">
      <c r="B26" s="310" t="s">
        <v>41</v>
      </c>
      <c r="C26" s="353" t="s">
        <v>418</v>
      </c>
      <c r="D26" s="321">
        <f>IF(D$5=TRUE,$B$27,0)</f>
        <v>0</v>
      </c>
      <c r="E26" s="321">
        <f t="shared" ref="E26:O26" si="6">IF(E$5=TRUE,$B$27,0)</f>
        <v>0</v>
      </c>
      <c r="F26" s="321">
        <f t="shared" si="6"/>
        <v>0</v>
      </c>
      <c r="G26" s="321">
        <f t="shared" si="6"/>
        <v>0</v>
      </c>
      <c r="H26" s="321">
        <f t="shared" si="6"/>
        <v>0</v>
      </c>
      <c r="I26" s="321">
        <f t="shared" si="6"/>
        <v>0</v>
      </c>
      <c r="J26" s="321">
        <f t="shared" si="6"/>
        <v>0</v>
      </c>
      <c r="K26" s="321">
        <f t="shared" si="6"/>
        <v>0</v>
      </c>
      <c r="L26" s="321">
        <f t="shared" si="6"/>
        <v>0</v>
      </c>
      <c r="M26" s="321">
        <f t="shared" si="6"/>
        <v>0</v>
      </c>
      <c r="N26" s="321">
        <f t="shared" si="6"/>
        <v>0</v>
      </c>
      <c r="O26" s="321">
        <f t="shared" si="6"/>
        <v>0</v>
      </c>
      <c r="P26" s="293">
        <f>SUM(D26:O26)</f>
        <v>0</v>
      </c>
      <c r="Q26" s="23"/>
      <c r="R26" s="30"/>
      <c r="S26" s="30"/>
      <c r="T26" s="30"/>
      <c r="U26" s="30"/>
      <c r="V26" s="30"/>
      <c r="W26" s="30"/>
      <c r="X26" s="23"/>
      <c r="Y26" s="23"/>
    </row>
    <row r="27" spans="2:25" ht="15" hidden="1">
      <c r="B27" s="311">
        <v>18</v>
      </c>
      <c r="C27" s="353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291"/>
      <c r="Q27" s="272"/>
      <c r="R27" s="30"/>
      <c r="S27" s="30"/>
      <c r="T27" s="30"/>
      <c r="U27" s="30"/>
      <c r="V27" s="30"/>
      <c r="W27" s="30"/>
      <c r="X27" s="23"/>
      <c r="Y27" s="23"/>
    </row>
    <row r="28" spans="2:25" ht="15">
      <c r="B28" s="310" t="s">
        <v>419</v>
      </c>
      <c r="C28" s="353" t="s">
        <v>420</v>
      </c>
      <c r="D28" s="317">
        <f>IF(D$5=TRUE,$B$29+15000,0)</f>
        <v>0</v>
      </c>
      <c r="E28" s="317">
        <f t="shared" ref="E28:O28" si="7">IF(E$5=TRUE,$B$29+15000,0)</f>
        <v>0</v>
      </c>
      <c r="F28" s="317">
        <f t="shared" si="7"/>
        <v>0</v>
      </c>
      <c r="G28" s="317">
        <f t="shared" si="7"/>
        <v>0</v>
      </c>
      <c r="H28" s="317">
        <f t="shared" si="7"/>
        <v>0</v>
      </c>
      <c r="I28" s="317">
        <f t="shared" si="7"/>
        <v>0</v>
      </c>
      <c r="J28" s="317">
        <f t="shared" si="7"/>
        <v>0</v>
      </c>
      <c r="K28" s="317">
        <f t="shared" si="7"/>
        <v>0</v>
      </c>
      <c r="L28" s="317">
        <f t="shared" si="7"/>
        <v>0</v>
      </c>
      <c r="M28" s="317">
        <f t="shared" si="7"/>
        <v>0</v>
      </c>
      <c r="N28" s="317">
        <f t="shared" si="7"/>
        <v>0</v>
      </c>
      <c r="O28" s="317">
        <f t="shared" si="7"/>
        <v>0</v>
      </c>
      <c r="P28" s="294">
        <f>SUM(D28:O28)</f>
        <v>0</v>
      </c>
      <c r="Q28" s="272"/>
      <c r="R28" s="30"/>
      <c r="S28" s="30"/>
      <c r="T28" s="30"/>
      <c r="U28" s="30"/>
      <c r="V28" s="30"/>
      <c r="W28" s="30"/>
      <c r="X28" s="23"/>
      <c r="Y28" s="23"/>
    </row>
    <row r="29" spans="2:25" ht="15" hidden="1">
      <c r="B29" s="311">
        <v>10000</v>
      </c>
      <c r="C29" s="353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294">
        <f t="shared" ref="P29:P46" si="8">SUM(D29:O29)</f>
        <v>0</v>
      </c>
      <c r="Q29" s="272"/>
      <c r="R29" s="30"/>
      <c r="S29" s="30"/>
      <c r="T29" s="30"/>
      <c r="U29" s="30"/>
      <c r="V29" s="30"/>
      <c r="W29" s="30"/>
      <c r="X29" s="23"/>
      <c r="Y29" s="23"/>
    </row>
    <row r="30" spans="2:25" ht="15">
      <c r="B30" s="310" t="s">
        <v>421</v>
      </c>
      <c r="C30" s="353" t="s">
        <v>978</v>
      </c>
      <c r="D30" s="317">
        <f>IF(D$5=TRUE,$B$31+30000,0)</f>
        <v>0</v>
      </c>
      <c r="E30" s="317">
        <f t="shared" ref="E30:O30" si="9">IF(E$5=TRUE,$B$31+30000,0)</f>
        <v>0</v>
      </c>
      <c r="F30" s="317">
        <f t="shared" si="9"/>
        <v>0</v>
      </c>
      <c r="G30" s="317">
        <f t="shared" si="9"/>
        <v>0</v>
      </c>
      <c r="H30" s="317">
        <f t="shared" si="9"/>
        <v>0</v>
      </c>
      <c r="I30" s="317">
        <f t="shared" si="9"/>
        <v>0</v>
      </c>
      <c r="J30" s="317">
        <f t="shared" si="9"/>
        <v>0</v>
      </c>
      <c r="K30" s="317">
        <f t="shared" si="9"/>
        <v>0</v>
      </c>
      <c r="L30" s="317">
        <f t="shared" si="9"/>
        <v>0</v>
      </c>
      <c r="M30" s="317">
        <f t="shared" si="9"/>
        <v>0</v>
      </c>
      <c r="N30" s="317">
        <f t="shared" si="9"/>
        <v>0</v>
      </c>
      <c r="O30" s="317">
        <f t="shared" si="9"/>
        <v>0</v>
      </c>
      <c r="P30" s="294">
        <f t="shared" si="8"/>
        <v>0</v>
      </c>
      <c r="Q30" s="272">
        <v>11000</v>
      </c>
      <c r="R30" s="30"/>
      <c r="S30" s="30"/>
      <c r="T30" s="30"/>
      <c r="U30" s="30"/>
      <c r="V30" s="30"/>
      <c r="W30" s="30"/>
      <c r="X30" s="23"/>
      <c r="Y30" s="23"/>
    </row>
    <row r="31" spans="2:25" ht="15" hidden="1">
      <c r="B31" s="311">
        <v>30000</v>
      </c>
      <c r="C31" s="353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294">
        <f t="shared" si="8"/>
        <v>0</v>
      </c>
      <c r="Q31" s="272"/>
      <c r="R31" s="30"/>
      <c r="S31" s="30"/>
      <c r="T31" s="30"/>
      <c r="U31" s="30"/>
      <c r="V31" s="30"/>
      <c r="W31" s="30"/>
      <c r="X31" s="23"/>
      <c r="Y31" s="23"/>
    </row>
    <row r="32" spans="2:25" ht="15">
      <c r="B32" s="310" t="s">
        <v>423</v>
      </c>
      <c r="C32" s="353" t="s">
        <v>422</v>
      </c>
      <c r="D32" s="317">
        <f>IF(D$5=TRUE,$B$33*1000,0)</f>
        <v>0</v>
      </c>
      <c r="E32" s="317">
        <f t="shared" ref="E32:O32" si="10">IF(E$5=TRUE,$B$33*1000,0)</f>
        <v>0</v>
      </c>
      <c r="F32" s="317">
        <f t="shared" si="10"/>
        <v>0</v>
      </c>
      <c r="G32" s="317">
        <f t="shared" si="10"/>
        <v>0</v>
      </c>
      <c r="H32" s="317">
        <f t="shared" si="10"/>
        <v>0</v>
      </c>
      <c r="I32" s="317">
        <f t="shared" si="10"/>
        <v>0</v>
      </c>
      <c r="J32" s="317">
        <f t="shared" si="10"/>
        <v>0</v>
      </c>
      <c r="K32" s="317">
        <f t="shared" si="10"/>
        <v>0</v>
      </c>
      <c r="L32" s="317">
        <f t="shared" si="10"/>
        <v>0</v>
      </c>
      <c r="M32" s="317">
        <f t="shared" si="10"/>
        <v>0</v>
      </c>
      <c r="N32" s="317">
        <f t="shared" si="10"/>
        <v>0</v>
      </c>
      <c r="O32" s="317">
        <f t="shared" si="10"/>
        <v>0</v>
      </c>
      <c r="P32" s="294">
        <f t="shared" si="8"/>
        <v>0</v>
      </c>
      <c r="Q32" s="272"/>
      <c r="R32" s="30"/>
      <c r="S32" s="30"/>
      <c r="T32" s="30"/>
      <c r="U32" s="30"/>
      <c r="V32" s="30"/>
      <c r="W32" s="30"/>
      <c r="X32" s="23"/>
      <c r="Y32" s="23"/>
    </row>
    <row r="33" spans="2:25" ht="15" hidden="1">
      <c r="B33" s="311">
        <v>200</v>
      </c>
      <c r="C33" s="353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94">
        <f t="shared" si="8"/>
        <v>0</v>
      </c>
      <c r="Q33" s="272"/>
      <c r="R33" s="30"/>
      <c r="S33" s="30"/>
      <c r="T33" s="30"/>
      <c r="U33" s="30"/>
      <c r="V33" s="30"/>
      <c r="W33" s="30"/>
      <c r="X33" s="23"/>
      <c r="Y33" s="23"/>
    </row>
    <row r="34" spans="2:25" ht="15">
      <c r="B34" s="312" t="s">
        <v>424</v>
      </c>
      <c r="C34" s="313" t="s">
        <v>425</v>
      </c>
      <c r="D34" s="323">
        <f>IF(D26=0,0,((D22+D24)*((D26*(D28+D30)+D32))))</f>
        <v>0</v>
      </c>
      <c r="E34" s="323">
        <f t="shared" ref="E34:O34" si="11">IF(E26=0,0,((E22+E24)*((E26*(E28+E30)+E32))))</f>
        <v>0</v>
      </c>
      <c r="F34" s="323">
        <f t="shared" si="11"/>
        <v>0</v>
      </c>
      <c r="G34" s="323">
        <f t="shared" si="11"/>
        <v>0</v>
      </c>
      <c r="H34" s="323">
        <f t="shared" si="11"/>
        <v>0</v>
      </c>
      <c r="I34" s="323">
        <f t="shared" si="11"/>
        <v>0</v>
      </c>
      <c r="J34" s="323">
        <f t="shared" si="11"/>
        <v>0</v>
      </c>
      <c r="K34" s="323">
        <f t="shared" si="11"/>
        <v>0</v>
      </c>
      <c r="L34" s="323">
        <f t="shared" si="11"/>
        <v>0</v>
      </c>
      <c r="M34" s="323">
        <f t="shared" si="11"/>
        <v>0</v>
      </c>
      <c r="N34" s="323">
        <f t="shared" si="11"/>
        <v>0</v>
      </c>
      <c r="O34" s="323">
        <f t="shared" si="11"/>
        <v>0</v>
      </c>
      <c r="P34" s="294">
        <f t="shared" si="8"/>
        <v>0</v>
      </c>
      <c r="Q34" s="272"/>
      <c r="R34" s="30"/>
      <c r="S34" s="30"/>
      <c r="T34" s="30"/>
      <c r="U34" s="30"/>
      <c r="V34" s="30"/>
      <c r="W34" s="30"/>
      <c r="X34" s="23"/>
      <c r="Y34" s="23"/>
    </row>
    <row r="35" spans="2:25" ht="15">
      <c r="B35" s="1113" t="s">
        <v>212</v>
      </c>
      <c r="C35" s="1114"/>
      <c r="D35" s="1114"/>
      <c r="E35" s="1114"/>
      <c r="F35" s="1114"/>
      <c r="G35" s="1114"/>
      <c r="H35" s="1114"/>
      <c r="I35" s="1114"/>
      <c r="J35" s="1114"/>
      <c r="K35" s="1114"/>
      <c r="L35" s="1114"/>
      <c r="M35" s="1114"/>
      <c r="N35" s="1114"/>
      <c r="O35" s="1115"/>
      <c r="P35" s="295">
        <f t="shared" si="8"/>
        <v>0</v>
      </c>
      <c r="Q35" s="30"/>
      <c r="R35" s="30"/>
      <c r="S35" s="30"/>
      <c r="T35" s="30"/>
      <c r="U35" s="30"/>
      <c r="V35" s="30"/>
      <c r="W35" s="30"/>
      <c r="X35" s="23"/>
      <c r="Y35" s="23"/>
    </row>
    <row r="36" spans="2:25" ht="15">
      <c r="B36" s="310" t="s">
        <v>38</v>
      </c>
      <c r="C36" s="353" t="s">
        <v>415</v>
      </c>
      <c r="D36" s="321">
        <f>IF(D$5=TRUE,$B$37,0)</f>
        <v>0</v>
      </c>
      <c r="E36" s="321">
        <f t="shared" ref="E36:O36" si="12">IF(E$5=TRUE,$B$37,0)</f>
        <v>0</v>
      </c>
      <c r="F36" s="321">
        <f t="shared" si="12"/>
        <v>0</v>
      </c>
      <c r="G36" s="321">
        <f t="shared" si="12"/>
        <v>0</v>
      </c>
      <c r="H36" s="321">
        <f t="shared" si="12"/>
        <v>0</v>
      </c>
      <c r="I36" s="321">
        <f t="shared" si="12"/>
        <v>0</v>
      </c>
      <c r="J36" s="321">
        <f t="shared" si="12"/>
        <v>0</v>
      </c>
      <c r="K36" s="321">
        <f t="shared" si="12"/>
        <v>0</v>
      </c>
      <c r="L36" s="321">
        <f t="shared" si="12"/>
        <v>0</v>
      </c>
      <c r="M36" s="321">
        <f t="shared" si="12"/>
        <v>0</v>
      </c>
      <c r="N36" s="321">
        <f t="shared" si="12"/>
        <v>0</v>
      </c>
      <c r="O36" s="321">
        <f t="shared" si="12"/>
        <v>0</v>
      </c>
      <c r="P36" s="290">
        <f t="shared" si="8"/>
        <v>0</v>
      </c>
      <c r="Q36" s="30"/>
      <c r="R36" s="30"/>
      <c r="S36" s="30"/>
      <c r="T36" s="30"/>
      <c r="U36" s="30"/>
      <c r="V36" s="30"/>
      <c r="W36" s="30"/>
      <c r="X36" s="23"/>
      <c r="Y36" s="23"/>
    </row>
    <row r="37" spans="2:25" ht="15" hidden="1">
      <c r="B37" s="311">
        <v>0</v>
      </c>
      <c r="C37" s="353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291">
        <f t="shared" si="8"/>
        <v>0</v>
      </c>
      <c r="Q37" s="30"/>
      <c r="R37" s="30"/>
      <c r="S37" s="30"/>
      <c r="T37" s="30"/>
      <c r="U37" s="30"/>
      <c r="V37" s="30"/>
      <c r="W37" s="30"/>
      <c r="X37" s="23"/>
      <c r="Y37" s="23"/>
    </row>
    <row r="38" spans="2:25" ht="15">
      <c r="B38" s="310" t="s">
        <v>417</v>
      </c>
      <c r="C38" s="353" t="s">
        <v>416</v>
      </c>
      <c r="D38" s="321">
        <f>IF(D$5=TRUE,$B$39,0)</f>
        <v>0</v>
      </c>
      <c r="E38" s="321">
        <f t="shared" ref="E38:O38" si="13">IF(E$5=TRUE,$B$39,0)</f>
        <v>0</v>
      </c>
      <c r="F38" s="321">
        <f t="shared" si="13"/>
        <v>0</v>
      </c>
      <c r="G38" s="321">
        <f t="shared" si="13"/>
        <v>0</v>
      </c>
      <c r="H38" s="321">
        <f t="shared" si="13"/>
        <v>0</v>
      </c>
      <c r="I38" s="321">
        <f t="shared" si="13"/>
        <v>0</v>
      </c>
      <c r="J38" s="321">
        <f t="shared" si="13"/>
        <v>0</v>
      </c>
      <c r="K38" s="321">
        <f t="shared" si="13"/>
        <v>0</v>
      </c>
      <c r="L38" s="321">
        <f t="shared" si="13"/>
        <v>0</v>
      </c>
      <c r="M38" s="321">
        <f t="shared" si="13"/>
        <v>0</v>
      </c>
      <c r="N38" s="321">
        <f t="shared" si="13"/>
        <v>0</v>
      </c>
      <c r="O38" s="321">
        <f t="shared" si="13"/>
        <v>0</v>
      </c>
      <c r="P38" s="292">
        <f t="shared" si="8"/>
        <v>0</v>
      </c>
      <c r="Q38" s="30"/>
      <c r="R38" s="30"/>
      <c r="S38" s="30"/>
      <c r="T38" s="30"/>
      <c r="U38" s="30"/>
      <c r="V38" s="30"/>
      <c r="W38" s="30"/>
      <c r="X38" s="23"/>
      <c r="Y38" s="23"/>
    </row>
    <row r="39" spans="2:25" ht="15" hidden="1">
      <c r="B39" s="311">
        <v>0</v>
      </c>
      <c r="C39" s="353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291">
        <f t="shared" si="8"/>
        <v>0</v>
      </c>
      <c r="Q39" s="30"/>
      <c r="R39" s="30"/>
      <c r="S39" s="30"/>
      <c r="T39" s="30"/>
      <c r="U39" s="30"/>
      <c r="V39" s="30"/>
      <c r="W39" s="30"/>
      <c r="X39" s="23"/>
      <c r="Y39" s="23"/>
    </row>
    <row r="40" spans="2:25" ht="15">
      <c r="B40" s="310" t="s">
        <v>41</v>
      </c>
      <c r="C40" s="353" t="s">
        <v>418</v>
      </c>
      <c r="D40" s="321">
        <f>IF(D$5=TRUE,$B$41,0)</f>
        <v>0</v>
      </c>
      <c r="E40" s="321">
        <f t="shared" ref="E40:O40" si="14">IF(E$5=TRUE,$B$41,0)</f>
        <v>0</v>
      </c>
      <c r="F40" s="321">
        <f t="shared" si="14"/>
        <v>0</v>
      </c>
      <c r="G40" s="321">
        <f t="shared" si="14"/>
        <v>0</v>
      </c>
      <c r="H40" s="321">
        <f t="shared" si="14"/>
        <v>0</v>
      </c>
      <c r="I40" s="321">
        <f t="shared" si="14"/>
        <v>0</v>
      </c>
      <c r="J40" s="321">
        <f t="shared" si="14"/>
        <v>0</v>
      </c>
      <c r="K40" s="321">
        <f t="shared" si="14"/>
        <v>0</v>
      </c>
      <c r="L40" s="321">
        <f t="shared" si="14"/>
        <v>0</v>
      </c>
      <c r="M40" s="321">
        <f t="shared" si="14"/>
        <v>0</v>
      </c>
      <c r="N40" s="321">
        <f t="shared" si="14"/>
        <v>0</v>
      </c>
      <c r="O40" s="321">
        <f t="shared" si="14"/>
        <v>0</v>
      </c>
      <c r="P40" s="293">
        <f t="shared" si="8"/>
        <v>0</v>
      </c>
      <c r="Q40" s="30"/>
      <c r="R40" s="30"/>
      <c r="S40" s="30"/>
      <c r="T40" s="30"/>
      <c r="U40" s="30"/>
      <c r="V40" s="30"/>
      <c r="W40" s="30"/>
      <c r="X40" s="23"/>
      <c r="Y40" s="23"/>
    </row>
    <row r="41" spans="2:25" ht="15" hidden="1">
      <c r="B41" s="311">
        <v>33</v>
      </c>
      <c r="C41" s="353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295">
        <f t="shared" si="8"/>
        <v>0</v>
      </c>
      <c r="Q41" s="30"/>
      <c r="R41" s="30"/>
      <c r="S41" s="30"/>
      <c r="T41" s="30"/>
      <c r="U41" s="30"/>
      <c r="V41" s="30"/>
      <c r="W41" s="30"/>
      <c r="X41" s="23"/>
      <c r="Y41" s="23"/>
    </row>
    <row r="42" spans="2:25" ht="15">
      <c r="B42" s="310" t="s">
        <v>419</v>
      </c>
      <c r="C42" s="353" t="s">
        <v>420</v>
      </c>
      <c r="D42" s="317">
        <f>IF(D$5=TRUE,$B$43+15000,0)</f>
        <v>0</v>
      </c>
      <c r="E42" s="317">
        <f t="shared" ref="E42:O42" si="15">IF(E$5=TRUE,$B$43+15000,0)</f>
        <v>0</v>
      </c>
      <c r="F42" s="317">
        <f t="shared" si="15"/>
        <v>0</v>
      </c>
      <c r="G42" s="317">
        <f t="shared" si="15"/>
        <v>0</v>
      </c>
      <c r="H42" s="317">
        <f t="shared" si="15"/>
        <v>0</v>
      </c>
      <c r="I42" s="317">
        <f t="shared" si="15"/>
        <v>0</v>
      </c>
      <c r="J42" s="317">
        <f t="shared" si="15"/>
        <v>0</v>
      </c>
      <c r="K42" s="317">
        <f t="shared" si="15"/>
        <v>0</v>
      </c>
      <c r="L42" s="317">
        <f t="shared" si="15"/>
        <v>0</v>
      </c>
      <c r="M42" s="317">
        <f t="shared" si="15"/>
        <v>0</v>
      </c>
      <c r="N42" s="317">
        <f t="shared" si="15"/>
        <v>0</v>
      </c>
      <c r="O42" s="317">
        <f t="shared" si="15"/>
        <v>0</v>
      </c>
      <c r="P42" s="294">
        <f t="shared" si="8"/>
        <v>0</v>
      </c>
      <c r="Q42" s="30"/>
      <c r="R42" s="30"/>
      <c r="S42" s="30"/>
      <c r="T42" s="30"/>
      <c r="U42" s="30"/>
      <c r="V42" s="30"/>
      <c r="W42" s="30"/>
      <c r="X42" s="23"/>
      <c r="Y42" s="23"/>
    </row>
    <row r="43" spans="2:25" ht="15" hidden="1">
      <c r="B43" s="311">
        <v>10000</v>
      </c>
      <c r="C43" s="353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294">
        <f t="shared" si="8"/>
        <v>0</v>
      </c>
      <c r="Q43" s="30"/>
      <c r="R43" s="30"/>
      <c r="S43" s="30"/>
      <c r="T43" s="30"/>
      <c r="U43" s="30"/>
      <c r="V43" s="30"/>
      <c r="W43" s="30"/>
      <c r="X43" s="23"/>
      <c r="Y43" s="23"/>
    </row>
    <row r="44" spans="2:25" ht="15">
      <c r="B44" s="310" t="s">
        <v>421</v>
      </c>
      <c r="C44" s="353" t="s">
        <v>978</v>
      </c>
      <c r="D44" s="317">
        <f>IF(D$5=TRUE,$B$45+30000,0)</f>
        <v>0</v>
      </c>
      <c r="E44" s="317">
        <f t="shared" ref="E44:O44" si="16">IF(E$5=TRUE,$B$45+30000,0)</f>
        <v>0</v>
      </c>
      <c r="F44" s="317">
        <f t="shared" si="16"/>
        <v>0</v>
      </c>
      <c r="G44" s="317">
        <f t="shared" si="16"/>
        <v>0</v>
      </c>
      <c r="H44" s="317">
        <f t="shared" si="16"/>
        <v>0</v>
      </c>
      <c r="I44" s="317">
        <f t="shared" si="16"/>
        <v>0</v>
      </c>
      <c r="J44" s="317">
        <f t="shared" si="16"/>
        <v>0</v>
      </c>
      <c r="K44" s="317">
        <f t="shared" si="16"/>
        <v>0</v>
      </c>
      <c r="L44" s="317">
        <f t="shared" si="16"/>
        <v>0</v>
      </c>
      <c r="M44" s="317">
        <f t="shared" si="16"/>
        <v>0</v>
      </c>
      <c r="N44" s="317">
        <f t="shared" si="16"/>
        <v>0</v>
      </c>
      <c r="O44" s="317">
        <f t="shared" si="16"/>
        <v>0</v>
      </c>
      <c r="P44" s="294">
        <f t="shared" si="8"/>
        <v>0</v>
      </c>
      <c r="Q44" s="30"/>
      <c r="R44" s="30"/>
      <c r="S44" s="30"/>
      <c r="T44" s="30"/>
      <c r="U44" s="30"/>
      <c r="V44" s="30"/>
      <c r="W44" s="30"/>
      <c r="X44" s="23"/>
      <c r="Y44" s="23"/>
    </row>
    <row r="45" spans="2:25" ht="15" hidden="1">
      <c r="B45" s="311">
        <v>6000</v>
      </c>
      <c r="C45" s="353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294">
        <f t="shared" si="8"/>
        <v>0</v>
      </c>
      <c r="Q45" s="30"/>
      <c r="R45" s="30"/>
      <c r="S45" s="30"/>
      <c r="T45" s="30"/>
      <c r="U45" s="30"/>
      <c r="V45" s="30"/>
      <c r="W45" s="30"/>
      <c r="X45" s="23"/>
      <c r="Y45" s="23"/>
    </row>
    <row r="46" spans="2:25" ht="15">
      <c r="B46" s="310" t="s">
        <v>423</v>
      </c>
      <c r="C46" s="353" t="s">
        <v>422</v>
      </c>
      <c r="D46" s="317">
        <f>IF(D$5=TRUE,$B$47*1000,0)</f>
        <v>0</v>
      </c>
      <c r="E46" s="317">
        <f t="shared" ref="E46:O46" si="17">IF(E$5=TRUE,$B$47*1000,0)</f>
        <v>0</v>
      </c>
      <c r="F46" s="317">
        <f t="shared" si="17"/>
        <v>0</v>
      </c>
      <c r="G46" s="317">
        <f t="shared" si="17"/>
        <v>0</v>
      </c>
      <c r="H46" s="317">
        <f t="shared" si="17"/>
        <v>0</v>
      </c>
      <c r="I46" s="317">
        <f t="shared" si="17"/>
        <v>0</v>
      </c>
      <c r="J46" s="317">
        <f t="shared" si="17"/>
        <v>0</v>
      </c>
      <c r="K46" s="317">
        <f t="shared" si="17"/>
        <v>0</v>
      </c>
      <c r="L46" s="317">
        <f t="shared" si="17"/>
        <v>0</v>
      </c>
      <c r="M46" s="317">
        <f t="shared" si="17"/>
        <v>0</v>
      </c>
      <c r="N46" s="317">
        <f t="shared" si="17"/>
        <v>0</v>
      </c>
      <c r="O46" s="317">
        <f t="shared" si="17"/>
        <v>0</v>
      </c>
      <c r="P46" s="294">
        <f t="shared" si="8"/>
        <v>0</v>
      </c>
      <c r="Q46" s="30"/>
      <c r="R46" s="30"/>
      <c r="S46" s="30"/>
      <c r="T46" s="30"/>
      <c r="U46" s="30"/>
      <c r="V46" s="30"/>
      <c r="W46" s="30"/>
      <c r="X46" s="23"/>
      <c r="Y46" s="23"/>
    </row>
    <row r="47" spans="2:25" ht="15" hidden="1">
      <c r="B47" s="311">
        <v>200</v>
      </c>
      <c r="C47" s="314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96"/>
      <c r="Q47" s="30"/>
      <c r="R47" s="30"/>
      <c r="S47" s="30"/>
      <c r="T47" s="30"/>
      <c r="U47" s="30"/>
      <c r="V47" s="30"/>
      <c r="W47" s="30"/>
      <c r="X47" s="23"/>
      <c r="Y47" s="23"/>
    </row>
    <row r="48" spans="2:25" ht="15.75" thickBot="1">
      <c r="B48" s="315" t="s">
        <v>424</v>
      </c>
      <c r="C48" s="316" t="s">
        <v>427</v>
      </c>
      <c r="D48" s="324">
        <f>IF(D40=0,0,(D36+D38)*((D40*(D42+D44)+D46)))</f>
        <v>0</v>
      </c>
      <c r="E48" s="324">
        <f t="shared" ref="E48:O48" si="18">IF(E40=0,0,(E36+E38)*((E40*(E42+E44)+E46)))</f>
        <v>0</v>
      </c>
      <c r="F48" s="324">
        <f t="shared" si="18"/>
        <v>0</v>
      </c>
      <c r="G48" s="324">
        <f t="shared" si="18"/>
        <v>0</v>
      </c>
      <c r="H48" s="324">
        <f t="shared" si="18"/>
        <v>0</v>
      </c>
      <c r="I48" s="324">
        <f t="shared" si="18"/>
        <v>0</v>
      </c>
      <c r="J48" s="324">
        <f t="shared" si="18"/>
        <v>0</v>
      </c>
      <c r="K48" s="324">
        <f t="shared" si="18"/>
        <v>0</v>
      </c>
      <c r="L48" s="324">
        <f t="shared" si="18"/>
        <v>0</v>
      </c>
      <c r="M48" s="324">
        <f t="shared" si="18"/>
        <v>0</v>
      </c>
      <c r="N48" s="324">
        <f t="shared" si="18"/>
        <v>0</v>
      </c>
      <c r="O48" s="324">
        <f t="shared" si="18"/>
        <v>0</v>
      </c>
      <c r="P48" s="296">
        <f>SUM(D48:O48)</f>
        <v>0</v>
      </c>
      <c r="Q48" s="30"/>
      <c r="R48" s="30"/>
      <c r="S48" s="30"/>
      <c r="T48" s="30"/>
      <c r="U48" s="30"/>
      <c r="V48" s="30"/>
      <c r="W48" s="30"/>
      <c r="X48" s="23"/>
      <c r="Y48" s="23"/>
    </row>
    <row r="49" spans="2:25" ht="15.75" thickBot="1">
      <c r="B49" s="303" t="s">
        <v>426</v>
      </c>
      <c r="C49" s="304"/>
      <c r="D49" s="325">
        <f t="shared" ref="D49:O49" si="19">D48+D34</f>
        <v>0</v>
      </c>
      <c r="E49" s="325">
        <f t="shared" si="19"/>
        <v>0</v>
      </c>
      <c r="F49" s="325">
        <f t="shared" si="19"/>
        <v>0</v>
      </c>
      <c r="G49" s="325">
        <f t="shared" si="19"/>
        <v>0</v>
      </c>
      <c r="H49" s="325">
        <f t="shared" si="19"/>
        <v>0</v>
      </c>
      <c r="I49" s="325">
        <f t="shared" si="19"/>
        <v>0</v>
      </c>
      <c r="J49" s="325">
        <f t="shared" si="19"/>
        <v>0</v>
      </c>
      <c r="K49" s="325">
        <f t="shared" si="19"/>
        <v>0</v>
      </c>
      <c r="L49" s="325">
        <f t="shared" si="19"/>
        <v>0</v>
      </c>
      <c r="M49" s="325">
        <f t="shared" si="19"/>
        <v>0</v>
      </c>
      <c r="N49" s="325">
        <f t="shared" si="19"/>
        <v>0</v>
      </c>
      <c r="O49" s="325">
        <f t="shared" si="19"/>
        <v>0</v>
      </c>
      <c r="P49" s="297">
        <f>SUM(D49:O49)</f>
        <v>0</v>
      </c>
      <c r="Q49" s="30"/>
      <c r="R49" s="30"/>
      <c r="S49" s="30"/>
      <c r="T49" s="30"/>
      <c r="U49" s="30"/>
      <c r="V49" s="30"/>
      <c r="W49" s="30"/>
      <c r="X49" s="23"/>
      <c r="Y49" s="23"/>
    </row>
    <row r="50" spans="2:25" ht="15" hidden="1">
      <c r="B50" s="28"/>
      <c r="C50" s="24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30"/>
      <c r="R50" s="30"/>
      <c r="S50" s="30"/>
      <c r="T50" s="30"/>
      <c r="U50" s="30"/>
      <c r="V50" s="30"/>
      <c r="W50" s="30"/>
      <c r="X50" s="23"/>
      <c r="Y50" s="23"/>
    </row>
    <row r="51" spans="2:25" ht="15" hidden="1">
      <c r="B51" s="24"/>
      <c r="C51" s="13" t="s">
        <v>794</v>
      </c>
      <c r="D51" s="229">
        <f>D34</f>
        <v>0</v>
      </c>
      <c r="E51" s="229">
        <f t="shared" ref="E51:O51" si="20">E34</f>
        <v>0</v>
      </c>
      <c r="F51" s="229">
        <f t="shared" si="20"/>
        <v>0</v>
      </c>
      <c r="G51" s="229">
        <f t="shared" si="20"/>
        <v>0</v>
      </c>
      <c r="H51" s="229">
        <f t="shared" si="20"/>
        <v>0</v>
      </c>
      <c r="I51" s="229">
        <f t="shared" si="20"/>
        <v>0</v>
      </c>
      <c r="J51" s="229">
        <f t="shared" si="20"/>
        <v>0</v>
      </c>
      <c r="K51" s="229">
        <f t="shared" si="20"/>
        <v>0</v>
      </c>
      <c r="L51" s="229">
        <f t="shared" si="20"/>
        <v>0</v>
      </c>
      <c r="M51" s="229">
        <f t="shared" si="20"/>
        <v>0</v>
      </c>
      <c r="N51" s="229">
        <f t="shared" si="20"/>
        <v>0</v>
      </c>
      <c r="O51" s="229">
        <f t="shared" si="20"/>
        <v>0</v>
      </c>
      <c r="P51" s="47"/>
      <c r="Q51" s="30"/>
      <c r="R51" s="30"/>
      <c r="S51" s="30"/>
      <c r="T51" s="30"/>
      <c r="U51" s="30"/>
      <c r="V51" s="30"/>
      <c r="W51" s="30"/>
      <c r="X51" s="23"/>
      <c r="Y51" s="23"/>
    </row>
    <row r="52" spans="2:25" ht="15" hidden="1">
      <c r="B52" s="24"/>
      <c r="C52" s="13" t="s">
        <v>796</v>
      </c>
      <c r="D52" s="229">
        <f>D48</f>
        <v>0</v>
      </c>
      <c r="E52" s="229">
        <f t="shared" ref="E52:O52" si="21">E48</f>
        <v>0</v>
      </c>
      <c r="F52" s="229">
        <f t="shared" si="21"/>
        <v>0</v>
      </c>
      <c r="G52" s="229">
        <f t="shared" si="21"/>
        <v>0</v>
      </c>
      <c r="H52" s="229">
        <f t="shared" si="21"/>
        <v>0</v>
      </c>
      <c r="I52" s="229">
        <f t="shared" si="21"/>
        <v>0</v>
      </c>
      <c r="J52" s="229">
        <f t="shared" si="21"/>
        <v>0</v>
      </c>
      <c r="K52" s="229">
        <f t="shared" si="21"/>
        <v>0</v>
      </c>
      <c r="L52" s="229">
        <f t="shared" si="21"/>
        <v>0</v>
      </c>
      <c r="M52" s="229">
        <f t="shared" si="21"/>
        <v>0</v>
      </c>
      <c r="N52" s="229">
        <f t="shared" si="21"/>
        <v>0</v>
      </c>
      <c r="O52" s="229">
        <f t="shared" si="21"/>
        <v>0</v>
      </c>
      <c r="P52" s="47"/>
      <c r="Q52" s="30"/>
      <c r="R52" s="30"/>
      <c r="S52" s="30"/>
      <c r="T52" s="30"/>
      <c r="U52" s="30"/>
      <c r="V52" s="30"/>
      <c r="W52" s="30"/>
      <c r="X52" s="23"/>
      <c r="Y52" s="23"/>
    </row>
    <row r="53" spans="2:25" ht="15.75" thickBot="1">
      <c r="B53" s="28"/>
      <c r="C53" s="24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/>
      <c r="R53" s="30"/>
      <c r="S53" s="30"/>
      <c r="T53" s="30"/>
      <c r="U53" s="30"/>
      <c r="V53" s="30"/>
      <c r="W53" s="30"/>
      <c r="X53" s="23"/>
      <c r="Y53" s="23"/>
    </row>
    <row r="54" spans="2:25" ht="15.75" thickTop="1">
      <c r="B54" s="1116" t="s">
        <v>770</v>
      </c>
      <c r="C54" s="1117"/>
      <c r="D54" s="1117"/>
      <c r="E54" s="1117"/>
      <c r="F54" s="1117"/>
      <c r="G54" s="1117"/>
      <c r="H54" s="1117"/>
      <c r="I54" s="1117"/>
      <c r="J54" s="1117"/>
      <c r="K54" s="1117"/>
      <c r="L54" s="1117"/>
      <c r="M54" s="1117"/>
      <c r="N54" s="1117"/>
      <c r="O54" s="1118"/>
      <c r="P54" s="288" t="s">
        <v>205</v>
      </c>
      <c r="Q54" s="30"/>
      <c r="R54" s="30"/>
      <c r="S54" s="30"/>
      <c r="T54" s="30"/>
      <c r="U54" s="30"/>
      <c r="V54" s="30"/>
      <c r="W54" s="30"/>
      <c r="X54" s="23"/>
      <c r="Y54" s="23"/>
    </row>
    <row r="55" spans="2:25" ht="15">
      <c r="B55" s="1103" t="s">
        <v>922</v>
      </c>
      <c r="C55" s="1104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8"/>
      <c r="P55" s="294">
        <f>SUM(D55:O55)</f>
        <v>0</v>
      </c>
      <c r="Q55" s="30"/>
      <c r="R55" s="30"/>
      <c r="S55" s="30"/>
      <c r="T55" s="30"/>
      <c r="U55" s="30"/>
      <c r="V55" s="30"/>
      <c r="W55" s="30"/>
      <c r="X55" s="23"/>
      <c r="Y55" s="23"/>
    </row>
    <row r="56" spans="2:25" ht="15">
      <c r="B56" s="1103" t="s">
        <v>228</v>
      </c>
      <c r="C56" s="1104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8"/>
      <c r="P56" s="294">
        <f t="shared" ref="P56:P61" si="22">SUM(D56:O56)</f>
        <v>0</v>
      </c>
      <c r="Q56" s="30"/>
      <c r="R56" s="30"/>
      <c r="S56" s="30"/>
      <c r="T56" s="30"/>
      <c r="U56" s="30"/>
      <c r="V56" s="30"/>
      <c r="W56" s="30"/>
      <c r="X56" s="23"/>
      <c r="Y56" s="23"/>
    </row>
    <row r="57" spans="2:25" ht="15">
      <c r="B57" s="1103" t="s">
        <v>229</v>
      </c>
      <c r="C57" s="1104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8"/>
      <c r="P57" s="294">
        <f t="shared" si="22"/>
        <v>0</v>
      </c>
      <c r="Q57" s="30"/>
      <c r="R57" s="30"/>
      <c r="S57" s="30"/>
      <c r="T57" s="30"/>
      <c r="U57" s="30"/>
      <c r="V57" s="30"/>
      <c r="W57" s="30"/>
      <c r="X57" s="23"/>
      <c r="Y57" s="23"/>
    </row>
    <row r="58" spans="2:25" ht="15">
      <c r="B58" s="1103" t="s">
        <v>230</v>
      </c>
      <c r="C58" s="1104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8"/>
      <c r="P58" s="294">
        <f t="shared" si="22"/>
        <v>0</v>
      </c>
      <c r="Q58" s="30"/>
      <c r="R58" s="30"/>
      <c r="S58" s="30"/>
      <c r="T58" s="30"/>
      <c r="U58" s="30"/>
      <c r="V58" s="30"/>
      <c r="W58" s="30"/>
      <c r="X58" s="23"/>
      <c r="Y58" s="23"/>
    </row>
    <row r="59" spans="2:25" ht="15">
      <c r="B59" s="1103"/>
      <c r="C59" s="1104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8"/>
      <c r="P59" s="294">
        <f t="shared" si="22"/>
        <v>0</v>
      </c>
      <c r="Q59" s="30"/>
      <c r="R59" s="30"/>
      <c r="S59" s="30"/>
      <c r="T59" s="30"/>
      <c r="U59" s="30"/>
      <c r="V59" s="30"/>
      <c r="W59" s="30"/>
      <c r="X59" s="23"/>
      <c r="Y59" s="23"/>
    </row>
    <row r="60" spans="2:25" ht="15">
      <c r="B60" s="1103"/>
      <c r="C60" s="1104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8"/>
      <c r="P60" s="294">
        <f t="shared" si="22"/>
        <v>0</v>
      </c>
      <c r="Q60" s="30"/>
      <c r="R60" s="30"/>
      <c r="S60" s="30"/>
      <c r="T60" s="30"/>
      <c r="U60" s="30"/>
      <c r="V60" s="30"/>
      <c r="W60" s="30"/>
      <c r="X60" s="23"/>
      <c r="Y60" s="23"/>
    </row>
    <row r="61" spans="2:25" ht="15">
      <c r="B61" s="1103"/>
      <c r="C61" s="1104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8"/>
      <c r="P61" s="294">
        <f t="shared" si="22"/>
        <v>0</v>
      </c>
      <c r="Q61" s="30"/>
      <c r="R61" s="30"/>
      <c r="S61" s="30"/>
      <c r="T61" s="30"/>
      <c r="U61" s="30"/>
      <c r="V61" s="30"/>
      <c r="W61" s="30"/>
      <c r="X61" s="23"/>
      <c r="Y61" s="23"/>
    </row>
    <row r="62" spans="2:25" ht="15.75" thickBot="1">
      <c r="B62" s="1109"/>
      <c r="C62" s="1110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10"/>
      <c r="P62" s="294">
        <f>SUM(D62:O62)</f>
        <v>0</v>
      </c>
      <c r="Q62" s="30"/>
      <c r="R62" s="30"/>
      <c r="S62" s="30"/>
      <c r="T62" s="30"/>
      <c r="U62" s="30"/>
      <c r="V62" s="30"/>
      <c r="W62" s="30"/>
      <c r="X62" s="23"/>
      <c r="Y62" s="23"/>
    </row>
    <row r="63" spans="2:25" ht="15.75" thickBot="1">
      <c r="B63" s="1111" t="s">
        <v>216</v>
      </c>
      <c r="C63" s="1112"/>
      <c r="D63" s="328">
        <f t="shared" ref="D63:O63" si="23">SUM(D55:D62)</f>
        <v>0</v>
      </c>
      <c r="E63" s="328">
        <f t="shared" si="23"/>
        <v>0</v>
      </c>
      <c r="F63" s="328">
        <f t="shared" si="23"/>
        <v>0</v>
      </c>
      <c r="G63" s="328">
        <f t="shared" si="23"/>
        <v>0</v>
      </c>
      <c r="H63" s="328">
        <f t="shared" si="23"/>
        <v>0</v>
      </c>
      <c r="I63" s="328">
        <f t="shared" si="23"/>
        <v>0</v>
      </c>
      <c r="J63" s="328">
        <f t="shared" si="23"/>
        <v>0</v>
      </c>
      <c r="K63" s="328">
        <f t="shared" si="23"/>
        <v>0</v>
      </c>
      <c r="L63" s="328">
        <f t="shared" si="23"/>
        <v>0</v>
      </c>
      <c r="M63" s="328">
        <f t="shared" si="23"/>
        <v>0</v>
      </c>
      <c r="N63" s="328">
        <f t="shared" si="23"/>
        <v>0</v>
      </c>
      <c r="O63" s="329">
        <f t="shared" si="23"/>
        <v>0</v>
      </c>
      <c r="P63" s="298">
        <f>SUM(D63:O63)</f>
        <v>0</v>
      </c>
      <c r="Q63" s="30"/>
      <c r="R63" s="30"/>
      <c r="S63" s="30"/>
      <c r="T63" s="30"/>
      <c r="U63" s="30"/>
      <c r="V63" s="30"/>
      <c r="W63" s="30"/>
      <c r="X63" s="23"/>
      <c r="Y63" s="23"/>
    </row>
    <row r="64" spans="2:25" ht="15.75" thickBot="1">
      <c r="B64" s="28"/>
      <c r="C64" s="24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30"/>
      <c r="R64" s="30"/>
      <c r="S64" s="30"/>
      <c r="T64" s="30"/>
      <c r="U64" s="30"/>
      <c r="V64" s="30"/>
      <c r="W64" s="30"/>
      <c r="X64" s="23"/>
      <c r="Y64" s="23"/>
    </row>
    <row r="65" spans="2:25" ht="15.75" thickTop="1">
      <c r="B65" s="1105" t="s">
        <v>162</v>
      </c>
      <c r="C65" s="1106"/>
      <c r="D65" s="1106"/>
      <c r="E65" s="1106"/>
      <c r="F65" s="1106"/>
      <c r="G65" s="1106"/>
      <c r="H65" s="1106"/>
      <c r="I65" s="1106"/>
      <c r="J65" s="1106"/>
      <c r="K65" s="1106"/>
      <c r="L65" s="1106"/>
      <c r="M65" s="1106"/>
      <c r="N65" s="1106"/>
      <c r="O65" s="1106"/>
      <c r="P65" s="288" t="s">
        <v>205</v>
      </c>
      <c r="Q65" s="30"/>
      <c r="R65" s="30"/>
      <c r="S65" s="30"/>
      <c r="T65" s="30"/>
      <c r="U65" s="30"/>
      <c r="V65" s="30"/>
      <c r="W65" s="30"/>
      <c r="X65" s="23"/>
      <c r="Y65" s="23"/>
    </row>
    <row r="66" spans="2:25" ht="15">
      <c r="B66" s="352">
        <f>IF(ISBLANK(C66),"",INDEX(List!$AP$2:$AP$4,MATCH($C66,List!$AO$2:$AO$4,0)))</f>
        <v>23</v>
      </c>
      <c r="C66" s="300" t="s">
        <v>962</v>
      </c>
      <c r="D66" s="317" t="str">
        <f>IF(D67=FALSE,"",B66/P67*100000)</f>
        <v/>
      </c>
      <c r="E66" s="317" t="str">
        <f>IF(E67=FALSE,"",B66/P67*100000)</f>
        <v/>
      </c>
      <c r="F66" s="317" t="str">
        <f>IF(F67=FALSE,"",B66/P67*100000)</f>
        <v/>
      </c>
      <c r="G66" s="317" t="str">
        <f>IF(G67=FALSE,"",B66/P67*100000)</f>
        <v/>
      </c>
      <c r="H66" s="317" t="str">
        <f>IF(H67=FALSE,"",B66/P67*100000)</f>
        <v/>
      </c>
      <c r="I66" s="317" t="str">
        <f>IF(I67=FALSE,"",B66/P67*100000)</f>
        <v/>
      </c>
      <c r="J66" s="317" t="str">
        <f>IF(J67=FALSE,"",B66/P67*100000)</f>
        <v/>
      </c>
      <c r="K66" s="317" t="str">
        <f>IF(K67=FALSE,"",B66/P67*100000)</f>
        <v/>
      </c>
      <c r="L66" s="317" t="str">
        <f>IF(L67=FALSE,"",B66/P67*100000)</f>
        <v/>
      </c>
      <c r="M66" s="317" t="str">
        <f>IF(M67=FALSE,"",B66/P67*100000)</f>
        <v/>
      </c>
      <c r="N66" s="317" t="str">
        <f>IF(N67=FALSE,"",B66/P67*100000)</f>
        <v/>
      </c>
      <c r="O66" s="318" t="str">
        <f>IF(O67=FALSE,"",B66/P67*100000)</f>
        <v/>
      </c>
      <c r="P66" s="294">
        <f>SUM(D66:O66)</f>
        <v>0</v>
      </c>
      <c r="Q66" s="30"/>
      <c r="R66" s="30"/>
      <c r="S66" s="30"/>
      <c r="T66" s="30"/>
      <c r="U66" s="30"/>
      <c r="V66" s="30"/>
      <c r="W66" s="30"/>
      <c r="X66" s="23"/>
      <c r="Y66" s="23"/>
    </row>
    <row r="67" spans="2:25" ht="15" hidden="1">
      <c r="B67" s="1107" t="str">
        <f>IF(ISBLANK(C67),"",INDEX(List!$AP$2:$AP$3,MATCH($C67,List!$AO$2:$AO$3,0)))</f>
        <v/>
      </c>
      <c r="C67" s="1108"/>
      <c r="D67" s="319" t="b">
        <v>0</v>
      </c>
      <c r="E67" s="319" t="b">
        <v>0</v>
      </c>
      <c r="F67" s="319" t="b">
        <v>0</v>
      </c>
      <c r="G67" s="319" t="b">
        <v>0</v>
      </c>
      <c r="H67" s="319" t="b">
        <v>0</v>
      </c>
      <c r="I67" s="319" t="b">
        <v>0</v>
      </c>
      <c r="J67" s="319" t="b">
        <v>0</v>
      </c>
      <c r="K67" s="319" t="b">
        <v>0</v>
      </c>
      <c r="L67" s="319" t="b">
        <v>0</v>
      </c>
      <c r="M67" s="319" t="b">
        <v>0</v>
      </c>
      <c r="N67" s="319" t="b">
        <v>0</v>
      </c>
      <c r="O67" s="320" t="b">
        <v>0</v>
      </c>
      <c r="P67" s="294">
        <f>COUNTIF(D67:O67,TRUE)</f>
        <v>0</v>
      </c>
      <c r="Q67" s="30"/>
      <c r="R67" s="30"/>
      <c r="S67" s="30"/>
      <c r="T67" s="30"/>
      <c r="U67" s="30"/>
      <c r="V67" s="30"/>
      <c r="W67" s="30"/>
      <c r="X67" s="23"/>
      <c r="Y67" s="23"/>
    </row>
    <row r="68" spans="2:25" ht="15">
      <c r="B68" s="352" t="str">
        <f>IF(ISBLANK(C68),"",INDEX(List!$AP$2:$AP$3,MATCH($C68,List!$AO$2:$AO$3,0)))</f>
        <v/>
      </c>
      <c r="C68" s="300"/>
      <c r="D68" s="317" t="str">
        <f>IF(D69=FALSE,"",B68/P69*100000)</f>
        <v/>
      </c>
      <c r="E68" s="317" t="str">
        <f>IF(E69=FALSE,"",B68/P69*100000)</f>
        <v/>
      </c>
      <c r="F68" s="317" t="str">
        <f>IF(F69=FALSE,"",B68/P69*100000)</f>
        <v/>
      </c>
      <c r="G68" s="317" t="str">
        <f>IF(G69=FALSE,"",B68/P69*100000)</f>
        <v/>
      </c>
      <c r="H68" s="317" t="str">
        <f>IF(H69=FALSE,"",B68/P69*100000)</f>
        <v/>
      </c>
      <c r="I68" s="317" t="str">
        <f>IF(I69=FALSE,"",B68/P69*100000)</f>
        <v/>
      </c>
      <c r="J68" s="317" t="str">
        <f>IF(J69=FALSE,"",B68/P69*100000)</f>
        <v/>
      </c>
      <c r="K68" s="317" t="str">
        <f>IF(K69=FALSE,"",B68/P69*100000)</f>
        <v/>
      </c>
      <c r="L68" s="317" t="str">
        <f>IF(L69=FALSE,"",B68/P69*100000)</f>
        <v/>
      </c>
      <c r="M68" s="317" t="str">
        <f>IF(M69=FALSE,"",B68/P69*100000)</f>
        <v/>
      </c>
      <c r="N68" s="317" t="str">
        <f>IF(N69=FALSE,"",B68/P69*100000)</f>
        <v/>
      </c>
      <c r="O68" s="318" t="str">
        <f>IF(O69=FALSE,"",B68/P69*100000)</f>
        <v/>
      </c>
      <c r="P68" s="294">
        <f>SUM(D68:O68)</f>
        <v>0</v>
      </c>
      <c r="Q68" s="30"/>
      <c r="R68" s="30"/>
      <c r="S68" s="30"/>
      <c r="T68" s="30"/>
      <c r="U68" s="30"/>
      <c r="V68" s="30"/>
      <c r="W68" s="30"/>
      <c r="X68" s="23"/>
      <c r="Y68" s="23"/>
    </row>
    <row r="69" spans="2:25" ht="15" hidden="1">
      <c r="B69" s="352">
        <f>IF(ISBLANK(C69),"",INDEX(List!$AP$2:$AP$3,MATCH($C69,List!$AO$2:$AO$3,0)))</f>
        <v>51</v>
      </c>
      <c r="C69" s="300" t="s">
        <v>756</v>
      </c>
      <c r="D69" s="319" t="b">
        <v>0</v>
      </c>
      <c r="E69" s="319" t="b">
        <v>0</v>
      </c>
      <c r="F69" s="319" t="b">
        <v>0</v>
      </c>
      <c r="G69" s="319" t="b">
        <v>0</v>
      </c>
      <c r="H69" s="319" t="b">
        <v>0</v>
      </c>
      <c r="I69" s="319" t="b">
        <v>0</v>
      </c>
      <c r="J69" s="319" t="b">
        <v>0</v>
      </c>
      <c r="K69" s="319" t="b">
        <v>0</v>
      </c>
      <c r="L69" s="319" t="b">
        <v>0</v>
      </c>
      <c r="M69" s="319" t="b">
        <v>0</v>
      </c>
      <c r="N69" s="319" t="b">
        <v>0</v>
      </c>
      <c r="O69" s="320" t="b">
        <v>0</v>
      </c>
      <c r="P69" s="294">
        <f>COUNTIF(D69:O69,TRUE)</f>
        <v>0</v>
      </c>
      <c r="Q69" s="30"/>
      <c r="R69" s="30"/>
      <c r="S69" s="30"/>
      <c r="T69" s="30"/>
      <c r="U69" s="30"/>
      <c r="V69" s="30"/>
      <c r="W69" s="30"/>
      <c r="X69" s="23"/>
      <c r="Y69" s="23"/>
    </row>
    <row r="70" spans="2:25" ht="15.75" thickBot="1">
      <c r="B70" s="352" t="str">
        <f>IF(ISBLANK(C70),"",INDEX(List!$AP$2:$AP$3,MATCH($C70,List!$AO$2:$AO$3,0)))</f>
        <v/>
      </c>
      <c r="C70" s="300"/>
      <c r="D70" s="317" t="str">
        <f>IF(D71=FALSE,"",B70/P71*100000)</f>
        <v/>
      </c>
      <c r="E70" s="317" t="str">
        <f>IF(E71=FALSE,"",B70/P71*100000)</f>
        <v/>
      </c>
      <c r="F70" s="317" t="str">
        <f>IF(F71=FALSE,"",B70/P71*100000)</f>
        <v/>
      </c>
      <c r="G70" s="317" t="str">
        <f>IF(G71=FALSE,"",B70/P71*100000)</f>
        <v/>
      </c>
      <c r="H70" s="317" t="str">
        <f>IF(H71=FALSE,"",B70/P71*100000)</f>
        <v/>
      </c>
      <c r="I70" s="317" t="str">
        <f>IF(I71=FALSE,"",B70/P71*100000)</f>
        <v/>
      </c>
      <c r="J70" s="317" t="str">
        <f>IF(J71=FALSE,"",B70/P71*100000)</f>
        <v/>
      </c>
      <c r="K70" s="317" t="str">
        <f>IF(K71=FALSE,"",B70/P71*100000)</f>
        <v/>
      </c>
      <c r="L70" s="317" t="str">
        <f>IF(L71=FALSE,"",B70/P71*100000)</f>
        <v/>
      </c>
      <c r="M70" s="317" t="str">
        <f>IF(M71=FALSE,"",B70/P71*100000)</f>
        <v/>
      </c>
      <c r="N70" s="317" t="str">
        <f>IF(N71=FALSE,"",B70/P71*100000)</f>
        <v/>
      </c>
      <c r="O70" s="318" t="str">
        <f>IF(O71=FALSE,"",B70/P71*100000)</f>
        <v/>
      </c>
      <c r="P70" s="294">
        <f>SUM(D70:O70)</f>
        <v>0</v>
      </c>
      <c r="Q70" s="30"/>
      <c r="R70" s="30"/>
      <c r="S70" s="30"/>
      <c r="T70" s="30"/>
      <c r="U70" s="30"/>
      <c r="V70" s="30"/>
      <c r="W70" s="30"/>
      <c r="X70" s="23"/>
      <c r="Y70" s="23"/>
    </row>
    <row r="71" spans="2:25" ht="15.75" hidden="1" thickBot="1">
      <c r="B71" s="301"/>
      <c r="C71" s="302"/>
      <c r="D71" s="284" t="b">
        <v>0</v>
      </c>
      <c r="E71" s="284" t="b">
        <v>0</v>
      </c>
      <c r="F71" s="284" t="b">
        <v>0</v>
      </c>
      <c r="G71" s="284" t="b">
        <v>0</v>
      </c>
      <c r="H71" s="284" t="b">
        <v>0</v>
      </c>
      <c r="I71" s="284" t="b">
        <v>0</v>
      </c>
      <c r="J71" s="284" t="b">
        <v>0</v>
      </c>
      <c r="K71" s="284" t="b">
        <v>0</v>
      </c>
      <c r="L71" s="284" t="b">
        <v>0</v>
      </c>
      <c r="M71" s="284" t="b">
        <v>0</v>
      </c>
      <c r="N71" s="284" t="b">
        <v>0</v>
      </c>
      <c r="O71" s="285" t="b">
        <v>0</v>
      </c>
      <c r="P71" s="294">
        <f>COUNTIF(D71:O71,TRUE)</f>
        <v>0</v>
      </c>
      <c r="Q71" s="30"/>
      <c r="R71" s="30"/>
      <c r="S71" s="30"/>
      <c r="T71" s="30"/>
      <c r="U71" s="30"/>
      <c r="V71" s="30"/>
      <c r="W71" s="30"/>
      <c r="X71" s="23"/>
      <c r="Y71" s="23"/>
    </row>
    <row r="72" spans="2:25" ht="15.75" thickBot="1">
      <c r="B72" s="303" t="s">
        <v>216</v>
      </c>
      <c r="C72" s="304"/>
      <c r="D72" s="325">
        <f t="shared" ref="D72:O72" si="24">SUM(D66:D71)</f>
        <v>0</v>
      </c>
      <c r="E72" s="325">
        <f t="shared" si="24"/>
        <v>0</v>
      </c>
      <c r="F72" s="325">
        <f t="shared" si="24"/>
        <v>0</v>
      </c>
      <c r="G72" s="325">
        <f t="shared" si="24"/>
        <v>0</v>
      </c>
      <c r="H72" s="325">
        <f t="shared" si="24"/>
        <v>0</v>
      </c>
      <c r="I72" s="325">
        <f t="shared" si="24"/>
        <v>0</v>
      </c>
      <c r="J72" s="325">
        <f t="shared" si="24"/>
        <v>0</v>
      </c>
      <c r="K72" s="325">
        <f t="shared" si="24"/>
        <v>0</v>
      </c>
      <c r="L72" s="325">
        <f t="shared" si="24"/>
        <v>0</v>
      </c>
      <c r="M72" s="325">
        <f t="shared" si="24"/>
        <v>0</v>
      </c>
      <c r="N72" s="325">
        <f t="shared" si="24"/>
        <v>0</v>
      </c>
      <c r="O72" s="330">
        <f t="shared" si="24"/>
        <v>0</v>
      </c>
      <c r="P72" s="298">
        <f>SUM(D72:O72)</f>
        <v>0</v>
      </c>
      <c r="Q72" s="30"/>
      <c r="R72" s="30"/>
      <c r="S72" s="30"/>
      <c r="T72" s="30"/>
      <c r="U72" s="30"/>
      <c r="V72" s="30"/>
      <c r="W72" s="30"/>
      <c r="X72" s="23"/>
      <c r="Y72" s="23"/>
    </row>
    <row r="73" spans="2:25" s="276" customFormat="1"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</row>
    <row r="74" spans="2:25" s="276" customFormat="1"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</row>
    <row r="75" spans="2:25" s="276" customFormat="1"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</row>
    <row r="76" spans="2:25" s="276" customFormat="1"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</row>
    <row r="77" spans="2:25" s="276" customFormat="1"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</row>
    <row r="78" spans="2:25" s="276" customFormat="1"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</row>
    <row r="79" spans="2:25" s="276" customFormat="1"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</row>
    <row r="80" spans="2:25" s="276" customFormat="1"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</row>
    <row r="81" spans="4:23" s="276" customFormat="1"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</row>
    <row r="82" spans="4:23" s="276" customFormat="1"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</row>
    <row r="83" spans="4:23" s="276" customFormat="1"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</row>
    <row r="84" spans="4:23" s="276" customFormat="1"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</row>
    <row r="85" spans="4:23" s="276" customFormat="1"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</row>
    <row r="86" spans="4:23" s="276" customFormat="1"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</row>
    <row r="87" spans="4:23" s="276" customFormat="1"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</row>
    <row r="88" spans="4:23" s="276" customFormat="1"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</row>
    <row r="89" spans="4:23" s="276" customFormat="1"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</row>
    <row r="90" spans="4:23" s="276" customFormat="1"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</row>
    <row r="91" spans="4:23" s="276" customFormat="1"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</row>
    <row r="92" spans="4:23" s="276" customFormat="1"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</row>
    <row r="93" spans="4:23" s="276" customFormat="1"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</row>
    <row r="94" spans="4:23" s="276" customFormat="1"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</row>
    <row r="95" spans="4:23" s="276" customFormat="1"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</row>
    <row r="96" spans="4:23" s="276" customFormat="1"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</row>
    <row r="97" spans="4:23" s="276" customFormat="1"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</row>
    <row r="98" spans="4:23" s="276" customFormat="1"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</row>
    <row r="99" spans="4:23" s="276" customFormat="1"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</row>
    <row r="100" spans="4:23" s="276" customFormat="1"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</row>
    <row r="101" spans="4:23" s="276" customFormat="1"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</row>
    <row r="102" spans="4:23" s="276" customFormat="1"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</row>
    <row r="103" spans="4:23" s="276" customFormat="1"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</row>
    <row r="104" spans="4:23" s="276" customFormat="1"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</row>
    <row r="105" spans="4:23" s="276" customFormat="1"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</row>
    <row r="106" spans="4:23" s="276" customFormat="1"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</row>
    <row r="107" spans="4:23" s="276" customFormat="1"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</row>
    <row r="108" spans="4:23" s="276" customFormat="1"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</row>
    <row r="109" spans="4:23" s="276" customFormat="1"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61:C61"/>
    <mergeCell ref="B62:C62"/>
    <mergeCell ref="B63:C63"/>
    <mergeCell ref="B65:O65"/>
    <mergeCell ref="B67:C67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2:O2"/>
    <mergeCell ref="P2:P5"/>
    <mergeCell ref="B3:C3"/>
    <mergeCell ref="D3:O3"/>
    <mergeCell ref="B4:C4"/>
    <mergeCell ref="B5:C5"/>
  </mergeCells>
  <conditionalFormatting sqref="D26:O32">
    <cfRule type="expression" dxfId="137" priority="9">
      <formula>D$22+D$24=0</formula>
    </cfRule>
  </conditionalFormatting>
  <conditionalFormatting sqref="D40:O46">
    <cfRule type="expression" dxfId="136" priority="8">
      <formula>D$36+D$38=0</formula>
    </cfRule>
  </conditionalFormatting>
  <conditionalFormatting sqref="D42:O46">
    <cfRule type="expression" dxfId="135" priority="7">
      <formula>D$40=0</formula>
    </cfRule>
  </conditionalFormatting>
  <conditionalFormatting sqref="D4:O4">
    <cfRule type="expression" dxfId="134" priority="24">
      <formula>D$5=TRUE</formula>
    </cfRule>
  </conditionalFormatting>
  <conditionalFormatting sqref="D66:D72 D55:D63 D14 D22:O34 D36:O49">
    <cfRule type="expression" dxfId="133" priority="25">
      <formula>D$5</formula>
    </cfRule>
  </conditionalFormatting>
  <conditionalFormatting sqref="E68:O72 O66:O67 E55:O63 E9:O14 D28:O32">
    <cfRule type="expression" dxfId="132" priority="23">
      <formula>D$5=TRUE</formula>
    </cfRule>
  </conditionalFormatting>
  <dataValidations count="6">
    <dataValidation operator="greaterThan" allowBlank="1" showInputMessage="1" showErrorMessage="1" errorTitle="Enter only Numeric value" error="Only numeric value of strength should be entered. Unit of Strength should be mentioned in O3 cell " sqref="D4:O4"/>
    <dataValidation type="whole" errorStyle="warning" operator="greaterThan" allowBlank="1" showInputMessage="1" sqref="D22:P27 D36:O41">
      <formula1>0</formula1>
    </dataValidation>
    <dataValidation operator="greaterThan" allowBlank="1" showInputMessage="1" showErrorMessage="1" error="Enter filing fees" sqref="D66:O71"/>
    <dataValidation type="whole" operator="greaterThan" allowBlank="1" showInputMessage="1" showErrorMessage="1" sqref="D9:O13 D55:O62">
      <formula1>0</formula1>
    </dataValidation>
    <dataValidation type="list" allowBlank="1" showInputMessage="1" showErrorMessage="1" sqref="C69:C70">
      <formula1>$AK$2:$AK$3</formula1>
    </dataValidation>
    <dataValidation type="list" allowBlank="1" showInputMessage="1" showErrorMessage="1" sqref="C68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4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5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6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7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8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9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0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1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2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3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4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5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6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7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8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9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0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1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2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3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4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5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6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7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8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9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0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FD1DC658-D8AE-45E0-A389-282C92044ABC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8A260C71-79FF-46CA-8EFD-2D234E1920A4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CEFAA813-FCCC-4509-B29B-7ED849F246B6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A456F5E9-FEE6-4CD4-A857-7CA87289D4BB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3BE23237-E1AA-4897-A3C3-C2265A4241D0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0CE6D3D6-F211-403F-B309-41F2111F91A0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10AD6193-D3AB-47C7-82BF-7706C05B277E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B03D9ECD-C59E-476E-8BF2-3E2B426D2BB8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FA6FFE74-7B89-453D-B6B9-C9B48B1F439E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F492BBC2-AD0D-4578-A326-7D7CA70ADA44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8C3164BD-271A-4F98-BFC0-FC1A469C6BC1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CC0C387A-295B-4E2C-9433-5E361D4C1AC6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902CF0D5-FB5C-4764-BC22-9D4370B69FC4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75752B2F-7041-4149-BE4A-2CC8B052D793}">
            <xm:f>'1.PM'!$P$4=4</xm:f>
            <x14:dxf>
              <numFmt numFmtId="216" formatCode="0.###&quot; mg/vial&quot;"/>
            </x14:dxf>
          </x14:cfRule>
          <x14:cfRule type="expression" priority="3" id="{52166435-62F9-43F3-B346-E772C15C2563}">
            <xm:f>'1.PM'!$P$4=3</xm:f>
            <x14:dxf>
              <numFmt numFmtId="215" formatCode="0.###&quot; mg/ml&quot;"/>
            </x14:dxf>
          </x14:cfRule>
          <x14:cfRule type="expression" priority="4" id="{ED396D1F-A809-4B4A-B414-6C9E0008B2B8}">
            <xm:f>'1.PM'!$P$4=0</xm:f>
            <x14:dxf>
              <numFmt numFmtId="212" formatCode="0.###&quot; mg&quot;"/>
            </x14:dxf>
          </x14:cfRule>
          <x14:cfRule type="expression" priority="5" id="{05D55022-9CFE-4F41-BC00-897A3E55CA31}">
            <xm:f>'1.PM'!$P$4=1</xm:f>
            <x14:dxf>
              <numFmt numFmtId="214" formatCode="0.###&quot; mEq&quot;"/>
            </x14:dxf>
          </x14:cfRule>
          <x14:cfRule type="expression" priority="6" id="{291DB396-A6A4-41AF-87DE-EB27B9D995D9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4256557D-A686-4E52-B0A6-9AC0EA91CB8E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List!$O$2:$O$16</xm:f>
          </x14:formula1>
          <xm:sqref>P4</xm:sqref>
        </x14:dataValidation>
        <x14:dataValidation type="list" allowBlank="1" showInputMessage="1" showErrorMessage="1">
          <x14:formula1>
            <xm:f>List!$AO$4:$AO$4</xm:f>
          </x14:formula1>
          <xm:sqref>C66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7" activePane="bottomLeft" state="frozen"/>
      <selection activeCell="J8" sqref="J8:J9"/>
      <selection pane="bottomLeft" activeCell="B8" sqref="B8:O9"/>
    </sheetView>
  </sheetViews>
  <sheetFormatPr defaultColWidth="12.7109375" defaultRowHeight="12.75"/>
  <cols>
    <col min="1" max="1" width="1.140625" style="23" customWidth="1"/>
    <col min="2" max="2" width="7" style="21" customWidth="1"/>
    <col min="3" max="3" width="18.7109375" style="21" customWidth="1"/>
    <col min="4" max="4" width="13.7109375" style="52" bestFit="1" customWidth="1"/>
    <col min="5" max="10" width="12.7109375" style="52"/>
    <col min="11" max="11" width="12.7109375" style="52" customWidth="1"/>
    <col min="12" max="15" width="12.7109375" style="52"/>
    <col min="16" max="19" width="12.7109375" style="52" customWidth="1"/>
    <col min="20" max="23" width="12.7109375" style="52"/>
    <col min="24" max="24" width="13.85546875" style="21" bestFit="1" customWidth="1"/>
    <col min="25" max="25" width="14.28515625" style="21" bestFit="1" customWidth="1"/>
    <col min="26" max="16384" width="12.7109375" style="23"/>
  </cols>
  <sheetData>
    <row r="1" spans="1:30" ht="4.5" customHeight="1" thickBot="1">
      <c r="B1" s="23"/>
      <c r="C1" s="2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/>
      <c r="Y1" s="23"/>
    </row>
    <row r="2" spans="1:30" s="27" customFormat="1" ht="15" customHeight="1" thickTop="1">
      <c r="B2" s="1094" t="s">
        <v>1026</v>
      </c>
      <c r="C2" s="1095"/>
      <c r="D2" s="1095"/>
      <c r="E2" s="1095"/>
      <c r="F2" s="1095"/>
      <c r="G2" s="1095"/>
      <c r="H2" s="1095"/>
      <c r="I2" s="1095"/>
      <c r="J2" s="1095"/>
      <c r="K2" s="1095"/>
      <c r="L2" s="1095"/>
      <c r="M2" s="1095"/>
      <c r="N2" s="1095"/>
      <c r="O2" s="1096"/>
      <c r="P2" s="949"/>
      <c r="Q2" s="286"/>
      <c r="R2" s="286"/>
      <c r="S2" s="286"/>
      <c r="T2" s="32"/>
      <c r="U2" s="32"/>
      <c r="V2" s="32"/>
      <c r="W2" s="32"/>
      <c r="X2" s="29"/>
      <c r="Y2" s="29"/>
      <c r="Z2" s="29"/>
      <c r="AA2" s="29"/>
      <c r="AB2" s="29"/>
    </row>
    <row r="3" spans="1:30" s="27" customFormat="1" ht="15" customHeight="1">
      <c r="B3" s="1097" t="s">
        <v>96</v>
      </c>
      <c r="C3" s="1098"/>
      <c r="D3" s="1099" t="str">
        <f>'1.PM'!C3</f>
        <v>Levetiracetam Tablets</v>
      </c>
      <c r="E3" s="1099"/>
      <c r="F3" s="1099"/>
      <c r="G3" s="1099"/>
      <c r="H3" s="1099"/>
      <c r="I3" s="1099"/>
      <c r="J3" s="1099"/>
      <c r="K3" s="1099"/>
      <c r="L3" s="1099"/>
      <c r="M3" s="1099"/>
      <c r="N3" s="1099"/>
      <c r="O3" s="1100"/>
      <c r="P3" s="950"/>
      <c r="Q3" s="287"/>
      <c r="R3" s="287"/>
      <c r="S3" s="287"/>
      <c r="T3" s="32"/>
      <c r="U3" s="32"/>
      <c r="V3" s="32"/>
      <c r="W3" s="32"/>
      <c r="X3" s="29"/>
      <c r="Y3" s="29"/>
      <c r="Z3" s="29"/>
      <c r="AA3" s="29"/>
      <c r="AB3" s="29"/>
    </row>
    <row r="4" spans="1:30" s="18" customFormat="1" ht="15" customHeight="1">
      <c r="A4" s="19"/>
      <c r="B4" s="1101" t="s">
        <v>924</v>
      </c>
      <c r="C4" s="1102"/>
      <c r="D4" s="331"/>
      <c r="E4" s="115"/>
      <c r="F4" s="115"/>
      <c r="G4" s="115"/>
      <c r="H4" s="115"/>
      <c r="I4" s="115"/>
      <c r="J4" s="115"/>
      <c r="K4" s="115"/>
      <c r="L4" s="282"/>
      <c r="M4" s="115"/>
      <c r="N4" s="115"/>
      <c r="O4" s="115"/>
      <c r="P4" s="950"/>
      <c r="Q4" s="271" t="e">
        <f>INDEX(List!P2:P6,MATCH($P4,List!O2:O6,0))</f>
        <v>#N/A</v>
      </c>
      <c r="R4" s="185"/>
      <c r="S4" s="185"/>
      <c r="T4" s="19"/>
      <c r="U4" s="19"/>
      <c r="V4" s="17"/>
      <c r="W4" s="17"/>
      <c r="X4" s="17"/>
      <c r="Y4" s="17"/>
      <c r="Z4" s="17"/>
      <c r="AA4" s="17"/>
      <c r="AB4" s="17"/>
      <c r="AC4" s="17"/>
      <c r="AD4" s="17"/>
    </row>
    <row r="5" spans="1:30" s="18" customFormat="1" ht="15" hidden="1" customHeight="1">
      <c r="A5" s="19"/>
      <c r="B5" s="1092"/>
      <c r="C5" s="1093"/>
      <c r="D5" s="55" t="b">
        <v>0</v>
      </c>
      <c r="E5" s="55" t="b">
        <v>0</v>
      </c>
      <c r="F5" s="55" t="b">
        <v>0</v>
      </c>
      <c r="G5" s="55" t="b">
        <v>0</v>
      </c>
      <c r="H5" s="55" t="b">
        <v>0</v>
      </c>
      <c r="I5" s="55" t="b">
        <v>0</v>
      </c>
      <c r="J5" s="55" t="b">
        <v>0</v>
      </c>
      <c r="K5" s="55" t="b">
        <v>0</v>
      </c>
      <c r="L5" s="55" t="b">
        <v>0</v>
      </c>
      <c r="M5" s="55" t="b">
        <v>0</v>
      </c>
      <c r="N5" s="55" t="b">
        <v>0</v>
      </c>
      <c r="O5" s="55" t="b">
        <v>0</v>
      </c>
      <c r="P5" s="950"/>
      <c r="Q5" s="270"/>
      <c r="R5" s="185"/>
      <c r="S5" s="185"/>
      <c r="T5" s="19"/>
      <c r="U5" s="19"/>
      <c r="V5" s="17"/>
      <c r="W5" s="17"/>
      <c r="X5" s="17"/>
      <c r="Y5" s="17"/>
      <c r="Z5" s="17"/>
      <c r="AA5" s="17"/>
      <c r="AB5" s="17"/>
      <c r="AC5" s="17"/>
      <c r="AD5" s="17"/>
    </row>
    <row r="6" spans="1:30" s="25" customFormat="1" ht="7.5" customHeight="1">
      <c r="B6" s="24"/>
      <c r="C6" s="24"/>
      <c r="D6" s="38"/>
      <c r="E6" s="39"/>
      <c r="F6" s="39"/>
      <c r="G6" s="40"/>
      <c r="H6" s="41"/>
      <c r="I6" s="41"/>
      <c r="J6" s="42"/>
      <c r="K6" s="39"/>
      <c r="L6" s="39"/>
      <c r="M6" s="43"/>
      <c r="N6" s="43"/>
      <c r="O6" s="43"/>
      <c r="P6" s="31"/>
      <c r="Q6" s="44"/>
      <c r="R6" s="44"/>
      <c r="S6" s="45"/>
      <c r="T6" s="45"/>
      <c r="U6" s="45"/>
      <c r="V6" s="45"/>
      <c r="W6" s="45"/>
      <c r="X6" s="26"/>
      <c r="Y6" s="26"/>
      <c r="Z6" s="26"/>
      <c r="AA6" s="26"/>
      <c r="AB6" s="26"/>
    </row>
    <row r="7" spans="1:30" s="25" customFormat="1" ht="7.5" customHeight="1" thickBot="1">
      <c r="B7" s="24"/>
      <c r="C7" s="24"/>
      <c r="D7" s="38"/>
      <c r="E7" s="39"/>
      <c r="F7" s="39"/>
      <c r="G7" s="40"/>
      <c r="H7" s="41"/>
      <c r="I7" s="41"/>
      <c r="J7" s="42"/>
      <c r="K7" s="39"/>
      <c r="L7" s="39"/>
      <c r="M7" s="43"/>
      <c r="N7" s="43"/>
      <c r="O7" s="43"/>
      <c r="P7" s="31"/>
      <c r="Q7" s="44"/>
      <c r="R7" s="44"/>
      <c r="S7" s="45"/>
      <c r="T7" s="45"/>
      <c r="U7" s="45"/>
      <c r="V7" s="45"/>
      <c r="W7" s="45"/>
      <c r="X7" s="26"/>
      <c r="Y7" s="26"/>
      <c r="Z7" s="26"/>
      <c r="AA7" s="26"/>
      <c r="AB7" s="26"/>
    </row>
    <row r="8" spans="1:30" ht="15.75" thickTop="1">
      <c r="B8" s="1116" t="s">
        <v>214</v>
      </c>
      <c r="C8" s="1117"/>
      <c r="D8" s="1117"/>
      <c r="E8" s="1117"/>
      <c r="F8" s="1117"/>
      <c r="G8" s="1117"/>
      <c r="H8" s="1117"/>
      <c r="I8" s="1117"/>
      <c r="J8" s="1117"/>
      <c r="K8" s="1117"/>
      <c r="L8" s="1117"/>
      <c r="M8" s="1117"/>
      <c r="N8" s="1117"/>
      <c r="O8" s="1118"/>
      <c r="P8" s="288" t="s">
        <v>205</v>
      </c>
      <c r="Q8" s="30"/>
      <c r="R8" s="30"/>
      <c r="S8" s="30"/>
      <c r="T8" s="30"/>
      <c r="U8" s="30"/>
      <c r="V8" s="30"/>
      <c r="W8" s="30"/>
      <c r="X8" s="23"/>
      <c r="Y8" s="23"/>
    </row>
    <row r="9" spans="1:30" ht="15">
      <c r="B9" s="354" t="s">
        <v>213</v>
      </c>
      <c r="C9" s="353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8"/>
      <c r="P9" s="305"/>
      <c r="Q9" s="30"/>
      <c r="R9" s="30"/>
      <c r="S9" s="30"/>
      <c r="T9" s="30"/>
      <c r="U9" s="30"/>
      <c r="V9" s="30"/>
      <c r="W9" s="30"/>
      <c r="X9" s="23"/>
      <c r="Y9" s="23"/>
    </row>
    <row r="10" spans="1:30" ht="15">
      <c r="B10" s="354" t="s">
        <v>215</v>
      </c>
      <c r="C10" s="353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1"/>
      <c r="P10" s="294">
        <f>SUMPRODUCT(D10:O10,D9:O9)</f>
        <v>0</v>
      </c>
      <c r="Q10" s="30"/>
      <c r="R10" s="30"/>
      <c r="S10" s="30"/>
      <c r="T10" s="30"/>
      <c r="U10" s="30"/>
      <c r="V10" s="30"/>
      <c r="W10" s="30"/>
      <c r="X10" s="23"/>
      <c r="Y10" s="23"/>
    </row>
    <row r="11" spans="1:30" ht="15">
      <c r="B11" s="354" t="s">
        <v>29</v>
      </c>
      <c r="C11" s="353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1"/>
      <c r="P11" s="294">
        <f>SUMPRODUCT(D11:O11,D9:O9)</f>
        <v>0</v>
      </c>
      <c r="Q11" s="30"/>
      <c r="R11" s="30"/>
      <c r="S11" s="30"/>
      <c r="T11" s="30"/>
      <c r="U11" s="30"/>
      <c r="V11" s="30"/>
      <c r="W11" s="30"/>
      <c r="X11" s="23"/>
      <c r="Y11" s="23"/>
    </row>
    <row r="12" spans="1:30" ht="15">
      <c r="B12" s="354" t="s">
        <v>995</v>
      </c>
      <c r="C12" s="353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1"/>
      <c r="P12" s="294">
        <f>SUMPRODUCT(D12:O12,D9:O9)</f>
        <v>0</v>
      </c>
      <c r="Q12" s="30"/>
      <c r="R12" s="30"/>
      <c r="S12" s="30"/>
      <c r="T12" s="30"/>
      <c r="U12" s="30"/>
      <c r="V12" s="30"/>
      <c r="W12" s="30"/>
      <c r="X12" s="23"/>
      <c r="Y12" s="23"/>
    </row>
    <row r="13" spans="1:30" ht="15">
      <c r="B13" s="354" t="s">
        <v>212</v>
      </c>
      <c r="C13" s="353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1"/>
      <c r="P13" s="294">
        <f>SUMPRODUCT(D13:O13,D9:O9)</f>
        <v>0</v>
      </c>
      <c r="Q13" s="30"/>
      <c r="R13" s="30"/>
      <c r="S13" s="30"/>
      <c r="T13" s="30"/>
      <c r="U13" s="30"/>
      <c r="V13" s="30"/>
      <c r="W13" s="30"/>
      <c r="X13" s="23"/>
      <c r="Y13" s="23"/>
    </row>
    <row r="14" spans="1:30" ht="15.75" thickBot="1">
      <c r="B14" s="308" t="s">
        <v>216</v>
      </c>
      <c r="C14" s="309"/>
      <c r="D14" s="326">
        <f>(SUM(D10:D13)*D9)</f>
        <v>0</v>
      </c>
      <c r="E14" s="326">
        <f t="shared" ref="E14:O14" si="0">(SUM(E10:E13)*E9)</f>
        <v>0</v>
      </c>
      <c r="F14" s="326">
        <f t="shared" si="0"/>
        <v>0</v>
      </c>
      <c r="G14" s="326">
        <f t="shared" si="0"/>
        <v>0</v>
      </c>
      <c r="H14" s="326">
        <f t="shared" si="0"/>
        <v>0</v>
      </c>
      <c r="I14" s="326">
        <f t="shared" si="0"/>
        <v>0</v>
      </c>
      <c r="J14" s="326">
        <f t="shared" si="0"/>
        <v>0</v>
      </c>
      <c r="K14" s="326">
        <f t="shared" si="0"/>
        <v>0</v>
      </c>
      <c r="L14" s="326">
        <f t="shared" si="0"/>
        <v>0</v>
      </c>
      <c r="M14" s="326">
        <f t="shared" si="0"/>
        <v>0</v>
      </c>
      <c r="N14" s="326">
        <f t="shared" si="0"/>
        <v>0</v>
      </c>
      <c r="O14" s="327">
        <f t="shared" si="0"/>
        <v>0</v>
      </c>
      <c r="P14" s="298">
        <f>SUM(D14:O14)</f>
        <v>0</v>
      </c>
      <c r="Q14" s="30"/>
      <c r="R14" s="30"/>
      <c r="S14" s="30"/>
      <c r="T14" s="30"/>
      <c r="U14" s="30"/>
      <c r="V14" s="30"/>
      <c r="W14" s="30"/>
      <c r="X14" s="23"/>
      <c r="Y14" s="23"/>
    </row>
    <row r="15" spans="1:30" ht="15" hidden="1">
      <c r="B15" s="28"/>
      <c r="C15" s="2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30"/>
      <c r="R15" s="30"/>
      <c r="S15" s="30"/>
      <c r="T15" s="30"/>
      <c r="U15" s="30"/>
      <c r="V15" s="30"/>
      <c r="W15" s="30"/>
      <c r="X15" s="23"/>
      <c r="Y15" s="23"/>
    </row>
    <row r="16" spans="1:30" ht="15" hidden="1">
      <c r="B16" s="24"/>
      <c r="C16" s="13" t="s">
        <v>154</v>
      </c>
      <c r="D16" s="229">
        <f>SUM(D10:D11)*D9</f>
        <v>0</v>
      </c>
      <c r="E16" s="229">
        <f t="shared" ref="E16:O16" si="1">SUM(E10:E11)*E9</f>
        <v>0</v>
      </c>
      <c r="F16" s="229">
        <f t="shared" si="1"/>
        <v>0</v>
      </c>
      <c r="G16" s="229">
        <f t="shared" si="1"/>
        <v>0</v>
      </c>
      <c r="H16" s="229">
        <f t="shared" si="1"/>
        <v>0</v>
      </c>
      <c r="I16" s="229">
        <f t="shared" si="1"/>
        <v>0</v>
      </c>
      <c r="J16" s="229">
        <f t="shared" si="1"/>
        <v>0</v>
      </c>
      <c r="K16" s="229">
        <f t="shared" si="1"/>
        <v>0</v>
      </c>
      <c r="L16" s="229">
        <f t="shared" si="1"/>
        <v>0</v>
      </c>
      <c r="M16" s="229">
        <f t="shared" si="1"/>
        <v>0</v>
      </c>
      <c r="N16" s="229">
        <f t="shared" si="1"/>
        <v>0</v>
      </c>
      <c r="O16" s="229">
        <f t="shared" si="1"/>
        <v>0</v>
      </c>
      <c r="P16" s="47"/>
      <c r="Q16" s="30"/>
      <c r="R16" s="30"/>
      <c r="S16" s="30"/>
      <c r="T16" s="30"/>
      <c r="U16" s="30"/>
      <c r="V16" s="30"/>
      <c r="W16" s="30"/>
      <c r="X16" s="23"/>
      <c r="Y16" s="23"/>
    </row>
    <row r="17" spans="2:25" ht="15" hidden="1">
      <c r="B17" s="24"/>
      <c r="C17" s="13" t="s">
        <v>842</v>
      </c>
      <c r="D17" s="229">
        <f>D12*D9</f>
        <v>0</v>
      </c>
      <c r="E17" s="229">
        <f t="shared" ref="E17:O17" si="2">E12*E9</f>
        <v>0</v>
      </c>
      <c r="F17" s="229">
        <f t="shared" si="2"/>
        <v>0</v>
      </c>
      <c r="G17" s="229">
        <f t="shared" si="2"/>
        <v>0</v>
      </c>
      <c r="H17" s="229">
        <f t="shared" si="2"/>
        <v>0</v>
      </c>
      <c r="I17" s="229">
        <f t="shared" si="2"/>
        <v>0</v>
      </c>
      <c r="J17" s="229">
        <f t="shared" si="2"/>
        <v>0</v>
      </c>
      <c r="K17" s="229">
        <f t="shared" si="2"/>
        <v>0</v>
      </c>
      <c r="L17" s="229">
        <f t="shared" si="2"/>
        <v>0</v>
      </c>
      <c r="M17" s="229">
        <f t="shared" si="2"/>
        <v>0</v>
      </c>
      <c r="N17" s="229">
        <f t="shared" si="2"/>
        <v>0</v>
      </c>
      <c r="O17" s="229">
        <f t="shared" si="2"/>
        <v>0</v>
      </c>
      <c r="P17" s="47"/>
      <c r="Q17" s="30"/>
      <c r="R17" s="30"/>
      <c r="S17" s="30"/>
      <c r="T17" s="30"/>
      <c r="U17" s="30"/>
      <c r="V17" s="30"/>
      <c r="W17" s="30"/>
      <c r="X17" s="23"/>
      <c r="Y17" s="23"/>
    </row>
    <row r="18" spans="2:25" ht="15" hidden="1">
      <c r="B18" s="24"/>
      <c r="C18" s="13" t="s">
        <v>843</v>
      </c>
      <c r="D18" s="229">
        <f>D13*D9</f>
        <v>0</v>
      </c>
      <c r="E18" s="229">
        <f t="shared" ref="E18:O18" si="3">E13*E9</f>
        <v>0</v>
      </c>
      <c r="F18" s="229">
        <f t="shared" si="3"/>
        <v>0</v>
      </c>
      <c r="G18" s="229">
        <f t="shared" si="3"/>
        <v>0</v>
      </c>
      <c r="H18" s="229">
        <f t="shared" si="3"/>
        <v>0</v>
      </c>
      <c r="I18" s="229">
        <f t="shared" si="3"/>
        <v>0</v>
      </c>
      <c r="J18" s="229">
        <f t="shared" si="3"/>
        <v>0</v>
      </c>
      <c r="K18" s="229">
        <f t="shared" si="3"/>
        <v>0</v>
      </c>
      <c r="L18" s="229">
        <f t="shared" si="3"/>
        <v>0</v>
      </c>
      <c r="M18" s="229">
        <f t="shared" si="3"/>
        <v>0</v>
      </c>
      <c r="N18" s="229">
        <f t="shared" si="3"/>
        <v>0</v>
      </c>
      <c r="O18" s="229">
        <f t="shared" si="3"/>
        <v>0</v>
      </c>
      <c r="P18" s="47"/>
      <c r="Q18" s="30"/>
      <c r="R18" s="30"/>
      <c r="S18" s="30"/>
      <c r="T18" s="30"/>
      <c r="U18" s="30"/>
      <c r="V18" s="30"/>
      <c r="W18" s="30"/>
      <c r="X18" s="23"/>
      <c r="Y18" s="23"/>
    </row>
    <row r="19" spans="2:25" ht="15.75" thickBot="1">
      <c r="B19" s="24"/>
      <c r="C19" s="24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30"/>
      <c r="R19" s="30"/>
      <c r="S19" s="30"/>
      <c r="T19" s="30"/>
      <c r="U19" s="30"/>
      <c r="V19" s="30"/>
      <c r="W19" s="30"/>
      <c r="X19" s="23"/>
      <c r="Y19" s="23"/>
    </row>
    <row r="20" spans="2:25" ht="15.75" thickTop="1">
      <c r="B20" s="1119" t="s">
        <v>225</v>
      </c>
      <c r="C20" s="1120"/>
      <c r="D20" s="1120" t="str">
        <f>IF(('1.PM'!N2)="Injectables","NOT APPLICABLE","")</f>
        <v/>
      </c>
      <c r="E20" s="1120"/>
      <c r="F20" s="1120"/>
      <c r="G20" s="1120"/>
      <c r="H20" s="1120"/>
      <c r="I20" s="1120"/>
      <c r="J20" s="1120"/>
      <c r="K20" s="1120"/>
      <c r="L20" s="1120"/>
      <c r="M20" s="1120"/>
      <c r="N20" s="1120"/>
      <c r="O20" s="1121"/>
      <c r="P20" s="288" t="s">
        <v>205</v>
      </c>
      <c r="Q20" s="30"/>
      <c r="R20" s="30"/>
      <c r="S20" s="30"/>
      <c r="T20" s="30"/>
      <c r="U20" s="30"/>
      <c r="V20" s="30"/>
      <c r="W20" s="30"/>
      <c r="X20" s="23"/>
      <c r="Y20" s="23"/>
    </row>
    <row r="21" spans="2:25" ht="15">
      <c r="B21" s="1113" t="s">
        <v>211</v>
      </c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5"/>
      <c r="P21" s="289"/>
      <c r="Q21" s="272"/>
      <c r="R21" s="30"/>
      <c r="S21" s="30"/>
      <c r="T21" s="30"/>
      <c r="U21" s="30"/>
      <c r="V21" s="30"/>
      <c r="W21" s="30"/>
      <c r="X21" s="23"/>
      <c r="Y21" s="23"/>
    </row>
    <row r="22" spans="2:25" ht="15">
      <c r="B22" s="310" t="s">
        <v>38</v>
      </c>
      <c r="C22" s="353" t="s">
        <v>415</v>
      </c>
      <c r="D22" s="321">
        <f>IF(D$5=TRUE,$B$23,0)</f>
        <v>0</v>
      </c>
      <c r="E22" s="321">
        <f t="shared" ref="E22:O22" si="4">IF(E$5=TRUE,$B$23,0)</f>
        <v>0</v>
      </c>
      <c r="F22" s="321">
        <f t="shared" si="4"/>
        <v>0</v>
      </c>
      <c r="G22" s="321">
        <f t="shared" si="4"/>
        <v>0</v>
      </c>
      <c r="H22" s="321">
        <f t="shared" si="4"/>
        <v>0</v>
      </c>
      <c r="I22" s="321">
        <f t="shared" si="4"/>
        <v>0</v>
      </c>
      <c r="J22" s="321">
        <f t="shared" si="4"/>
        <v>0</v>
      </c>
      <c r="K22" s="321">
        <f t="shared" si="4"/>
        <v>0</v>
      </c>
      <c r="L22" s="321">
        <f t="shared" si="4"/>
        <v>0</v>
      </c>
      <c r="M22" s="321">
        <f t="shared" si="4"/>
        <v>0</v>
      </c>
      <c r="N22" s="321">
        <f t="shared" si="4"/>
        <v>0</v>
      </c>
      <c r="O22" s="321">
        <f t="shared" si="4"/>
        <v>0</v>
      </c>
      <c r="P22" s="290">
        <f>SUM(D22:O22)</f>
        <v>0</v>
      </c>
      <c r="Q22" s="23"/>
      <c r="R22" s="30"/>
      <c r="S22" s="30"/>
      <c r="T22" s="30"/>
      <c r="U22" s="30"/>
      <c r="V22" s="30"/>
      <c r="W22" s="30"/>
      <c r="X22" s="23"/>
      <c r="Y22" s="23"/>
    </row>
    <row r="23" spans="2:25" ht="15" hidden="1">
      <c r="B23" s="311">
        <v>0</v>
      </c>
      <c r="C23" s="353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291"/>
      <c r="Q23" s="273"/>
      <c r="R23" s="30"/>
      <c r="S23" s="30"/>
      <c r="T23" s="30"/>
      <c r="U23" s="30"/>
      <c r="V23" s="30"/>
      <c r="W23" s="30"/>
      <c r="X23" s="23"/>
      <c r="Y23" s="23"/>
    </row>
    <row r="24" spans="2:25" ht="15">
      <c r="B24" s="310" t="s">
        <v>417</v>
      </c>
      <c r="C24" s="353" t="s">
        <v>416</v>
      </c>
      <c r="D24" s="321">
        <f>IF(D$5=TRUE,$B$25,0)</f>
        <v>0</v>
      </c>
      <c r="E24" s="321">
        <f t="shared" ref="E24:O24" si="5">IF(E$5=TRUE,$B$25,0)</f>
        <v>0</v>
      </c>
      <c r="F24" s="321">
        <f t="shared" si="5"/>
        <v>0</v>
      </c>
      <c r="G24" s="321">
        <f t="shared" si="5"/>
        <v>0</v>
      </c>
      <c r="H24" s="321">
        <f t="shared" si="5"/>
        <v>0</v>
      </c>
      <c r="I24" s="321">
        <f t="shared" si="5"/>
        <v>0</v>
      </c>
      <c r="J24" s="321">
        <f t="shared" si="5"/>
        <v>0</v>
      </c>
      <c r="K24" s="321">
        <f t="shared" si="5"/>
        <v>0</v>
      </c>
      <c r="L24" s="321">
        <f t="shared" si="5"/>
        <v>0</v>
      </c>
      <c r="M24" s="321">
        <f t="shared" si="5"/>
        <v>0</v>
      </c>
      <c r="N24" s="321">
        <f t="shared" si="5"/>
        <v>0</v>
      </c>
      <c r="O24" s="321">
        <f t="shared" si="5"/>
        <v>0</v>
      </c>
      <c r="P24" s="292">
        <f>SUM(D24:O24)</f>
        <v>0</v>
      </c>
      <c r="Q24" s="23"/>
      <c r="R24" s="30"/>
      <c r="S24" s="30"/>
      <c r="T24" s="30"/>
      <c r="U24" s="30"/>
      <c r="V24" s="30"/>
      <c r="W24" s="30"/>
      <c r="X24" s="23"/>
      <c r="Y24" s="23"/>
    </row>
    <row r="25" spans="2:25" ht="15" hidden="1">
      <c r="B25" s="311">
        <v>0</v>
      </c>
      <c r="C25" s="353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291"/>
      <c r="Q25" s="272"/>
      <c r="R25" s="30"/>
      <c r="S25" s="30"/>
      <c r="T25" s="30"/>
      <c r="U25" s="30"/>
      <c r="V25" s="30"/>
      <c r="W25" s="30"/>
      <c r="X25" s="23"/>
      <c r="Y25" s="23"/>
    </row>
    <row r="26" spans="2:25" ht="15">
      <c r="B26" s="310" t="s">
        <v>41</v>
      </c>
      <c r="C26" s="353" t="s">
        <v>418</v>
      </c>
      <c r="D26" s="321">
        <f>IF(D$5=TRUE,$B$27,0)</f>
        <v>0</v>
      </c>
      <c r="E26" s="321">
        <f t="shared" ref="E26:O26" si="6">IF(E$5=TRUE,$B$27,0)</f>
        <v>0</v>
      </c>
      <c r="F26" s="321">
        <f t="shared" si="6"/>
        <v>0</v>
      </c>
      <c r="G26" s="321">
        <f t="shared" si="6"/>
        <v>0</v>
      </c>
      <c r="H26" s="321">
        <f t="shared" si="6"/>
        <v>0</v>
      </c>
      <c r="I26" s="321">
        <f t="shared" si="6"/>
        <v>0</v>
      </c>
      <c r="J26" s="321">
        <f t="shared" si="6"/>
        <v>0</v>
      </c>
      <c r="K26" s="321">
        <f t="shared" si="6"/>
        <v>0</v>
      </c>
      <c r="L26" s="321">
        <f t="shared" si="6"/>
        <v>0</v>
      </c>
      <c r="M26" s="321">
        <f t="shared" si="6"/>
        <v>0</v>
      </c>
      <c r="N26" s="321">
        <f t="shared" si="6"/>
        <v>0</v>
      </c>
      <c r="O26" s="321">
        <f t="shared" si="6"/>
        <v>0</v>
      </c>
      <c r="P26" s="293">
        <f>SUM(D26:O26)</f>
        <v>0</v>
      </c>
      <c r="Q26" s="23"/>
      <c r="R26" s="30"/>
      <c r="S26" s="30"/>
      <c r="T26" s="30"/>
      <c r="U26" s="30"/>
      <c r="V26" s="30"/>
      <c r="W26" s="30"/>
      <c r="X26" s="23"/>
      <c r="Y26" s="23"/>
    </row>
    <row r="27" spans="2:25" ht="15" hidden="1">
      <c r="B27" s="311">
        <v>18</v>
      </c>
      <c r="C27" s="353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291"/>
      <c r="Q27" s="272"/>
      <c r="R27" s="30"/>
      <c r="S27" s="30"/>
      <c r="T27" s="30"/>
      <c r="U27" s="30"/>
      <c r="V27" s="30"/>
      <c r="W27" s="30"/>
      <c r="X27" s="23"/>
      <c r="Y27" s="23"/>
    </row>
    <row r="28" spans="2:25" ht="15">
      <c r="B28" s="310" t="s">
        <v>419</v>
      </c>
      <c r="C28" s="353" t="s">
        <v>420</v>
      </c>
      <c r="D28" s="317">
        <f>IF(D$5=TRUE,$B$29+15000,0)</f>
        <v>0</v>
      </c>
      <c r="E28" s="317">
        <f t="shared" ref="E28:O28" si="7">IF(E$5=TRUE,$B$29+15000,0)</f>
        <v>0</v>
      </c>
      <c r="F28" s="317">
        <f t="shared" si="7"/>
        <v>0</v>
      </c>
      <c r="G28" s="317">
        <f t="shared" si="7"/>
        <v>0</v>
      </c>
      <c r="H28" s="317">
        <f t="shared" si="7"/>
        <v>0</v>
      </c>
      <c r="I28" s="317">
        <f t="shared" si="7"/>
        <v>0</v>
      </c>
      <c r="J28" s="317">
        <f t="shared" si="7"/>
        <v>0</v>
      </c>
      <c r="K28" s="317">
        <f t="shared" si="7"/>
        <v>0</v>
      </c>
      <c r="L28" s="317">
        <f t="shared" si="7"/>
        <v>0</v>
      </c>
      <c r="M28" s="317">
        <f t="shared" si="7"/>
        <v>0</v>
      </c>
      <c r="N28" s="317">
        <f t="shared" si="7"/>
        <v>0</v>
      </c>
      <c r="O28" s="317">
        <f t="shared" si="7"/>
        <v>0</v>
      </c>
      <c r="P28" s="294">
        <f>SUM(D28:O28)</f>
        <v>0</v>
      </c>
      <c r="Q28" s="272"/>
      <c r="R28" s="30"/>
      <c r="S28" s="30"/>
      <c r="T28" s="30"/>
      <c r="U28" s="30"/>
      <c r="V28" s="30"/>
      <c r="W28" s="30"/>
      <c r="X28" s="23"/>
      <c r="Y28" s="23"/>
    </row>
    <row r="29" spans="2:25" ht="15" hidden="1">
      <c r="B29" s="311">
        <v>10000</v>
      </c>
      <c r="C29" s="353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294">
        <f t="shared" ref="P29:P46" si="8">SUM(D29:O29)</f>
        <v>0</v>
      </c>
      <c r="Q29" s="272"/>
      <c r="R29" s="30"/>
      <c r="S29" s="30"/>
      <c r="T29" s="30"/>
      <c r="U29" s="30"/>
      <c r="V29" s="30"/>
      <c r="W29" s="30"/>
      <c r="X29" s="23"/>
      <c r="Y29" s="23"/>
    </row>
    <row r="30" spans="2:25" ht="15">
      <c r="B30" s="310" t="s">
        <v>421</v>
      </c>
      <c r="C30" s="353" t="s">
        <v>978</v>
      </c>
      <c r="D30" s="317">
        <f>IF(D$5=TRUE,$B$31+30000,0)</f>
        <v>0</v>
      </c>
      <c r="E30" s="317">
        <f t="shared" ref="E30:O30" si="9">IF(E$5=TRUE,$B$31+30000,0)</f>
        <v>0</v>
      </c>
      <c r="F30" s="317">
        <f t="shared" si="9"/>
        <v>0</v>
      </c>
      <c r="G30" s="317">
        <f t="shared" si="9"/>
        <v>0</v>
      </c>
      <c r="H30" s="317">
        <f t="shared" si="9"/>
        <v>0</v>
      </c>
      <c r="I30" s="317">
        <f t="shared" si="9"/>
        <v>0</v>
      </c>
      <c r="J30" s="317">
        <f t="shared" si="9"/>
        <v>0</v>
      </c>
      <c r="K30" s="317">
        <f t="shared" si="9"/>
        <v>0</v>
      </c>
      <c r="L30" s="317">
        <f t="shared" si="9"/>
        <v>0</v>
      </c>
      <c r="M30" s="317">
        <f t="shared" si="9"/>
        <v>0</v>
      </c>
      <c r="N30" s="317">
        <f t="shared" si="9"/>
        <v>0</v>
      </c>
      <c r="O30" s="317">
        <f t="shared" si="9"/>
        <v>0</v>
      </c>
      <c r="P30" s="294">
        <f t="shared" si="8"/>
        <v>0</v>
      </c>
      <c r="Q30" s="272">
        <v>11000</v>
      </c>
      <c r="R30" s="30"/>
      <c r="S30" s="30"/>
      <c r="T30" s="30"/>
      <c r="U30" s="30"/>
      <c r="V30" s="30"/>
      <c r="W30" s="30"/>
      <c r="X30" s="23"/>
      <c r="Y30" s="23"/>
    </row>
    <row r="31" spans="2:25" ht="15" hidden="1">
      <c r="B31" s="311">
        <v>30000</v>
      </c>
      <c r="C31" s="353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294">
        <f t="shared" si="8"/>
        <v>0</v>
      </c>
      <c r="Q31" s="272"/>
      <c r="R31" s="30"/>
      <c r="S31" s="30"/>
      <c r="T31" s="30"/>
      <c r="U31" s="30"/>
      <c r="V31" s="30"/>
      <c r="W31" s="30"/>
      <c r="X31" s="23"/>
      <c r="Y31" s="23"/>
    </row>
    <row r="32" spans="2:25" ht="15">
      <c r="B32" s="310" t="s">
        <v>423</v>
      </c>
      <c r="C32" s="353" t="s">
        <v>422</v>
      </c>
      <c r="D32" s="317">
        <f>IF(D$5=TRUE,$B$33*1000,0)</f>
        <v>0</v>
      </c>
      <c r="E32" s="317">
        <f t="shared" ref="E32:O32" si="10">IF(E$5=TRUE,$B$33*1000,0)</f>
        <v>0</v>
      </c>
      <c r="F32" s="317">
        <f t="shared" si="10"/>
        <v>0</v>
      </c>
      <c r="G32" s="317">
        <f t="shared" si="10"/>
        <v>0</v>
      </c>
      <c r="H32" s="317">
        <f t="shared" si="10"/>
        <v>0</v>
      </c>
      <c r="I32" s="317">
        <f t="shared" si="10"/>
        <v>0</v>
      </c>
      <c r="J32" s="317">
        <f t="shared" si="10"/>
        <v>0</v>
      </c>
      <c r="K32" s="317">
        <f t="shared" si="10"/>
        <v>0</v>
      </c>
      <c r="L32" s="317">
        <f t="shared" si="10"/>
        <v>0</v>
      </c>
      <c r="M32" s="317">
        <f t="shared" si="10"/>
        <v>0</v>
      </c>
      <c r="N32" s="317">
        <f t="shared" si="10"/>
        <v>0</v>
      </c>
      <c r="O32" s="317">
        <f t="shared" si="10"/>
        <v>0</v>
      </c>
      <c r="P32" s="294">
        <f t="shared" si="8"/>
        <v>0</v>
      </c>
      <c r="Q32" s="272"/>
      <c r="R32" s="30"/>
      <c r="S32" s="30"/>
      <c r="T32" s="30"/>
      <c r="U32" s="30"/>
      <c r="V32" s="30"/>
      <c r="W32" s="30"/>
      <c r="X32" s="23"/>
      <c r="Y32" s="23"/>
    </row>
    <row r="33" spans="2:25" ht="15" hidden="1">
      <c r="B33" s="311">
        <v>200</v>
      </c>
      <c r="C33" s="353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94">
        <f t="shared" si="8"/>
        <v>0</v>
      </c>
      <c r="Q33" s="272"/>
      <c r="R33" s="30"/>
      <c r="S33" s="30"/>
      <c r="T33" s="30"/>
      <c r="U33" s="30"/>
      <c r="V33" s="30"/>
      <c r="W33" s="30"/>
      <c r="X33" s="23"/>
      <c r="Y33" s="23"/>
    </row>
    <row r="34" spans="2:25" ht="15">
      <c r="B34" s="312" t="s">
        <v>424</v>
      </c>
      <c r="C34" s="313" t="s">
        <v>425</v>
      </c>
      <c r="D34" s="323">
        <f>IF(D26=0,0,((D22+D24)*((D26*(D28+D30)+D32))))</f>
        <v>0</v>
      </c>
      <c r="E34" s="323">
        <f t="shared" ref="E34:O34" si="11">IF(E26=0,0,((E22+E24)*((E26*(E28+E30)+E32))))</f>
        <v>0</v>
      </c>
      <c r="F34" s="323">
        <f t="shared" si="11"/>
        <v>0</v>
      </c>
      <c r="G34" s="323">
        <f t="shared" si="11"/>
        <v>0</v>
      </c>
      <c r="H34" s="323">
        <f t="shared" si="11"/>
        <v>0</v>
      </c>
      <c r="I34" s="323">
        <f t="shared" si="11"/>
        <v>0</v>
      </c>
      <c r="J34" s="323">
        <f t="shared" si="11"/>
        <v>0</v>
      </c>
      <c r="K34" s="323">
        <f t="shared" si="11"/>
        <v>0</v>
      </c>
      <c r="L34" s="323">
        <f t="shared" si="11"/>
        <v>0</v>
      </c>
      <c r="M34" s="323">
        <f t="shared" si="11"/>
        <v>0</v>
      </c>
      <c r="N34" s="323">
        <f t="shared" si="11"/>
        <v>0</v>
      </c>
      <c r="O34" s="323">
        <f t="shared" si="11"/>
        <v>0</v>
      </c>
      <c r="P34" s="294">
        <f t="shared" si="8"/>
        <v>0</v>
      </c>
      <c r="Q34" s="272"/>
      <c r="R34" s="30"/>
      <c r="S34" s="30"/>
      <c r="T34" s="30"/>
      <c r="U34" s="30"/>
      <c r="V34" s="30"/>
      <c r="W34" s="30"/>
      <c r="X34" s="23"/>
      <c r="Y34" s="23"/>
    </row>
    <row r="35" spans="2:25" ht="15">
      <c r="B35" s="1113" t="s">
        <v>212</v>
      </c>
      <c r="C35" s="1114"/>
      <c r="D35" s="1114"/>
      <c r="E35" s="1114"/>
      <c r="F35" s="1114"/>
      <c r="G35" s="1114"/>
      <c r="H35" s="1114"/>
      <c r="I35" s="1114"/>
      <c r="J35" s="1114"/>
      <c r="K35" s="1114"/>
      <c r="L35" s="1114"/>
      <c r="M35" s="1114"/>
      <c r="N35" s="1114"/>
      <c r="O35" s="1115"/>
      <c r="P35" s="295">
        <f t="shared" si="8"/>
        <v>0</v>
      </c>
      <c r="Q35" s="30"/>
      <c r="R35" s="30"/>
      <c r="S35" s="30"/>
      <c r="T35" s="30"/>
      <c r="U35" s="30"/>
      <c r="V35" s="30"/>
      <c r="W35" s="30"/>
      <c r="X35" s="23"/>
      <c r="Y35" s="23"/>
    </row>
    <row r="36" spans="2:25" ht="15">
      <c r="B36" s="310" t="s">
        <v>38</v>
      </c>
      <c r="C36" s="353" t="s">
        <v>415</v>
      </c>
      <c r="D36" s="321">
        <f>IF(D$5=TRUE,$B$37,0)</f>
        <v>0</v>
      </c>
      <c r="E36" s="321">
        <f t="shared" ref="E36:O36" si="12">IF(E$5=TRUE,$B$37,0)</f>
        <v>0</v>
      </c>
      <c r="F36" s="321">
        <f t="shared" si="12"/>
        <v>0</v>
      </c>
      <c r="G36" s="321">
        <f t="shared" si="12"/>
        <v>0</v>
      </c>
      <c r="H36" s="321">
        <f t="shared" si="12"/>
        <v>0</v>
      </c>
      <c r="I36" s="321">
        <f t="shared" si="12"/>
        <v>0</v>
      </c>
      <c r="J36" s="321">
        <f t="shared" si="12"/>
        <v>0</v>
      </c>
      <c r="K36" s="321">
        <f t="shared" si="12"/>
        <v>0</v>
      </c>
      <c r="L36" s="321">
        <f t="shared" si="12"/>
        <v>0</v>
      </c>
      <c r="M36" s="321">
        <f t="shared" si="12"/>
        <v>0</v>
      </c>
      <c r="N36" s="321">
        <f t="shared" si="12"/>
        <v>0</v>
      </c>
      <c r="O36" s="321">
        <f t="shared" si="12"/>
        <v>0</v>
      </c>
      <c r="P36" s="290">
        <f t="shared" si="8"/>
        <v>0</v>
      </c>
      <c r="Q36" s="30"/>
      <c r="R36" s="30"/>
      <c r="S36" s="30"/>
      <c r="T36" s="30"/>
      <c r="U36" s="30"/>
      <c r="V36" s="30"/>
      <c r="W36" s="30"/>
      <c r="X36" s="23"/>
      <c r="Y36" s="23"/>
    </row>
    <row r="37" spans="2:25" ht="15" hidden="1">
      <c r="B37" s="311">
        <v>0</v>
      </c>
      <c r="C37" s="353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291">
        <f t="shared" si="8"/>
        <v>0</v>
      </c>
      <c r="Q37" s="30"/>
      <c r="R37" s="30"/>
      <c r="S37" s="30"/>
      <c r="T37" s="30"/>
      <c r="U37" s="30"/>
      <c r="V37" s="30"/>
      <c r="W37" s="30"/>
      <c r="X37" s="23"/>
      <c r="Y37" s="23"/>
    </row>
    <row r="38" spans="2:25" ht="15">
      <c r="B38" s="310" t="s">
        <v>417</v>
      </c>
      <c r="C38" s="353" t="s">
        <v>416</v>
      </c>
      <c r="D38" s="321">
        <f>IF(D$5=TRUE,$B$39,0)</f>
        <v>0</v>
      </c>
      <c r="E38" s="321">
        <f t="shared" ref="E38:O38" si="13">IF(E$5=TRUE,$B$39,0)</f>
        <v>0</v>
      </c>
      <c r="F38" s="321">
        <f t="shared" si="13"/>
        <v>0</v>
      </c>
      <c r="G38" s="321">
        <f t="shared" si="13"/>
        <v>0</v>
      </c>
      <c r="H38" s="321">
        <f t="shared" si="13"/>
        <v>0</v>
      </c>
      <c r="I38" s="321">
        <f t="shared" si="13"/>
        <v>0</v>
      </c>
      <c r="J38" s="321">
        <f t="shared" si="13"/>
        <v>0</v>
      </c>
      <c r="K38" s="321">
        <f t="shared" si="13"/>
        <v>0</v>
      </c>
      <c r="L38" s="321">
        <f t="shared" si="13"/>
        <v>0</v>
      </c>
      <c r="M38" s="321">
        <f t="shared" si="13"/>
        <v>0</v>
      </c>
      <c r="N38" s="321">
        <f t="shared" si="13"/>
        <v>0</v>
      </c>
      <c r="O38" s="321">
        <f t="shared" si="13"/>
        <v>0</v>
      </c>
      <c r="P38" s="292">
        <f t="shared" si="8"/>
        <v>0</v>
      </c>
      <c r="Q38" s="30"/>
      <c r="R38" s="30"/>
      <c r="S38" s="30"/>
      <c r="T38" s="30"/>
      <c r="U38" s="30"/>
      <c r="V38" s="30"/>
      <c r="W38" s="30"/>
      <c r="X38" s="23"/>
      <c r="Y38" s="23"/>
    </row>
    <row r="39" spans="2:25" ht="15" hidden="1">
      <c r="B39" s="311">
        <v>0</v>
      </c>
      <c r="C39" s="353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291">
        <f t="shared" si="8"/>
        <v>0</v>
      </c>
      <c r="Q39" s="30"/>
      <c r="R39" s="30"/>
      <c r="S39" s="30"/>
      <c r="T39" s="30"/>
      <c r="U39" s="30"/>
      <c r="V39" s="30"/>
      <c r="W39" s="30"/>
      <c r="X39" s="23"/>
      <c r="Y39" s="23"/>
    </row>
    <row r="40" spans="2:25" ht="15">
      <c r="B40" s="310" t="s">
        <v>41</v>
      </c>
      <c r="C40" s="353" t="s">
        <v>418</v>
      </c>
      <c r="D40" s="321">
        <f>IF(D$5=TRUE,$B$41,0)</f>
        <v>0</v>
      </c>
      <c r="E40" s="321">
        <f t="shared" ref="E40:O40" si="14">IF(E$5=TRUE,$B$41,0)</f>
        <v>0</v>
      </c>
      <c r="F40" s="321">
        <f t="shared" si="14"/>
        <v>0</v>
      </c>
      <c r="G40" s="321">
        <f t="shared" si="14"/>
        <v>0</v>
      </c>
      <c r="H40" s="321">
        <f t="shared" si="14"/>
        <v>0</v>
      </c>
      <c r="I40" s="321">
        <f t="shared" si="14"/>
        <v>0</v>
      </c>
      <c r="J40" s="321">
        <f t="shared" si="14"/>
        <v>0</v>
      </c>
      <c r="K40" s="321">
        <f t="shared" si="14"/>
        <v>0</v>
      </c>
      <c r="L40" s="321">
        <f t="shared" si="14"/>
        <v>0</v>
      </c>
      <c r="M40" s="321">
        <f t="shared" si="14"/>
        <v>0</v>
      </c>
      <c r="N40" s="321">
        <f t="shared" si="14"/>
        <v>0</v>
      </c>
      <c r="O40" s="321">
        <f t="shared" si="14"/>
        <v>0</v>
      </c>
      <c r="P40" s="293">
        <f t="shared" si="8"/>
        <v>0</v>
      </c>
      <c r="Q40" s="30"/>
      <c r="R40" s="30"/>
      <c r="S40" s="30"/>
      <c r="T40" s="30"/>
      <c r="U40" s="30"/>
      <c r="V40" s="30"/>
      <c r="W40" s="30"/>
      <c r="X40" s="23"/>
      <c r="Y40" s="23"/>
    </row>
    <row r="41" spans="2:25" ht="15" hidden="1">
      <c r="B41" s="311">
        <v>33</v>
      </c>
      <c r="C41" s="353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295">
        <f t="shared" si="8"/>
        <v>0</v>
      </c>
      <c r="Q41" s="30"/>
      <c r="R41" s="30"/>
      <c r="S41" s="30"/>
      <c r="T41" s="30"/>
      <c r="U41" s="30"/>
      <c r="V41" s="30"/>
      <c r="W41" s="30"/>
      <c r="X41" s="23"/>
      <c r="Y41" s="23"/>
    </row>
    <row r="42" spans="2:25" ht="15">
      <c r="B42" s="310" t="s">
        <v>419</v>
      </c>
      <c r="C42" s="353" t="s">
        <v>420</v>
      </c>
      <c r="D42" s="317">
        <f>IF(D$5=TRUE,$B$43+15000,0)</f>
        <v>0</v>
      </c>
      <c r="E42" s="317">
        <f t="shared" ref="E42:O42" si="15">IF(E$5=TRUE,$B$43+15000,0)</f>
        <v>0</v>
      </c>
      <c r="F42" s="317">
        <f t="shared" si="15"/>
        <v>0</v>
      </c>
      <c r="G42" s="317">
        <f t="shared" si="15"/>
        <v>0</v>
      </c>
      <c r="H42" s="317">
        <f t="shared" si="15"/>
        <v>0</v>
      </c>
      <c r="I42" s="317">
        <f t="shared" si="15"/>
        <v>0</v>
      </c>
      <c r="J42" s="317">
        <f t="shared" si="15"/>
        <v>0</v>
      </c>
      <c r="K42" s="317">
        <f t="shared" si="15"/>
        <v>0</v>
      </c>
      <c r="L42" s="317">
        <f t="shared" si="15"/>
        <v>0</v>
      </c>
      <c r="M42" s="317">
        <f t="shared" si="15"/>
        <v>0</v>
      </c>
      <c r="N42" s="317">
        <f t="shared" si="15"/>
        <v>0</v>
      </c>
      <c r="O42" s="317">
        <f t="shared" si="15"/>
        <v>0</v>
      </c>
      <c r="P42" s="294">
        <f t="shared" si="8"/>
        <v>0</v>
      </c>
      <c r="Q42" s="30"/>
      <c r="R42" s="30"/>
      <c r="S42" s="30"/>
      <c r="T42" s="30"/>
      <c r="U42" s="30"/>
      <c r="V42" s="30"/>
      <c r="W42" s="30"/>
      <c r="X42" s="23"/>
      <c r="Y42" s="23"/>
    </row>
    <row r="43" spans="2:25" ht="15" hidden="1">
      <c r="B43" s="311">
        <v>10000</v>
      </c>
      <c r="C43" s="353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294">
        <f t="shared" si="8"/>
        <v>0</v>
      </c>
      <c r="Q43" s="30"/>
      <c r="R43" s="30"/>
      <c r="S43" s="30"/>
      <c r="T43" s="30"/>
      <c r="U43" s="30"/>
      <c r="V43" s="30"/>
      <c r="W43" s="30"/>
      <c r="X43" s="23"/>
      <c r="Y43" s="23"/>
    </row>
    <row r="44" spans="2:25" ht="15">
      <c r="B44" s="310" t="s">
        <v>421</v>
      </c>
      <c r="C44" s="353" t="s">
        <v>978</v>
      </c>
      <c r="D44" s="317">
        <f>IF(D$5=TRUE,$B$45+30000,0)</f>
        <v>0</v>
      </c>
      <c r="E44" s="317">
        <f t="shared" ref="E44:O44" si="16">IF(E$5=TRUE,$B$45+30000,0)</f>
        <v>0</v>
      </c>
      <c r="F44" s="317">
        <f t="shared" si="16"/>
        <v>0</v>
      </c>
      <c r="G44" s="317">
        <f t="shared" si="16"/>
        <v>0</v>
      </c>
      <c r="H44" s="317">
        <f t="shared" si="16"/>
        <v>0</v>
      </c>
      <c r="I44" s="317">
        <f t="shared" si="16"/>
        <v>0</v>
      </c>
      <c r="J44" s="317">
        <f t="shared" si="16"/>
        <v>0</v>
      </c>
      <c r="K44" s="317">
        <f t="shared" si="16"/>
        <v>0</v>
      </c>
      <c r="L44" s="317">
        <f t="shared" si="16"/>
        <v>0</v>
      </c>
      <c r="M44" s="317">
        <f t="shared" si="16"/>
        <v>0</v>
      </c>
      <c r="N44" s="317">
        <f t="shared" si="16"/>
        <v>0</v>
      </c>
      <c r="O44" s="317">
        <f t="shared" si="16"/>
        <v>0</v>
      </c>
      <c r="P44" s="294">
        <f t="shared" si="8"/>
        <v>0</v>
      </c>
      <c r="Q44" s="30"/>
      <c r="R44" s="30"/>
      <c r="S44" s="30"/>
      <c r="T44" s="30"/>
      <c r="U44" s="30"/>
      <c r="V44" s="30"/>
      <c r="W44" s="30"/>
      <c r="X44" s="23"/>
      <c r="Y44" s="23"/>
    </row>
    <row r="45" spans="2:25" ht="15" hidden="1">
      <c r="B45" s="311">
        <v>6000</v>
      </c>
      <c r="C45" s="353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294">
        <f t="shared" si="8"/>
        <v>0</v>
      </c>
      <c r="Q45" s="30"/>
      <c r="R45" s="30"/>
      <c r="S45" s="30"/>
      <c r="T45" s="30"/>
      <c r="U45" s="30"/>
      <c r="V45" s="30"/>
      <c r="W45" s="30"/>
      <c r="X45" s="23"/>
      <c r="Y45" s="23"/>
    </row>
    <row r="46" spans="2:25" ht="15">
      <c r="B46" s="310" t="s">
        <v>423</v>
      </c>
      <c r="C46" s="353" t="s">
        <v>422</v>
      </c>
      <c r="D46" s="317">
        <f>IF(D$5=TRUE,$B$47*1000,0)</f>
        <v>0</v>
      </c>
      <c r="E46" s="317">
        <f t="shared" ref="E46:O46" si="17">IF(E$5=TRUE,$B$47*1000,0)</f>
        <v>0</v>
      </c>
      <c r="F46" s="317">
        <f t="shared" si="17"/>
        <v>0</v>
      </c>
      <c r="G46" s="317">
        <f t="shared" si="17"/>
        <v>0</v>
      </c>
      <c r="H46" s="317">
        <f t="shared" si="17"/>
        <v>0</v>
      </c>
      <c r="I46" s="317">
        <f t="shared" si="17"/>
        <v>0</v>
      </c>
      <c r="J46" s="317">
        <f t="shared" si="17"/>
        <v>0</v>
      </c>
      <c r="K46" s="317">
        <f t="shared" si="17"/>
        <v>0</v>
      </c>
      <c r="L46" s="317">
        <f t="shared" si="17"/>
        <v>0</v>
      </c>
      <c r="M46" s="317">
        <f t="shared" si="17"/>
        <v>0</v>
      </c>
      <c r="N46" s="317">
        <f t="shared" si="17"/>
        <v>0</v>
      </c>
      <c r="O46" s="317">
        <f t="shared" si="17"/>
        <v>0</v>
      </c>
      <c r="P46" s="294">
        <f t="shared" si="8"/>
        <v>0</v>
      </c>
      <c r="Q46" s="30"/>
      <c r="R46" s="30"/>
      <c r="S46" s="30"/>
      <c r="T46" s="30"/>
      <c r="U46" s="30"/>
      <c r="V46" s="30"/>
      <c r="W46" s="30"/>
      <c r="X46" s="23"/>
      <c r="Y46" s="23"/>
    </row>
    <row r="47" spans="2:25" ht="15" hidden="1">
      <c r="B47" s="311">
        <v>200</v>
      </c>
      <c r="C47" s="314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96"/>
      <c r="Q47" s="30"/>
      <c r="R47" s="30"/>
      <c r="S47" s="30"/>
      <c r="T47" s="30"/>
      <c r="U47" s="30"/>
      <c r="V47" s="30"/>
      <c r="W47" s="30"/>
      <c r="X47" s="23"/>
      <c r="Y47" s="23"/>
    </row>
    <row r="48" spans="2:25" ht="15.75" thickBot="1">
      <c r="B48" s="315" t="s">
        <v>424</v>
      </c>
      <c r="C48" s="316" t="s">
        <v>427</v>
      </c>
      <c r="D48" s="324">
        <f>IF(D40=0,0,(D36+D38)*((D40*(D42+D44)+D46)))</f>
        <v>0</v>
      </c>
      <c r="E48" s="324">
        <f t="shared" ref="E48:O48" si="18">IF(E40=0,0,(E36+E38)*((E40*(E42+E44)+E46)))</f>
        <v>0</v>
      </c>
      <c r="F48" s="324">
        <f t="shared" si="18"/>
        <v>0</v>
      </c>
      <c r="G48" s="324">
        <f t="shared" si="18"/>
        <v>0</v>
      </c>
      <c r="H48" s="324">
        <f t="shared" si="18"/>
        <v>0</v>
      </c>
      <c r="I48" s="324">
        <f t="shared" si="18"/>
        <v>0</v>
      </c>
      <c r="J48" s="324">
        <f t="shared" si="18"/>
        <v>0</v>
      </c>
      <c r="K48" s="324">
        <f t="shared" si="18"/>
        <v>0</v>
      </c>
      <c r="L48" s="324">
        <f t="shared" si="18"/>
        <v>0</v>
      </c>
      <c r="M48" s="324">
        <f t="shared" si="18"/>
        <v>0</v>
      </c>
      <c r="N48" s="324">
        <f t="shared" si="18"/>
        <v>0</v>
      </c>
      <c r="O48" s="324">
        <f t="shared" si="18"/>
        <v>0</v>
      </c>
      <c r="P48" s="296">
        <f>SUM(D48:O48)</f>
        <v>0</v>
      </c>
      <c r="Q48" s="30"/>
      <c r="R48" s="30"/>
      <c r="S48" s="30"/>
      <c r="T48" s="30"/>
      <c r="U48" s="30"/>
      <c r="V48" s="30"/>
      <c r="W48" s="30"/>
      <c r="X48" s="23"/>
      <c r="Y48" s="23"/>
    </row>
    <row r="49" spans="2:25" ht="15.75" thickBot="1">
      <c r="B49" s="303" t="s">
        <v>426</v>
      </c>
      <c r="C49" s="304"/>
      <c r="D49" s="325">
        <f t="shared" ref="D49:O49" si="19">D48+D34</f>
        <v>0</v>
      </c>
      <c r="E49" s="325">
        <f t="shared" si="19"/>
        <v>0</v>
      </c>
      <c r="F49" s="325">
        <f t="shared" si="19"/>
        <v>0</v>
      </c>
      <c r="G49" s="325">
        <f t="shared" si="19"/>
        <v>0</v>
      </c>
      <c r="H49" s="325">
        <f t="shared" si="19"/>
        <v>0</v>
      </c>
      <c r="I49" s="325">
        <f t="shared" si="19"/>
        <v>0</v>
      </c>
      <c r="J49" s="325">
        <f t="shared" si="19"/>
        <v>0</v>
      </c>
      <c r="K49" s="325">
        <f t="shared" si="19"/>
        <v>0</v>
      </c>
      <c r="L49" s="325">
        <f t="shared" si="19"/>
        <v>0</v>
      </c>
      <c r="M49" s="325">
        <f t="shared" si="19"/>
        <v>0</v>
      </c>
      <c r="N49" s="325">
        <f t="shared" si="19"/>
        <v>0</v>
      </c>
      <c r="O49" s="325">
        <f t="shared" si="19"/>
        <v>0</v>
      </c>
      <c r="P49" s="297">
        <f>SUM(D49:O49)</f>
        <v>0</v>
      </c>
      <c r="Q49" s="30"/>
      <c r="R49" s="30"/>
      <c r="S49" s="30"/>
      <c r="T49" s="30"/>
      <c r="U49" s="30"/>
      <c r="V49" s="30"/>
      <c r="W49" s="30"/>
      <c r="X49" s="23"/>
      <c r="Y49" s="23"/>
    </row>
    <row r="50" spans="2:25" ht="15" hidden="1">
      <c r="B50" s="28"/>
      <c r="C50" s="24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30"/>
      <c r="R50" s="30"/>
      <c r="S50" s="30"/>
      <c r="T50" s="30"/>
      <c r="U50" s="30"/>
      <c r="V50" s="30"/>
      <c r="W50" s="30"/>
      <c r="X50" s="23"/>
      <c r="Y50" s="23"/>
    </row>
    <row r="51" spans="2:25" ht="15" hidden="1">
      <c r="B51" s="24"/>
      <c r="C51" s="13" t="s">
        <v>794</v>
      </c>
      <c r="D51" s="229">
        <f>D34</f>
        <v>0</v>
      </c>
      <c r="E51" s="229">
        <f t="shared" ref="E51:O51" si="20">E34</f>
        <v>0</v>
      </c>
      <c r="F51" s="229">
        <f t="shared" si="20"/>
        <v>0</v>
      </c>
      <c r="G51" s="229">
        <f t="shared" si="20"/>
        <v>0</v>
      </c>
      <c r="H51" s="229">
        <f t="shared" si="20"/>
        <v>0</v>
      </c>
      <c r="I51" s="229">
        <f t="shared" si="20"/>
        <v>0</v>
      </c>
      <c r="J51" s="229">
        <f t="shared" si="20"/>
        <v>0</v>
      </c>
      <c r="K51" s="229">
        <f t="shared" si="20"/>
        <v>0</v>
      </c>
      <c r="L51" s="229">
        <f t="shared" si="20"/>
        <v>0</v>
      </c>
      <c r="M51" s="229">
        <f t="shared" si="20"/>
        <v>0</v>
      </c>
      <c r="N51" s="229">
        <f t="shared" si="20"/>
        <v>0</v>
      </c>
      <c r="O51" s="229">
        <f t="shared" si="20"/>
        <v>0</v>
      </c>
      <c r="P51" s="47"/>
      <c r="Q51" s="30"/>
      <c r="R51" s="30"/>
      <c r="S51" s="30"/>
      <c r="T51" s="30"/>
      <c r="U51" s="30"/>
      <c r="V51" s="30"/>
      <c r="W51" s="30"/>
      <c r="X51" s="23"/>
      <c r="Y51" s="23"/>
    </row>
    <row r="52" spans="2:25" ht="15" hidden="1">
      <c r="B52" s="24"/>
      <c r="C52" s="13" t="s">
        <v>796</v>
      </c>
      <c r="D52" s="229">
        <f>D48</f>
        <v>0</v>
      </c>
      <c r="E52" s="229">
        <f t="shared" ref="E52:O52" si="21">E48</f>
        <v>0</v>
      </c>
      <c r="F52" s="229">
        <f t="shared" si="21"/>
        <v>0</v>
      </c>
      <c r="G52" s="229">
        <f t="shared" si="21"/>
        <v>0</v>
      </c>
      <c r="H52" s="229">
        <f t="shared" si="21"/>
        <v>0</v>
      </c>
      <c r="I52" s="229">
        <f t="shared" si="21"/>
        <v>0</v>
      </c>
      <c r="J52" s="229">
        <f t="shared" si="21"/>
        <v>0</v>
      </c>
      <c r="K52" s="229">
        <f t="shared" si="21"/>
        <v>0</v>
      </c>
      <c r="L52" s="229">
        <f t="shared" si="21"/>
        <v>0</v>
      </c>
      <c r="M52" s="229">
        <f t="shared" si="21"/>
        <v>0</v>
      </c>
      <c r="N52" s="229">
        <f t="shared" si="21"/>
        <v>0</v>
      </c>
      <c r="O52" s="229">
        <f t="shared" si="21"/>
        <v>0</v>
      </c>
      <c r="P52" s="47"/>
      <c r="Q52" s="30"/>
      <c r="R52" s="30"/>
      <c r="S52" s="30"/>
      <c r="T52" s="30"/>
      <c r="U52" s="30"/>
      <c r="V52" s="30"/>
      <c r="W52" s="30"/>
      <c r="X52" s="23"/>
      <c r="Y52" s="23"/>
    </row>
    <row r="53" spans="2:25" ht="15.75" thickBot="1">
      <c r="B53" s="28"/>
      <c r="C53" s="24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/>
      <c r="R53" s="30"/>
      <c r="S53" s="30"/>
      <c r="T53" s="30"/>
      <c r="U53" s="30"/>
      <c r="V53" s="30"/>
      <c r="W53" s="30"/>
      <c r="X53" s="23"/>
      <c r="Y53" s="23"/>
    </row>
    <row r="54" spans="2:25" ht="15.75" thickTop="1">
      <c r="B54" s="1116" t="s">
        <v>770</v>
      </c>
      <c r="C54" s="1117"/>
      <c r="D54" s="1117"/>
      <c r="E54" s="1117"/>
      <c r="F54" s="1117"/>
      <c r="G54" s="1117"/>
      <c r="H54" s="1117"/>
      <c r="I54" s="1117"/>
      <c r="J54" s="1117"/>
      <c r="K54" s="1117"/>
      <c r="L54" s="1117"/>
      <c r="M54" s="1117"/>
      <c r="N54" s="1117"/>
      <c r="O54" s="1118"/>
      <c r="P54" s="288" t="s">
        <v>205</v>
      </c>
      <c r="Q54" s="30"/>
      <c r="R54" s="30"/>
      <c r="S54" s="30"/>
      <c r="T54" s="30"/>
      <c r="U54" s="30"/>
      <c r="V54" s="30"/>
      <c r="W54" s="30"/>
      <c r="X54" s="23"/>
      <c r="Y54" s="23"/>
    </row>
    <row r="55" spans="2:25" ht="15">
      <c r="B55" s="1103" t="s">
        <v>922</v>
      </c>
      <c r="C55" s="1104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8"/>
      <c r="P55" s="294">
        <f>SUM(D55:O55)</f>
        <v>0</v>
      </c>
      <c r="Q55" s="30"/>
      <c r="R55" s="30"/>
      <c r="S55" s="30"/>
      <c r="T55" s="30"/>
      <c r="U55" s="30"/>
      <c r="V55" s="30"/>
      <c r="W55" s="30"/>
      <c r="X55" s="23"/>
      <c r="Y55" s="23"/>
    </row>
    <row r="56" spans="2:25" ht="15">
      <c r="B56" s="1103" t="s">
        <v>228</v>
      </c>
      <c r="C56" s="1104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8"/>
      <c r="P56" s="294">
        <f t="shared" ref="P56:P61" si="22">SUM(D56:O56)</f>
        <v>0</v>
      </c>
      <c r="Q56" s="30"/>
      <c r="R56" s="30"/>
      <c r="S56" s="30"/>
      <c r="T56" s="30"/>
      <c r="U56" s="30"/>
      <c r="V56" s="30"/>
      <c r="W56" s="30"/>
      <c r="X56" s="23"/>
      <c r="Y56" s="23"/>
    </row>
    <row r="57" spans="2:25" ht="15">
      <c r="B57" s="1103" t="s">
        <v>229</v>
      </c>
      <c r="C57" s="1104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8"/>
      <c r="P57" s="294">
        <f t="shared" si="22"/>
        <v>0</v>
      </c>
      <c r="Q57" s="30"/>
      <c r="R57" s="30"/>
      <c r="S57" s="30"/>
      <c r="T57" s="30"/>
      <c r="U57" s="30"/>
      <c r="V57" s="30"/>
      <c r="W57" s="30"/>
      <c r="X57" s="23"/>
      <c r="Y57" s="23"/>
    </row>
    <row r="58" spans="2:25" ht="15">
      <c r="B58" s="1103" t="s">
        <v>230</v>
      </c>
      <c r="C58" s="1104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8"/>
      <c r="P58" s="294">
        <f t="shared" si="22"/>
        <v>0</v>
      </c>
      <c r="Q58" s="30"/>
      <c r="R58" s="30"/>
      <c r="S58" s="30"/>
      <c r="T58" s="30"/>
      <c r="U58" s="30"/>
      <c r="V58" s="30"/>
      <c r="W58" s="30"/>
      <c r="X58" s="23"/>
      <c r="Y58" s="23"/>
    </row>
    <row r="59" spans="2:25" ht="15">
      <c r="B59" s="1103"/>
      <c r="C59" s="1104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8"/>
      <c r="P59" s="294">
        <f t="shared" si="22"/>
        <v>0</v>
      </c>
      <c r="Q59" s="30"/>
      <c r="R59" s="30"/>
      <c r="S59" s="30"/>
      <c r="T59" s="30"/>
      <c r="U59" s="30"/>
      <c r="V59" s="30"/>
      <c r="W59" s="30"/>
      <c r="X59" s="23"/>
      <c r="Y59" s="23"/>
    </row>
    <row r="60" spans="2:25" ht="15">
      <c r="B60" s="1103"/>
      <c r="C60" s="1104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8"/>
      <c r="P60" s="294">
        <f t="shared" si="22"/>
        <v>0</v>
      </c>
      <c r="Q60" s="30"/>
      <c r="R60" s="30"/>
      <c r="S60" s="30"/>
      <c r="T60" s="30"/>
      <c r="U60" s="30"/>
      <c r="V60" s="30"/>
      <c r="W60" s="30"/>
      <c r="X60" s="23"/>
      <c r="Y60" s="23"/>
    </row>
    <row r="61" spans="2:25" ht="15">
      <c r="B61" s="1103"/>
      <c r="C61" s="1104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8"/>
      <c r="P61" s="294">
        <f t="shared" si="22"/>
        <v>0</v>
      </c>
      <c r="Q61" s="30"/>
      <c r="R61" s="30"/>
      <c r="S61" s="30"/>
      <c r="T61" s="30"/>
      <c r="U61" s="30"/>
      <c r="V61" s="30"/>
      <c r="W61" s="30"/>
      <c r="X61" s="23"/>
      <c r="Y61" s="23"/>
    </row>
    <row r="62" spans="2:25" ht="15.75" thickBot="1">
      <c r="B62" s="1109"/>
      <c r="C62" s="1110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10"/>
      <c r="P62" s="294">
        <f>SUM(D62:O62)</f>
        <v>0</v>
      </c>
      <c r="Q62" s="30"/>
      <c r="R62" s="30"/>
      <c r="S62" s="30"/>
      <c r="T62" s="30"/>
      <c r="U62" s="30"/>
      <c r="V62" s="30"/>
      <c r="W62" s="30"/>
      <c r="X62" s="23"/>
      <c r="Y62" s="23"/>
    </row>
    <row r="63" spans="2:25" ht="15.75" thickBot="1">
      <c r="B63" s="1111" t="s">
        <v>216</v>
      </c>
      <c r="C63" s="1112"/>
      <c r="D63" s="328">
        <f t="shared" ref="D63:O63" si="23">SUM(D55:D62)</f>
        <v>0</v>
      </c>
      <c r="E63" s="328">
        <f t="shared" si="23"/>
        <v>0</v>
      </c>
      <c r="F63" s="328">
        <f t="shared" si="23"/>
        <v>0</v>
      </c>
      <c r="G63" s="328">
        <f t="shared" si="23"/>
        <v>0</v>
      </c>
      <c r="H63" s="328">
        <f t="shared" si="23"/>
        <v>0</v>
      </c>
      <c r="I63" s="328">
        <f t="shared" si="23"/>
        <v>0</v>
      </c>
      <c r="J63" s="328">
        <f t="shared" si="23"/>
        <v>0</v>
      </c>
      <c r="K63" s="328">
        <f t="shared" si="23"/>
        <v>0</v>
      </c>
      <c r="L63" s="328">
        <f t="shared" si="23"/>
        <v>0</v>
      </c>
      <c r="M63" s="328">
        <f t="shared" si="23"/>
        <v>0</v>
      </c>
      <c r="N63" s="328">
        <f t="shared" si="23"/>
        <v>0</v>
      </c>
      <c r="O63" s="329">
        <f t="shared" si="23"/>
        <v>0</v>
      </c>
      <c r="P63" s="298">
        <f>SUM(D63:O63)</f>
        <v>0</v>
      </c>
      <c r="Q63" s="30"/>
      <c r="R63" s="30"/>
      <c r="S63" s="30"/>
      <c r="T63" s="30"/>
      <c r="U63" s="30"/>
      <c r="V63" s="30"/>
      <c r="W63" s="30"/>
      <c r="X63" s="23"/>
      <c r="Y63" s="23"/>
    </row>
    <row r="64" spans="2:25" ht="15.75" thickBot="1">
      <c r="B64" s="28"/>
      <c r="C64" s="24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30"/>
      <c r="R64" s="30"/>
      <c r="S64" s="30"/>
      <c r="T64" s="30"/>
      <c r="U64" s="30"/>
      <c r="V64" s="30"/>
      <c r="W64" s="30"/>
      <c r="X64" s="23"/>
      <c r="Y64" s="23"/>
    </row>
    <row r="65" spans="2:25" ht="15.75" thickTop="1">
      <c r="B65" s="1105" t="s">
        <v>162</v>
      </c>
      <c r="C65" s="1106"/>
      <c r="D65" s="1106"/>
      <c r="E65" s="1106"/>
      <c r="F65" s="1106"/>
      <c r="G65" s="1106"/>
      <c r="H65" s="1106"/>
      <c r="I65" s="1106"/>
      <c r="J65" s="1106"/>
      <c r="K65" s="1106"/>
      <c r="L65" s="1106"/>
      <c r="M65" s="1106"/>
      <c r="N65" s="1106"/>
      <c r="O65" s="1106"/>
      <c r="P65" s="288" t="s">
        <v>205</v>
      </c>
      <c r="Q65" s="30"/>
      <c r="R65" s="30"/>
      <c r="S65" s="30"/>
      <c r="T65" s="30"/>
      <c r="U65" s="30"/>
      <c r="V65" s="30"/>
      <c r="W65" s="30"/>
      <c r="X65" s="23"/>
      <c r="Y65" s="23"/>
    </row>
    <row r="66" spans="2:25" ht="15">
      <c r="B66" s="352">
        <f>IF(ISBLANK(C66),"",INDEX(List!$AP$2:$AP$3,MATCH($C66,List!$AO$2:$AO$3,0)))</f>
        <v>45</v>
      </c>
      <c r="C66" s="300" t="s">
        <v>757</v>
      </c>
      <c r="D66" s="317" t="str">
        <f>IF(D67=FALSE,"",B66/P67*100000)</f>
        <v/>
      </c>
      <c r="E66" s="317" t="str">
        <f>IF(E67=FALSE,"",B66/P67*100000)</f>
        <v/>
      </c>
      <c r="F66" s="317" t="str">
        <f>IF(F67=FALSE,"",B66/P67*100000)</f>
        <v/>
      </c>
      <c r="G66" s="317" t="str">
        <f>IF(G67=FALSE,"",B66/P67*100000)</f>
        <v/>
      </c>
      <c r="H66" s="317" t="str">
        <f>IF(H67=FALSE,"",B66/P67*100000)</f>
        <v/>
      </c>
      <c r="I66" s="317" t="str">
        <f>IF(I67=FALSE,"",B66/P67*100000)</f>
        <v/>
      </c>
      <c r="J66" s="317" t="str">
        <f>IF(J67=FALSE,"",B66/P67*100000)</f>
        <v/>
      </c>
      <c r="K66" s="317" t="str">
        <f>IF(K67=FALSE,"",B66/P67*100000)</f>
        <v/>
      </c>
      <c r="L66" s="317" t="str">
        <f>IF(L67=FALSE,"",B66/P67*100000)</f>
        <v/>
      </c>
      <c r="M66" s="317" t="str">
        <f>IF(M67=FALSE,"",B66/P67*100000)</f>
        <v/>
      </c>
      <c r="N66" s="317" t="str">
        <f>IF(N67=FALSE,"",B66/P67*100000)</f>
        <v/>
      </c>
      <c r="O66" s="318" t="str">
        <f>IF(O67=FALSE,"",B66/P67*100000)</f>
        <v/>
      </c>
      <c r="P66" s="294">
        <f>SUM(D66:O66)</f>
        <v>0</v>
      </c>
      <c r="Q66" s="30"/>
      <c r="R66" s="30"/>
      <c r="S66" s="30"/>
      <c r="T66" s="30"/>
      <c r="U66" s="30"/>
      <c r="V66" s="30"/>
      <c r="W66" s="30"/>
      <c r="X66" s="23"/>
      <c r="Y66" s="23"/>
    </row>
    <row r="67" spans="2:25" ht="15" hidden="1">
      <c r="B67" s="1107" t="str">
        <f>IF(ISBLANK(C67),"",INDEX(List!$AP$2:$AP$3,MATCH($C67,List!$AO$2:$AO$3,0)))</f>
        <v/>
      </c>
      <c r="C67" s="1108"/>
      <c r="D67" s="319" t="b">
        <v>0</v>
      </c>
      <c r="E67" s="319" t="b">
        <v>0</v>
      </c>
      <c r="F67" s="319" t="b">
        <v>0</v>
      </c>
      <c r="G67" s="319" t="b">
        <v>0</v>
      </c>
      <c r="H67" s="319" t="b">
        <v>0</v>
      </c>
      <c r="I67" s="319" t="b">
        <v>0</v>
      </c>
      <c r="J67" s="319" t="b">
        <v>0</v>
      </c>
      <c r="K67" s="319" t="b">
        <v>0</v>
      </c>
      <c r="L67" s="319" t="b">
        <v>0</v>
      </c>
      <c r="M67" s="319" t="b">
        <v>0</v>
      </c>
      <c r="N67" s="319" t="b">
        <v>0</v>
      </c>
      <c r="O67" s="320" t="b">
        <v>0</v>
      </c>
      <c r="P67" s="294">
        <f>COUNTIF(D67:O67,TRUE)</f>
        <v>0</v>
      </c>
      <c r="Q67" s="30"/>
      <c r="R67" s="30"/>
      <c r="S67" s="30"/>
      <c r="T67" s="30"/>
      <c r="U67" s="30"/>
      <c r="V67" s="30"/>
      <c r="W67" s="30"/>
      <c r="X67" s="23"/>
      <c r="Y67" s="23"/>
    </row>
    <row r="68" spans="2:25" ht="15">
      <c r="B68" s="352" t="str">
        <f>IF(ISBLANK(C68),"",INDEX(List!$AP$2:$AP$3,MATCH($C68,List!$AO$2:$AO$3,0)))</f>
        <v/>
      </c>
      <c r="C68" s="300"/>
      <c r="D68" s="317" t="str">
        <f>IF(D69=FALSE,"",B68/P69*100000)</f>
        <v/>
      </c>
      <c r="E68" s="317" t="str">
        <f>IF(E69=FALSE,"",B68/P69*100000)</f>
        <v/>
      </c>
      <c r="F68" s="317" t="str">
        <f>IF(F69=FALSE,"",B68/P69*100000)</f>
        <v/>
      </c>
      <c r="G68" s="317" t="str">
        <f>IF(G69=FALSE,"",B68/P69*100000)</f>
        <v/>
      </c>
      <c r="H68" s="317" t="str">
        <f>IF(H69=FALSE,"",B68/P69*100000)</f>
        <v/>
      </c>
      <c r="I68" s="317" t="str">
        <f>IF(I69=FALSE,"",B68/P69*100000)</f>
        <v/>
      </c>
      <c r="J68" s="317" t="str">
        <f>IF(J69=FALSE,"",B68/P69*100000)</f>
        <v/>
      </c>
      <c r="K68" s="317" t="str">
        <f>IF(K69=FALSE,"",B68/P69*100000)</f>
        <v/>
      </c>
      <c r="L68" s="317" t="str">
        <f>IF(L69=FALSE,"",B68/P69*100000)</f>
        <v/>
      </c>
      <c r="M68" s="317" t="str">
        <f>IF(M69=FALSE,"",B68/P69*100000)</f>
        <v/>
      </c>
      <c r="N68" s="317" t="str">
        <f>IF(N69=FALSE,"",B68/P69*100000)</f>
        <v/>
      </c>
      <c r="O68" s="318" t="str">
        <f>IF(O69=FALSE,"",B68/P69*100000)</f>
        <v/>
      </c>
      <c r="P68" s="294">
        <f>SUM(D68:O68)</f>
        <v>0</v>
      </c>
      <c r="Q68" s="30"/>
      <c r="R68" s="30"/>
      <c r="S68" s="30"/>
      <c r="T68" s="30"/>
      <c r="U68" s="30"/>
      <c r="V68" s="30"/>
      <c r="W68" s="30"/>
      <c r="X68" s="23"/>
      <c r="Y68" s="23"/>
    </row>
    <row r="69" spans="2:25" ht="15" hidden="1">
      <c r="B69" s="352">
        <f>IF(ISBLANK(C69),"",INDEX(List!$AP$2:$AP$3,MATCH($C69,List!$AO$2:$AO$3,0)))</f>
        <v>51</v>
      </c>
      <c r="C69" s="300" t="s">
        <v>756</v>
      </c>
      <c r="D69" s="319" t="b">
        <v>0</v>
      </c>
      <c r="E69" s="319" t="b">
        <v>0</v>
      </c>
      <c r="F69" s="319" t="b">
        <v>0</v>
      </c>
      <c r="G69" s="319" t="b">
        <v>0</v>
      </c>
      <c r="H69" s="319" t="b">
        <v>0</v>
      </c>
      <c r="I69" s="319" t="b">
        <v>0</v>
      </c>
      <c r="J69" s="319" t="b">
        <v>0</v>
      </c>
      <c r="K69" s="319" t="b">
        <v>0</v>
      </c>
      <c r="L69" s="319" t="b">
        <v>0</v>
      </c>
      <c r="M69" s="319" t="b">
        <v>0</v>
      </c>
      <c r="N69" s="319" t="b">
        <v>0</v>
      </c>
      <c r="O69" s="320" t="b">
        <v>0</v>
      </c>
      <c r="P69" s="294">
        <f>COUNTIF(D69:O69,TRUE)</f>
        <v>0</v>
      </c>
      <c r="Q69" s="30"/>
      <c r="R69" s="30"/>
      <c r="S69" s="30"/>
      <c r="T69" s="30"/>
      <c r="U69" s="30"/>
      <c r="V69" s="30"/>
      <c r="W69" s="30"/>
      <c r="X69" s="23"/>
      <c r="Y69" s="23"/>
    </row>
    <row r="70" spans="2:25" ht="15.75" thickBot="1">
      <c r="B70" s="352" t="str">
        <f>IF(ISBLANK(C70),"",INDEX(List!$AP$2:$AP$3,MATCH($C70,List!$AO$2:$AO$3,0)))</f>
        <v/>
      </c>
      <c r="C70" s="300"/>
      <c r="D70" s="317" t="str">
        <f>IF(D71=FALSE,"",B70/P71*100000)</f>
        <v/>
      </c>
      <c r="E70" s="317" t="str">
        <f>IF(E71=FALSE,"",B70/P71*100000)</f>
        <v/>
      </c>
      <c r="F70" s="317" t="str">
        <f>IF(F71=FALSE,"",B70/P71*100000)</f>
        <v/>
      </c>
      <c r="G70" s="317" t="str">
        <f>IF(G71=FALSE,"",B70/P71*100000)</f>
        <v/>
      </c>
      <c r="H70" s="317" t="str">
        <f>IF(H71=FALSE,"",B70/P71*100000)</f>
        <v/>
      </c>
      <c r="I70" s="317" t="str">
        <f>IF(I71=FALSE,"",B70/P71*100000)</f>
        <v/>
      </c>
      <c r="J70" s="317" t="str">
        <f>IF(J71=FALSE,"",B70/P71*100000)</f>
        <v/>
      </c>
      <c r="K70" s="317" t="str">
        <f>IF(K71=FALSE,"",B70/P71*100000)</f>
        <v/>
      </c>
      <c r="L70" s="317" t="str">
        <f>IF(L71=FALSE,"",B70/P71*100000)</f>
        <v/>
      </c>
      <c r="M70" s="317" t="str">
        <f>IF(M71=FALSE,"",B70/P71*100000)</f>
        <v/>
      </c>
      <c r="N70" s="317" t="str">
        <f>IF(N71=FALSE,"",B70/P71*100000)</f>
        <v/>
      </c>
      <c r="O70" s="318" t="str">
        <f>IF(O71=FALSE,"",B70/P71*100000)</f>
        <v/>
      </c>
      <c r="P70" s="294">
        <f>SUM(D70:O70)</f>
        <v>0</v>
      </c>
      <c r="Q70" s="30"/>
      <c r="R70" s="30"/>
      <c r="S70" s="30"/>
      <c r="T70" s="30"/>
      <c r="U70" s="30"/>
      <c r="V70" s="30"/>
      <c r="W70" s="30"/>
      <c r="X70" s="23"/>
      <c r="Y70" s="23"/>
    </row>
    <row r="71" spans="2:25" ht="15.75" hidden="1" thickBot="1">
      <c r="B71" s="301"/>
      <c r="C71" s="302"/>
      <c r="D71" s="284" t="b">
        <v>0</v>
      </c>
      <c r="E71" s="284" t="b">
        <v>0</v>
      </c>
      <c r="F71" s="284" t="b">
        <v>0</v>
      </c>
      <c r="G71" s="284" t="b">
        <v>0</v>
      </c>
      <c r="H71" s="284" t="b">
        <v>0</v>
      </c>
      <c r="I71" s="284" t="b">
        <v>0</v>
      </c>
      <c r="J71" s="284" t="b">
        <v>0</v>
      </c>
      <c r="K71" s="284" t="b">
        <v>0</v>
      </c>
      <c r="L71" s="284" t="b">
        <v>0</v>
      </c>
      <c r="M71" s="284" t="b">
        <v>0</v>
      </c>
      <c r="N71" s="284" t="b">
        <v>0</v>
      </c>
      <c r="O71" s="285" t="b">
        <v>0</v>
      </c>
      <c r="P71" s="294">
        <f>COUNTIF(D71:O71,TRUE)</f>
        <v>0</v>
      </c>
      <c r="Q71" s="30"/>
      <c r="R71" s="30"/>
      <c r="S71" s="30"/>
      <c r="T71" s="30"/>
      <c r="U71" s="30"/>
      <c r="V71" s="30"/>
      <c r="W71" s="30"/>
      <c r="X71" s="23"/>
      <c r="Y71" s="23"/>
    </row>
    <row r="72" spans="2:25" ht="15.75" thickBot="1">
      <c r="B72" s="303" t="s">
        <v>216</v>
      </c>
      <c r="C72" s="304"/>
      <c r="D72" s="325">
        <f t="shared" ref="D72:O72" si="24">SUM(D66:D71)</f>
        <v>0</v>
      </c>
      <c r="E72" s="325">
        <f t="shared" si="24"/>
        <v>0</v>
      </c>
      <c r="F72" s="325">
        <f t="shared" si="24"/>
        <v>0</v>
      </c>
      <c r="G72" s="325">
        <f t="shared" si="24"/>
        <v>0</v>
      </c>
      <c r="H72" s="325">
        <f t="shared" si="24"/>
        <v>0</v>
      </c>
      <c r="I72" s="325">
        <f t="shared" si="24"/>
        <v>0</v>
      </c>
      <c r="J72" s="325">
        <f t="shared" si="24"/>
        <v>0</v>
      </c>
      <c r="K72" s="325">
        <f t="shared" si="24"/>
        <v>0</v>
      </c>
      <c r="L72" s="325">
        <f t="shared" si="24"/>
        <v>0</v>
      </c>
      <c r="M72" s="325">
        <f t="shared" si="24"/>
        <v>0</v>
      </c>
      <c r="N72" s="325">
        <f t="shared" si="24"/>
        <v>0</v>
      </c>
      <c r="O72" s="330">
        <f t="shared" si="24"/>
        <v>0</v>
      </c>
      <c r="P72" s="298">
        <f>SUM(D72:O72)</f>
        <v>0</v>
      </c>
      <c r="Q72" s="30"/>
      <c r="R72" s="30"/>
      <c r="S72" s="30"/>
      <c r="T72" s="30"/>
      <c r="U72" s="30"/>
      <c r="V72" s="30"/>
      <c r="W72" s="30"/>
      <c r="X72" s="23"/>
      <c r="Y72" s="23"/>
    </row>
    <row r="73" spans="2:25" s="276" customFormat="1"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</row>
    <row r="74" spans="2:25" s="276" customFormat="1"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</row>
    <row r="75" spans="2:25" s="276" customFormat="1"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</row>
    <row r="76" spans="2:25" s="276" customFormat="1"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</row>
    <row r="77" spans="2:25" s="276" customFormat="1"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</row>
    <row r="78" spans="2:25" s="276" customFormat="1"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</row>
    <row r="79" spans="2:25" s="276" customFormat="1"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</row>
    <row r="80" spans="2:25" s="276" customFormat="1"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</row>
    <row r="81" spans="4:23" s="276" customFormat="1"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</row>
    <row r="82" spans="4:23" s="276" customFormat="1"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</row>
    <row r="83" spans="4:23" s="276" customFormat="1"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</row>
    <row r="84" spans="4:23" s="276" customFormat="1"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</row>
    <row r="85" spans="4:23" s="276" customFormat="1"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</row>
    <row r="86" spans="4:23" s="276" customFormat="1"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</row>
    <row r="87" spans="4:23" s="276" customFormat="1"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</row>
    <row r="88" spans="4:23" s="276" customFormat="1"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</row>
    <row r="89" spans="4:23" s="276" customFormat="1"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</row>
    <row r="90" spans="4:23" s="276" customFormat="1"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</row>
    <row r="91" spans="4:23" s="276" customFormat="1"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</row>
    <row r="92" spans="4:23" s="276" customFormat="1"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</row>
    <row r="93" spans="4:23" s="276" customFormat="1"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</row>
    <row r="94" spans="4:23" s="276" customFormat="1"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</row>
    <row r="95" spans="4:23" s="276" customFormat="1"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</row>
    <row r="96" spans="4:23" s="276" customFormat="1"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</row>
    <row r="97" spans="4:23" s="276" customFormat="1"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</row>
    <row r="98" spans="4:23" s="276" customFormat="1"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</row>
    <row r="99" spans="4:23" s="276" customFormat="1"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</row>
    <row r="100" spans="4:23" s="276" customFormat="1"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</row>
    <row r="101" spans="4:23" s="276" customFormat="1"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</row>
    <row r="102" spans="4:23" s="276" customFormat="1"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</row>
    <row r="103" spans="4:23" s="276" customFormat="1"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</row>
    <row r="104" spans="4:23" s="276" customFormat="1"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</row>
    <row r="105" spans="4:23" s="276" customFormat="1"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</row>
    <row r="106" spans="4:23" s="276" customFormat="1"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</row>
    <row r="107" spans="4:23" s="276" customFormat="1"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</row>
    <row r="108" spans="4:23" s="276" customFormat="1"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</row>
    <row r="109" spans="4:23" s="276" customFormat="1"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61:C61"/>
    <mergeCell ref="B62:C62"/>
    <mergeCell ref="B63:C63"/>
    <mergeCell ref="B65:O65"/>
    <mergeCell ref="B67:C67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2:O2"/>
    <mergeCell ref="P2:P5"/>
    <mergeCell ref="B3:C3"/>
    <mergeCell ref="D3:O3"/>
    <mergeCell ref="B4:C4"/>
    <mergeCell ref="B5:C5"/>
  </mergeCells>
  <conditionalFormatting sqref="D26:O32">
    <cfRule type="expression" dxfId="112" priority="9">
      <formula>D$22+D$24=0</formula>
    </cfRule>
  </conditionalFormatting>
  <conditionalFormatting sqref="D40:O46">
    <cfRule type="expression" dxfId="111" priority="8">
      <formula>D$36+D$38=0</formula>
    </cfRule>
  </conditionalFormatting>
  <conditionalFormatting sqref="D42:O46">
    <cfRule type="expression" dxfId="110" priority="7">
      <formula>D$40=0</formula>
    </cfRule>
  </conditionalFormatting>
  <conditionalFormatting sqref="D4:O4">
    <cfRule type="expression" dxfId="109" priority="24">
      <formula>D$5=TRUE</formula>
    </cfRule>
  </conditionalFormatting>
  <conditionalFormatting sqref="D66:D72 D55:D63 D14 D22:O34 D36:O49">
    <cfRule type="expression" dxfId="108" priority="25">
      <formula>D$5</formula>
    </cfRule>
  </conditionalFormatting>
  <conditionalFormatting sqref="E68:O72 O66:O67 E55:O63 E9:O14 D28:O32">
    <cfRule type="expression" dxfId="107" priority="23">
      <formula>D$5=TRUE</formula>
    </cfRule>
  </conditionalFormatting>
  <dataValidations count="6">
    <dataValidation type="list" allowBlank="1" showInputMessage="1" showErrorMessage="1" sqref="C69:C70">
      <formula1>$AK$2:$AK$3</formula1>
    </dataValidation>
    <dataValidation type="whole" operator="greaterThan" allowBlank="1" showInputMessage="1" showErrorMessage="1" sqref="D9:O13 D55:O62">
      <formula1>0</formula1>
    </dataValidation>
    <dataValidation operator="greaterThan" allowBlank="1" showInputMessage="1" showErrorMessage="1" error="Enter filing fees" sqref="D66:O71"/>
    <dataValidation type="whole" errorStyle="warning" operator="greaterThan" allowBlank="1" showInputMessage="1" sqref="D22:P27 D36:O41">
      <formula1>0</formula1>
    </dataValidation>
    <dataValidation operator="greaterThan" allowBlank="1" showInputMessage="1" showErrorMessage="1" errorTitle="Enter only Numeric value" error="Only numeric value of strength should be entered. Unit of Strength should be mentioned in O3 cell " sqref="D4:O4"/>
    <dataValidation type="list" allowBlank="1" showInputMessage="1" showErrorMessage="1" sqref="C68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0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1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2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3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4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5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6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7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8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9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0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1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2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3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4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5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6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7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8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9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0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1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2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3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4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C8D5153A-FE2E-4853-9E1F-53CA8032CB2D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861B6447-49B5-4CD5-979E-E0145968F58C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E28CA788-826C-4CF4-A044-95BE0FDE9633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27AF8607-C4EC-4A89-B521-B1E3F6B876D6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8F4BBA85-2C34-475B-A1C7-DF009D1739B7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7416C0E4-9269-46B1-BA42-58D195288EE4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A78D0D21-2509-40B1-8182-A3BE4F359E1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4309F70C-5289-4B59-9C4B-F57CD943DBBB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D3CC3393-C443-40EC-8B7D-B09A22316310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1C82E114-8B3D-4CCB-B87A-0ABC67461FDF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C5538185-6C5F-42CC-A244-29E5E86A28E6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1D28FCD1-53E5-46FD-8EC1-55BF8D59D1CE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9F7BAF04-DF79-45FD-B0FE-3E5283D1F5A9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B0BCE13A-5AFD-4660-838F-CAF47A3FF6C8}">
            <xm:f>'1.PM'!$P$4=4</xm:f>
            <x14:dxf>
              <numFmt numFmtId="216" formatCode="0.###&quot; mg/vial&quot;"/>
            </x14:dxf>
          </x14:cfRule>
          <x14:cfRule type="expression" priority="3" id="{4216419F-18ED-40F9-8CF7-5DB5324AD73C}">
            <xm:f>'1.PM'!$P$4=3</xm:f>
            <x14:dxf>
              <numFmt numFmtId="215" formatCode="0.###&quot; mg/ml&quot;"/>
            </x14:dxf>
          </x14:cfRule>
          <x14:cfRule type="expression" priority="4" id="{1184CBC5-2202-4058-8DD1-AB50570DE0B0}">
            <xm:f>'1.PM'!$P$4=0</xm:f>
            <x14:dxf>
              <numFmt numFmtId="212" formatCode="0.###&quot; mg&quot;"/>
            </x14:dxf>
          </x14:cfRule>
          <x14:cfRule type="expression" priority="5" id="{EBB43F69-8887-437E-BCB6-A46F99CD17C6}">
            <xm:f>'1.PM'!$P$4=1</xm:f>
            <x14:dxf>
              <numFmt numFmtId="214" formatCode="0.###&quot; mEq&quot;"/>
            </x14:dxf>
          </x14:cfRule>
          <x14:cfRule type="expression" priority="6" id="{6C0FCC0E-BF0E-43A3-B278-63A1E9C32F4F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CF702797-EBF2-4517-8D9D-ACBE0752B987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List!$AO$3:$AO$3</xm:f>
          </x14:formula1>
          <xm:sqref>C66</xm:sqref>
        </x14:dataValidation>
        <x14:dataValidation type="list" allowBlank="1" showInputMessage="1" showErrorMessage="1">
          <x14:formula1>
            <xm:f>List!$O$2:$O$16</xm:f>
          </x14:formula1>
          <xm:sqref>P4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39997558519241921"/>
    <outlinePr summaryBelow="0" summaryRight="0"/>
    <pageSetUpPr fitToPage="1"/>
  </sheetPr>
  <dimension ref="A1:AD109"/>
  <sheetViews>
    <sheetView showGridLines="0" showZeros="0" zoomScaleNormal="100" zoomScalePageLayoutView="10" workbookViewId="0">
      <pane ySplit="6" topLeftCell="A13" activePane="bottomLeft" state="frozen"/>
      <selection activeCell="J8" sqref="J8:J9"/>
      <selection pane="bottomLeft" activeCell="B8" sqref="B8:O9"/>
    </sheetView>
  </sheetViews>
  <sheetFormatPr defaultColWidth="12.7109375" defaultRowHeight="12.75"/>
  <cols>
    <col min="1" max="1" width="1.140625" style="23" customWidth="1"/>
    <col min="2" max="2" width="7" style="21" customWidth="1"/>
    <col min="3" max="3" width="18.7109375" style="21" customWidth="1"/>
    <col min="4" max="4" width="13.7109375" style="52" bestFit="1" customWidth="1"/>
    <col min="5" max="10" width="12.7109375" style="52"/>
    <col min="11" max="11" width="12.7109375" style="52" customWidth="1"/>
    <col min="12" max="15" width="12.7109375" style="52"/>
    <col min="16" max="19" width="12.7109375" style="52" customWidth="1"/>
    <col min="20" max="23" width="12.7109375" style="52"/>
    <col min="24" max="24" width="13.85546875" style="21" bestFit="1" customWidth="1"/>
    <col min="25" max="25" width="14.28515625" style="21" bestFit="1" customWidth="1"/>
    <col min="26" max="16384" width="12.7109375" style="23"/>
  </cols>
  <sheetData>
    <row r="1" spans="1:30" ht="4.5" customHeight="1" thickBot="1">
      <c r="B1" s="23"/>
      <c r="C1" s="23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23"/>
      <c r="Y1" s="23"/>
    </row>
    <row r="2" spans="1:30" s="27" customFormat="1" ht="15" customHeight="1" thickTop="1">
      <c r="B2" s="1094" t="s">
        <v>1027</v>
      </c>
      <c r="C2" s="1095"/>
      <c r="D2" s="1095"/>
      <c r="E2" s="1095"/>
      <c r="F2" s="1095"/>
      <c r="G2" s="1095"/>
      <c r="H2" s="1095"/>
      <c r="I2" s="1095"/>
      <c r="J2" s="1095"/>
      <c r="K2" s="1095"/>
      <c r="L2" s="1095"/>
      <c r="M2" s="1095"/>
      <c r="N2" s="1095"/>
      <c r="O2" s="1096"/>
      <c r="P2" s="949"/>
      <c r="Q2" s="286"/>
      <c r="R2" s="286"/>
      <c r="S2" s="286"/>
      <c r="T2" s="32"/>
      <c r="U2" s="32"/>
      <c r="V2" s="32"/>
      <c r="W2" s="32"/>
      <c r="X2" s="29"/>
      <c r="Y2" s="29"/>
      <c r="Z2" s="29"/>
      <c r="AA2" s="29"/>
      <c r="AB2" s="29"/>
    </row>
    <row r="3" spans="1:30" s="27" customFormat="1" ht="15" customHeight="1">
      <c r="B3" s="1097" t="s">
        <v>96</v>
      </c>
      <c r="C3" s="1098"/>
      <c r="D3" s="1099" t="str">
        <f>'1.PM'!C3</f>
        <v>Levetiracetam Tablets</v>
      </c>
      <c r="E3" s="1099"/>
      <c r="F3" s="1099"/>
      <c r="G3" s="1099"/>
      <c r="H3" s="1099"/>
      <c r="I3" s="1099"/>
      <c r="J3" s="1099"/>
      <c r="K3" s="1099"/>
      <c r="L3" s="1099"/>
      <c r="M3" s="1099"/>
      <c r="N3" s="1099"/>
      <c r="O3" s="1100"/>
      <c r="P3" s="950"/>
      <c r="Q3" s="287"/>
      <c r="R3" s="287"/>
      <c r="S3" s="287"/>
      <c r="T3" s="32"/>
      <c r="U3" s="32"/>
      <c r="V3" s="32"/>
      <c r="W3" s="32"/>
      <c r="X3" s="29"/>
      <c r="Y3" s="29"/>
      <c r="Z3" s="29"/>
      <c r="AA3" s="29"/>
      <c r="AB3" s="29"/>
    </row>
    <row r="4" spans="1:30" s="18" customFormat="1" ht="15" customHeight="1">
      <c r="A4" s="19"/>
      <c r="B4" s="1101" t="s">
        <v>129</v>
      </c>
      <c r="C4" s="1102"/>
      <c r="D4" s="331"/>
      <c r="E4" s="115"/>
      <c r="F4" s="115"/>
      <c r="G4" s="115"/>
      <c r="H4" s="115"/>
      <c r="I4" s="115"/>
      <c r="J4" s="115"/>
      <c r="K4" s="115"/>
      <c r="L4" s="282"/>
      <c r="M4" s="115"/>
      <c r="N4" s="115"/>
      <c r="O4" s="115"/>
      <c r="P4" s="950"/>
      <c r="Q4" s="271" t="e">
        <f>INDEX(List!P2:P6,MATCH($P4,List!O2:O6,0))</f>
        <v>#N/A</v>
      </c>
      <c r="R4" s="185"/>
      <c r="S4" s="185"/>
      <c r="T4" s="19"/>
      <c r="U4" s="19"/>
      <c r="V4" s="17"/>
      <c r="W4" s="17"/>
      <c r="X4" s="17"/>
      <c r="Y4" s="17"/>
      <c r="Z4" s="17"/>
      <c r="AA4" s="17"/>
      <c r="AB4" s="17"/>
      <c r="AC4" s="17"/>
      <c r="AD4" s="17"/>
    </row>
    <row r="5" spans="1:30" s="18" customFormat="1" ht="15" hidden="1" customHeight="1">
      <c r="A5" s="19"/>
      <c r="B5" s="1092"/>
      <c r="C5" s="1093"/>
      <c r="D5" s="55" t="b">
        <v>0</v>
      </c>
      <c r="E5" s="55" t="b">
        <v>0</v>
      </c>
      <c r="F5" s="55" t="b">
        <v>0</v>
      </c>
      <c r="G5" s="55" t="b">
        <v>0</v>
      </c>
      <c r="H5" s="55" t="b">
        <v>0</v>
      </c>
      <c r="I5" s="55" t="b">
        <v>0</v>
      </c>
      <c r="J5" s="55" t="b">
        <v>0</v>
      </c>
      <c r="K5" s="55" t="b">
        <v>0</v>
      </c>
      <c r="L5" s="55" t="b">
        <v>0</v>
      </c>
      <c r="M5" s="55" t="b">
        <v>0</v>
      </c>
      <c r="N5" s="55" t="b">
        <v>0</v>
      </c>
      <c r="O5" s="55" t="b">
        <v>0</v>
      </c>
      <c r="P5" s="950"/>
      <c r="Q5" s="270"/>
      <c r="R5" s="185"/>
      <c r="S5" s="185"/>
      <c r="T5" s="19"/>
      <c r="U5" s="19"/>
      <c r="V5" s="17"/>
      <c r="W5" s="17"/>
      <c r="X5" s="17"/>
      <c r="Y5" s="17"/>
      <c r="Z5" s="17"/>
      <c r="AA5" s="17"/>
      <c r="AB5" s="17"/>
      <c r="AC5" s="17"/>
      <c r="AD5" s="17"/>
    </row>
    <row r="6" spans="1:30" s="25" customFormat="1" ht="7.5" customHeight="1">
      <c r="B6" s="24"/>
      <c r="C6" s="24"/>
      <c r="D6" s="38"/>
      <c r="E6" s="39"/>
      <c r="F6" s="39"/>
      <c r="G6" s="40"/>
      <c r="H6" s="41"/>
      <c r="I6" s="41"/>
      <c r="J6" s="42"/>
      <c r="K6" s="39"/>
      <c r="L6" s="39"/>
      <c r="M6" s="43"/>
      <c r="N6" s="43"/>
      <c r="O6" s="43"/>
      <c r="P6" s="31"/>
      <c r="Q6" s="44"/>
      <c r="R6" s="44"/>
      <c r="S6" s="45"/>
      <c r="T6" s="45"/>
      <c r="U6" s="45"/>
      <c r="V6" s="45"/>
      <c r="W6" s="45"/>
      <c r="X6" s="26"/>
      <c r="Y6" s="26"/>
      <c r="Z6" s="26"/>
      <c r="AA6" s="26"/>
      <c r="AB6" s="26"/>
    </row>
    <row r="7" spans="1:30" s="25" customFormat="1" ht="7.5" customHeight="1" thickBot="1">
      <c r="B7" s="24"/>
      <c r="C7" s="24"/>
      <c r="D7" s="38"/>
      <c r="E7" s="39"/>
      <c r="F7" s="39"/>
      <c r="G7" s="40"/>
      <c r="H7" s="41"/>
      <c r="I7" s="41"/>
      <c r="J7" s="42"/>
      <c r="K7" s="39"/>
      <c r="L7" s="39"/>
      <c r="M7" s="43"/>
      <c r="N7" s="43"/>
      <c r="O7" s="43"/>
      <c r="P7" s="31"/>
      <c r="Q7" s="44"/>
      <c r="R7" s="44"/>
      <c r="S7" s="45"/>
      <c r="T7" s="45"/>
      <c r="U7" s="45"/>
      <c r="V7" s="45"/>
      <c r="W7" s="45"/>
      <c r="X7" s="26"/>
      <c r="Y7" s="26"/>
      <c r="Z7" s="26"/>
      <c r="AA7" s="26"/>
      <c r="AB7" s="26"/>
    </row>
    <row r="8" spans="1:30" ht="15.75" thickTop="1">
      <c r="B8" s="1116" t="s">
        <v>214</v>
      </c>
      <c r="C8" s="1117"/>
      <c r="D8" s="1117"/>
      <c r="E8" s="1117"/>
      <c r="F8" s="1117"/>
      <c r="G8" s="1117"/>
      <c r="H8" s="1117"/>
      <c r="I8" s="1117"/>
      <c r="J8" s="1117"/>
      <c r="K8" s="1117"/>
      <c r="L8" s="1117"/>
      <c r="M8" s="1117"/>
      <c r="N8" s="1117"/>
      <c r="O8" s="1118"/>
      <c r="P8" s="288" t="s">
        <v>205</v>
      </c>
      <c r="Q8" s="30"/>
      <c r="R8" s="30"/>
      <c r="S8" s="30"/>
      <c r="T8" s="30"/>
      <c r="U8" s="30"/>
      <c r="V8" s="30"/>
      <c r="W8" s="30"/>
      <c r="X8" s="23"/>
      <c r="Y8" s="23"/>
    </row>
    <row r="9" spans="1:30" ht="15">
      <c r="B9" s="354" t="s">
        <v>213</v>
      </c>
      <c r="C9" s="353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8"/>
      <c r="P9" s="305"/>
      <c r="Q9" s="30"/>
      <c r="R9" s="30"/>
      <c r="S9" s="30"/>
      <c r="T9" s="30"/>
      <c r="U9" s="30"/>
      <c r="V9" s="30"/>
      <c r="W9" s="30"/>
      <c r="X9" s="23"/>
      <c r="Y9" s="23"/>
    </row>
    <row r="10" spans="1:30" ht="15">
      <c r="B10" s="354" t="s">
        <v>215</v>
      </c>
      <c r="C10" s="353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1"/>
      <c r="P10" s="294">
        <f>SUMPRODUCT(D10:O10,D9:O9)</f>
        <v>0</v>
      </c>
      <c r="Q10" s="30"/>
      <c r="R10" s="30"/>
      <c r="S10" s="30"/>
      <c r="T10" s="30"/>
      <c r="U10" s="30"/>
      <c r="V10" s="30"/>
      <c r="W10" s="30"/>
      <c r="X10" s="23"/>
      <c r="Y10" s="23"/>
    </row>
    <row r="11" spans="1:30" ht="15">
      <c r="B11" s="354" t="s">
        <v>29</v>
      </c>
      <c r="C11" s="353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1"/>
      <c r="P11" s="294">
        <f>SUMPRODUCT(D11:O11,D9:O9)</f>
        <v>0</v>
      </c>
      <c r="Q11" s="30"/>
      <c r="R11" s="30"/>
      <c r="S11" s="30"/>
      <c r="T11" s="30"/>
      <c r="U11" s="30"/>
      <c r="V11" s="30"/>
      <c r="W11" s="30"/>
      <c r="X11" s="23"/>
      <c r="Y11" s="23"/>
    </row>
    <row r="12" spans="1:30" ht="15">
      <c r="B12" s="354" t="s">
        <v>995</v>
      </c>
      <c r="C12" s="353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1"/>
      <c r="P12" s="294">
        <f>SUMPRODUCT(D12:O12,D9:O9)</f>
        <v>0</v>
      </c>
      <c r="Q12" s="30"/>
      <c r="R12" s="30"/>
      <c r="S12" s="30"/>
      <c r="T12" s="30"/>
      <c r="U12" s="30"/>
      <c r="V12" s="30"/>
      <c r="W12" s="30"/>
      <c r="X12" s="23"/>
      <c r="Y12" s="23"/>
    </row>
    <row r="13" spans="1:30" ht="15">
      <c r="B13" s="354" t="s">
        <v>212</v>
      </c>
      <c r="C13" s="353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1"/>
      <c r="P13" s="294">
        <f>SUMPRODUCT(D13:O13,D9:O9)</f>
        <v>0</v>
      </c>
      <c r="Q13" s="30"/>
      <c r="R13" s="30"/>
      <c r="S13" s="30"/>
      <c r="T13" s="30"/>
      <c r="U13" s="30"/>
      <c r="V13" s="30"/>
      <c r="W13" s="30"/>
      <c r="X13" s="23"/>
      <c r="Y13" s="23"/>
    </row>
    <row r="14" spans="1:30" ht="15.75" thickBot="1">
      <c r="B14" s="308" t="s">
        <v>216</v>
      </c>
      <c r="C14" s="309"/>
      <c r="D14" s="326">
        <f>(SUM(D10:D13)*D9)</f>
        <v>0</v>
      </c>
      <c r="E14" s="326">
        <f t="shared" ref="E14:O14" si="0">(SUM(E10:E13)*E9)</f>
        <v>0</v>
      </c>
      <c r="F14" s="326">
        <f t="shared" si="0"/>
        <v>0</v>
      </c>
      <c r="G14" s="326">
        <f t="shared" si="0"/>
        <v>0</v>
      </c>
      <c r="H14" s="326">
        <f t="shared" si="0"/>
        <v>0</v>
      </c>
      <c r="I14" s="326">
        <f t="shared" si="0"/>
        <v>0</v>
      </c>
      <c r="J14" s="326">
        <f t="shared" si="0"/>
        <v>0</v>
      </c>
      <c r="K14" s="326">
        <f t="shared" si="0"/>
        <v>0</v>
      </c>
      <c r="L14" s="326">
        <f t="shared" si="0"/>
        <v>0</v>
      </c>
      <c r="M14" s="326">
        <f t="shared" si="0"/>
        <v>0</v>
      </c>
      <c r="N14" s="326">
        <f t="shared" si="0"/>
        <v>0</v>
      </c>
      <c r="O14" s="327">
        <f t="shared" si="0"/>
        <v>0</v>
      </c>
      <c r="P14" s="298">
        <f>SUM(D14:O14)</f>
        <v>0</v>
      </c>
      <c r="Q14" s="30"/>
      <c r="R14" s="30"/>
      <c r="S14" s="30"/>
      <c r="T14" s="30"/>
      <c r="U14" s="30"/>
      <c r="V14" s="30"/>
      <c r="W14" s="30"/>
      <c r="X14" s="23"/>
      <c r="Y14" s="23"/>
    </row>
    <row r="15" spans="1:30" ht="15" hidden="1">
      <c r="B15" s="28"/>
      <c r="C15" s="24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30"/>
      <c r="R15" s="30"/>
      <c r="S15" s="30"/>
      <c r="T15" s="30"/>
      <c r="U15" s="30"/>
      <c r="V15" s="30"/>
      <c r="W15" s="30"/>
      <c r="X15" s="23"/>
      <c r="Y15" s="23"/>
    </row>
    <row r="16" spans="1:30" ht="15" hidden="1">
      <c r="B16" s="24"/>
      <c r="C16" s="13" t="s">
        <v>154</v>
      </c>
      <c r="D16" s="229">
        <f>SUM(D10:D11)*D9</f>
        <v>0</v>
      </c>
      <c r="E16" s="229">
        <f t="shared" ref="E16:O16" si="1">SUM(E10:E11)*E9</f>
        <v>0</v>
      </c>
      <c r="F16" s="229">
        <f t="shared" si="1"/>
        <v>0</v>
      </c>
      <c r="G16" s="229">
        <f t="shared" si="1"/>
        <v>0</v>
      </c>
      <c r="H16" s="229">
        <f t="shared" si="1"/>
        <v>0</v>
      </c>
      <c r="I16" s="229">
        <f t="shared" si="1"/>
        <v>0</v>
      </c>
      <c r="J16" s="229">
        <f t="shared" si="1"/>
        <v>0</v>
      </c>
      <c r="K16" s="229">
        <f t="shared" si="1"/>
        <v>0</v>
      </c>
      <c r="L16" s="229">
        <f t="shared" si="1"/>
        <v>0</v>
      </c>
      <c r="M16" s="229">
        <f t="shared" si="1"/>
        <v>0</v>
      </c>
      <c r="N16" s="229">
        <f t="shared" si="1"/>
        <v>0</v>
      </c>
      <c r="O16" s="229">
        <f t="shared" si="1"/>
        <v>0</v>
      </c>
      <c r="P16" s="47"/>
      <c r="Q16" s="30"/>
      <c r="R16" s="30"/>
      <c r="S16" s="30"/>
      <c r="T16" s="30"/>
      <c r="U16" s="30"/>
      <c r="V16" s="30"/>
      <c r="W16" s="30"/>
      <c r="X16" s="23"/>
      <c r="Y16" s="23"/>
    </row>
    <row r="17" spans="2:25" ht="15" hidden="1">
      <c r="B17" s="24"/>
      <c r="C17" s="13" t="s">
        <v>842</v>
      </c>
      <c r="D17" s="229">
        <f>D12*D9</f>
        <v>0</v>
      </c>
      <c r="E17" s="229">
        <f t="shared" ref="E17:O17" si="2">E12*E9</f>
        <v>0</v>
      </c>
      <c r="F17" s="229">
        <f t="shared" si="2"/>
        <v>0</v>
      </c>
      <c r="G17" s="229">
        <f t="shared" si="2"/>
        <v>0</v>
      </c>
      <c r="H17" s="229">
        <f t="shared" si="2"/>
        <v>0</v>
      </c>
      <c r="I17" s="229">
        <f t="shared" si="2"/>
        <v>0</v>
      </c>
      <c r="J17" s="229">
        <f t="shared" si="2"/>
        <v>0</v>
      </c>
      <c r="K17" s="229">
        <f t="shared" si="2"/>
        <v>0</v>
      </c>
      <c r="L17" s="229">
        <f t="shared" si="2"/>
        <v>0</v>
      </c>
      <c r="M17" s="229">
        <f t="shared" si="2"/>
        <v>0</v>
      </c>
      <c r="N17" s="229">
        <f t="shared" si="2"/>
        <v>0</v>
      </c>
      <c r="O17" s="229">
        <f t="shared" si="2"/>
        <v>0</v>
      </c>
      <c r="P17" s="47"/>
      <c r="Q17" s="30"/>
      <c r="R17" s="30"/>
      <c r="S17" s="30"/>
      <c r="T17" s="30"/>
      <c r="U17" s="30"/>
      <c r="V17" s="30"/>
      <c r="W17" s="30"/>
      <c r="X17" s="23"/>
      <c r="Y17" s="23"/>
    </row>
    <row r="18" spans="2:25" ht="15" hidden="1">
      <c r="B18" s="24"/>
      <c r="C18" s="13" t="s">
        <v>843</v>
      </c>
      <c r="D18" s="229">
        <f>D13*D9</f>
        <v>0</v>
      </c>
      <c r="E18" s="229">
        <f t="shared" ref="E18:O18" si="3">E13*E9</f>
        <v>0</v>
      </c>
      <c r="F18" s="229">
        <f t="shared" si="3"/>
        <v>0</v>
      </c>
      <c r="G18" s="229">
        <f t="shared" si="3"/>
        <v>0</v>
      </c>
      <c r="H18" s="229">
        <f t="shared" si="3"/>
        <v>0</v>
      </c>
      <c r="I18" s="229">
        <f t="shared" si="3"/>
        <v>0</v>
      </c>
      <c r="J18" s="229">
        <f t="shared" si="3"/>
        <v>0</v>
      </c>
      <c r="K18" s="229">
        <f t="shared" si="3"/>
        <v>0</v>
      </c>
      <c r="L18" s="229">
        <f t="shared" si="3"/>
        <v>0</v>
      </c>
      <c r="M18" s="229">
        <f t="shared" si="3"/>
        <v>0</v>
      </c>
      <c r="N18" s="229">
        <f t="shared" si="3"/>
        <v>0</v>
      </c>
      <c r="O18" s="229">
        <f t="shared" si="3"/>
        <v>0</v>
      </c>
      <c r="P18" s="47"/>
      <c r="Q18" s="30"/>
      <c r="R18" s="30"/>
      <c r="S18" s="30"/>
      <c r="T18" s="30"/>
      <c r="U18" s="30"/>
      <c r="V18" s="30"/>
      <c r="W18" s="30"/>
      <c r="X18" s="23"/>
      <c r="Y18" s="23"/>
    </row>
    <row r="19" spans="2:25" ht="15.75" thickBot="1">
      <c r="B19" s="24"/>
      <c r="C19" s="24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30"/>
      <c r="R19" s="30"/>
      <c r="S19" s="30"/>
      <c r="T19" s="30"/>
      <c r="U19" s="30"/>
      <c r="V19" s="30"/>
      <c r="W19" s="30"/>
      <c r="X19" s="23"/>
      <c r="Y19" s="23"/>
    </row>
    <row r="20" spans="2:25" ht="15.75" thickTop="1">
      <c r="B20" s="1119" t="s">
        <v>225</v>
      </c>
      <c r="C20" s="1120"/>
      <c r="D20" s="1120" t="str">
        <f>IF(('1.PM'!N2)="Injectables","NOT APPLICABLE","")</f>
        <v/>
      </c>
      <c r="E20" s="1120"/>
      <c r="F20" s="1120"/>
      <c r="G20" s="1120"/>
      <c r="H20" s="1120"/>
      <c r="I20" s="1120"/>
      <c r="J20" s="1120"/>
      <c r="K20" s="1120"/>
      <c r="L20" s="1120"/>
      <c r="M20" s="1120"/>
      <c r="N20" s="1120"/>
      <c r="O20" s="1121"/>
      <c r="P20" s="288" t="s">
        <v>205</v>
      </c>
      <c r="Q20" s="30"/>
      <c r="R20" s="30"/>
      <c r="S20" s="30"/>
      <c r="T20" s="30"/>
      <c r="U20" s="30"/>
      <c r="V20" s="30"/>
      <c r="W20" s="30"/>
      <c r="X20" s="23"/>
      <c r="Y20" s="23"/>
    </row>
    <row r="21" spans="2:25" ht="15">
      <c r="B21" s="1113" t="s">
        <v>211</v>
      </c>
      <c r="C21" s="1114"/>
      <c r="D21" s="1114"/>
      <c r="E21" s="1114"/>
      <c r="F21" s="1114"/>
      <c r="G21" s="1114"/>
      <c r="H21" s="1114"/>
      <c r="I21" s="1114"/>
      <c r="J21" s="1114"/>
      <c r="K21" s="1114"/>
      <c r="L21" s="1114"/>
      <c r="M21" s="1114"/>
      <c r="N21" s="1114"/>
      <c r="O21" s="1115"/>
      <c r="P21" s="289"/>
      <c r="Q21" s="272"/>
      <c r="R21" s="30"/>
      <c r="S21" s="30"/>
      <c r="T21" s="30"/>
      <c r="U21" s="30"/>
      <c r="V21" s="30"/>
      <c r="W21" s="30"/>
      <c r="X21" s="23"/>
      <c r="Y21" s="23"/>
    </row>
    <row r="22" spans="2:25" ht="15">
      <c r="B22" s="310" t="s">
        <v>38</v>
      </c>
      <c r="C22" s="353" t="s">
        <v>415</v>
      </c>
      <c r="D22" s="321">
        <f>IF(D$5=TRUE,$B$23,0)</f>
        <v>0</v>
      </c>
      <c r="E22" s="321">
        <f t="shared" ref="E22:O22" si="4">IF(E$5=TRUE,$B$23,0)</f>
        <v>0</v>
      </c>
      <c r="F22" s="321">
        <f t="shared" si="4"/>
        <v>0</v>
      </c>
      <c r="G22" s="321">
        <f t="shared" si="4"/>
        <v>0</v>
      </c>
      <c r="H22" s="321">
        <f t="shared" si="4"/>
        <v>0</v>
      </c>
      <c r="I22" s="321">
        <f t="shared" si="4"/>
        <v>0</v>
      </c>
      <c r="J22" s="321">
        <f t="shared" si="4"/>
        <v>0</v>
      </c>
      <c r="K22" s="321">
        <f t="shared" si="4"/>
        <v>0</v>
      </c>
      <c r="L22" s="321">
        <f t="shared" si="4"/>
        <v>0</v>
      </c>
      <c r="M22" s="321">
        <f t="shared" si="4"/>
        <v>0</v>
      </c>
      <c r="N22" s="321">
        <f t="shared" si="4"/>
        <v>0</v>
      </c>
      <c r="O22" s="321">
        <f t="shared" si="4"/>
        <v>0</v>
      </c>
      <c r="P22" s="290">
        <f>SUM(D22:O22)</f>
        <v>0</v>
      </c>
      <c r="Q22" s="23"/>
      <c r="R22" s="30"/>
      <c r="S22" s="30"/>
      <c r="T22" s="30"/>
      <c r="U22" s="30"/>
      <c r="V22" s="30"/>
      <c r="W22" s="30"/>
      <c r="X22" s="23"/>
      <c r="Y22" s="23"/>
    </row>
    <row r="23" spans="2:25" ht="15" hidden="1">
      <c r="B23" s="311">
        <v>0</v>
      </c>
      <c r="C23" s="353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291"/>
      <c r="Q23" s="273"/>
      <c r="R23" s="30"/>
      <c r="S23" s="30"/>
      <c r="T23" s="30"/>
      <c r="U23" s="30"/>
      <c r="V23" s="30"/>
      <c r="W23" s="30"/>
      <c r="X23" s="23"/>
      <c r="Y23" s="23"/>
    </row>
    <row r="24" spans="2:25" ht="15">
      <c r="B24" s="310" t="s">
        <v>417</v>
      </c>
      <c r="C24" s="353" t="s">
        <v>416</v>
      </c>
      <c r="D24" s="321">
        <f>IF(D$5=TRUE,$B$25,0)</f>
        <v>0</v>
      </c>
      <c r="E24" s="321">
        <f t="shared" ref="E24:O24" si="5">IF(E$5=TRUE,$B$25,0)</f>
        <v>0</v>
      </c>
      <c r="F24" s="321">
        <f t="shared" si="5"/>
        <v>0</v>
      </c>
      <c r="G24" s="321">
        <f t="shared" si="5"/>
        <v>0</v>
      </c>
      <c r="H24" s="321">
        <f t="shared" si="5"/>
        <v>0</v>
      </c>
      <c r="I24" s="321">
        <f t="shared" si="5"/>
        <v>0</v>
      </c>
      <c r="J24" s="321">
        <f t="shared" si="5"/>
        <v>0</v>
      </c>
      <c r="K24" s="321">
        <f t="shared" si="5"/>
        <v>0</v>
      </c>
      <c r="L24" s="321">
        <f t="shared" si="5"/>
        <v>0</v>
      </c>
      <c r="M24" s="321">
        <f t="shared" si="5"/>
        <v>0</v>
      </c>
      <c r="N24" s="321">
        <f t="shared" si="5"/>
        <v>0</v>
      </c>
      <c r="O24" s="321">
        <f t="shared" si="5"/>
        <v>0</v>
      </c>
      <c r="P24" s="292">
        <f>SUM(D24:O24)</f>
        <v>0</v>
      </c>
      <c r="Q24" s="23"/>
      <c r="R24" s="30"/>
      <c r="S24" s="30"/>
      <c r="T24" s="30"/>
      <c r="U24" s="30"/>
      <c r="V24" s="30"/>
      <c r="W24" s="30"/>
      <c r="X24" s="23"/>
      <c r="Y24" s="23"/>
    </row>
    <row r="25" spans="2:25" ht="15" hidden="1">
      <c r="B25" s="311">
        <v>0</v>
      </c>
      <c r="C25" s="353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291"/>
      <c r="Q25" s="272"/>
      <c r="R25" s="30"/>
      <c r="S25" s="30"/>
      <c r="T25" s="30"/>
      <c r="U25" s="30"/>
      <c r="V25" s="30"/>
      <c r="W25" s="30"/>
      <c r="X25" s="23"/>
      <c r="Y25" s="23"/>
    </row>
    <row r="26" spans="2:25" ht="15">
      <c r="B26" s="310" t="s">
        <v>41</v>
      </c>
      <c r="C26" s="353" t="s">
        <v>418</v>
      </c>
      <c r="D26" s="321">
        <f>IF(D$5=TRUE,$B$27,0)</f>
        <v>0</v>
      </c>
      <c r="E26" s="321">
        <f t="shared" ref="E26:O26" si="6">IF(E$5=TRUE,$B$27,0)</f>
        <v>0</v>
      </c>
      <c r="F26" s="321">
        <f t="shared" si="6"/>
        <v>0</v>
      </c>
      <c r="G26" s="321">
        <f t="shared" si="6"/>
        <v>0</v>
      </c>
      <c r="H26" s="321">
        <f t="shared" si="6"/>
        <v>0</v>
      </c>
      <c r="I26" s="321">
        <f t="shared" si="6"/>
        <v>0</v>
      </c>
      <c r="J26" s="321">
        <f t="shared" si="6"/>
        <v>0</v>
      </c>
      <c r="K26" s="321">
        <f t="shared" si="6"/>
        <v>0</v>
      </c>
      <c r="L26" s="321">
        <f t="shared" si="6"/>
        <v>0</v>
      </c>
      <c r="M26" s="321">
        <f t="shared" si="6"/>
        <v>0</v>
      </c>
      <c r="N26" s="321">
        <f t="shared" si="6"/>
        <v>0</v>
      </c>
      <c r="O26" s="321">
        <f t="shared" si="6"/>
        <v>0</v>
      </c>
      <c r="P26" s="293">
        <f>SUM(D26:O26)</f>
        <v>0</v>
      </c>
      <c r="Q26" s="23"/>
      <c r="R26" s="30"/>
      <c r="S26" s="30"/>
      <c r="T26" s="30"/>
      <c r="U26" s="30"/>
      <c r="V26" s="30"/>
      <c r="W26" s="30"/>
      <c r="X26" s="23"/>
      <c r="Y26" s="23"/>
    </row>
    <row r="27" spans="2:25" ht="15" hidden="1">
      <c r="B27" s="311">
        <v>18</v>
      </c>
      <c r="C27" s="353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291"/>
      <c r="Q27" s="272"/>
      <c r="R27" s="30"/>
      <c r="S27" s="30"/>
      <c r="T27" s="30"/>
      <c r="U27" s="30"/>
      <c r="V27" s="30"/>
      <c r="W27" s="30"/>
      <c r="X27" s="23"/>
      <c r="Y27" s="23"/>
    </row>
    <row r="28" spans="2:25" ht="15">
      <c r="B28" s="310" t="s">
        <v>419</v>
      </c>
      <c r="C28" s="353" t="s">
        <v>420</v>
      </c>
      <c r="D28" s="317">
        <f>IF(D$5=TRUE,$B$29+15000,0)</f>
        <v>0</v>
      </c>
      <c r="E28" s="317">
        <f t="shared" ref="E28:O28" si="7">IF(E$5=TRUE,$B$29+15000,0)</f>
        <v>0</v>
      </c>
      <c r="F28" s="317">
        <f t="shared" si="7"/>
        <v>0</v>
      </c>
      <c r="G28" s="317">
        <f t="shared" si="7"/>
        <v>0</v>
      </c>
      <c r="H28" s="317">
        <f t="shared" si="7"/>
        <v>0</v>
      </c>
      <c r="I28" s="317">
        <f t="shared" si="7"/>
        <v>0</v>
      </c>
      <c r="J28" s="317">
        <f t="shared" si="7"/>
        <v>0</v>
      </c>
      <c r="K28" s="317">
        <f t="shared" si="7"/>
        <v>0</v>
      </c>
      <c r="L28" s="317">
        <f t="shared" si="7"/>
        <v>0</v>
      </c>
      <c r="M28" s="317">
        <f t="shared" si="7"/>
        <v>0</v>
      </c>
      <c r="N28" s="317">
        <f t="shared" si="7"/>
        <v>0</v>
      </c>
      <c r="O28" s="317">
        <f t="shared" si="7"/>
        <v>0</v>
      </c>
      <c r="P28" s="294">
        <f>SUM(D28:O28)</f>
        <v>0</v>
      </c>
      <c r="Q28" s="272"/>
      <c r="R28" s="30"/>
      <c r="S28" s="30"/>
      <c r="T28" s="30"/>
      <c r="U28" s="30"/>
      <c r="V28" s="30"/>
      <c r="W28" s="30"/>
      <c r="X28" s="23"/>
      <c r="Y28" s="23"/>
    </row>
    <row r="29" spans="2:25" ht="15" hidden="1">
      <c r="B29" s="311">
        <v>10000</v>
      </c>
      <c r="C29" s="353"/>
      <c r="D29" s="322"/>
      <c r="E29" s="322"/>
      <c r="F29" s="322"/>
      <c r="G29" s="322"/>
      <c r="H29" s="322"/>
      <c r="I29" s="322"/>
      <c r="J29" s="322"/>
      <c r="K29" s="322"/>
      <c r="L29" s="322"/>
      <c r="M29" s="322"/>
      <c r="N29" s="322"/>
      <c r="O29" s="322"/>
      <c r="P29" s="294">
        <f t="shared" ref="P29:P46" si="8">SUM(D29:O29)</f>
        <v>0</v>
      </c>
      <c r="Q29" s="272"/>
      <c r="R29" s="30"/>
      <c r="S29" s="30"/>
      <c r="T29" s="30"/>
      <c r="U29" s="30"/>
      <c r="V29" s="30"/>
      <c r="W29" s="30"/>
      <c r="X29" s="23"/>
      <c r="Y29" s="23"/>
    </row>
    <row r="30" spans="2:25" ht="15">
      <c r="B30" s="310" t="s">
        <v>421</v>
      </c>
      <c r="C30" s="353" t="s">
        <v>978</v>
      </c>
      <c r="D30" s="317">
        <f>IF(D$5=TRUE,$B$31+30000,0)</f>
        <v>0</v>
      </c>
      <c r="E30" s="317">
        <f t="shared" ref="E30:O30" si="9">IF(E$5=TRUE,$B$31+30000,0)</f>
        <v>0</v>
      </c>
      <c r="F30" s="317">
        <f t="shared" si="9"/>
        <v>0</v>
      </c>
      <c r="G30" s="317">
        <f t="shared" si="9"/>
        <v>0</v>
      </c>
      <c r="H30" s="317">
        <f t="shared" si="9"/>
        <v>0</v>
      </c>
      <c r="I30" s="317">
        <f t="shared" si="9"/>
        <v>0</v>
      </c>
      <c r="J30" s="317">
        <f t="shared" si="9"/>
        <v>0</v>
      </c>
      <c r="K30" s="317">
        <f t="shared" si="9"/>
        <v>0</v>
      </c>
      <c r="L30" s="317">
        <f t="shared" si="9"/>
        <v>0</v>
      </c>
      <c r="M30" s="317">
        <f t="shared" si="9"/>
        <v>0</v>
      </c>
      <c r="N30" s="317">
        <f t="shared" si="9"/>
        <v>0</v>
      </c>
      <c r="O30" s="317">
        <f t="shared" si="9"/>
        <v>0</v>
      </c>
      <c r="P30" s="294">
        <f t="shared" si="8"/>
        <v>0</v>
      </c>
      <c r="Q30" s="272">
        <v>11000</v>
      </c>
      <c r="R30" s="30"/>
      <c r="S30" s="30"/>
      <c r="T30" s="30"/>
      <c r="U30" s="30"/>
      <c r="V30" s="30"/>
      <c r="W30" s="30"/>
      <c r="X30" s="23"/>
      <c r="Y30" s="23"/>
    </row>
    <row r="31" spans="2:25" ht="15" hidden="1">
      <c r="B31" s="311">
        <v>30000</v>
      </c>
      <c r="C31" s="353"/>
      <c r="D31" s="317"/>
      <c r="E31" s="317"/>
      <c r="F31" s="317"/>
      <c r="G31" s="317"/>
      <c r="H31" s="317"/>
      <c r="I31" s="317"/>
      <c r="J31" s="317"/>
      <c r="K31" s="317"/>
      <c r="L31" s="317"/>
      <c r="M31" s="317"/>
      <c r="N31" s="317"/>
      <c r="O31" s="317"/>
      <c r="P31" s="294">
        <f t="shared" si="8"/>
        <v>0</v>
      </c>
      <c r="Q31" s="272"/>
      <c r="R31" s="30"/>
      <c r="S31" s="30"/>
      <c r="T31" s="30"/>
      <c r="U31" s="30"/>
      <c r="V31" s="30"/>
      <c r="W31" s="30"/>
      <c r="X31" s="23"/>
      <c r="Y31" s="23"/>
    </row>
    <row r="32" spans="2:25" ht="15">
      <c r="B32" s="310" t="s">
        <v>423</v>
      </c>
      <c r="C32" s="353" t="s">
        <v>422</v>
      </c>
      <c r="D32" s="317">
        <f>IF(D$5=TRUE,$B$33*1000,0)</f>
        <v>0</v>
      </c>
      <c r="E32" s="317">
        <f t="shared" ref="E32:O32" si="10">IF(E$5=TRUE,$B$33*1000,0)</f>
        <v>0</v>
      </c>
      <c r="F32" s="317">
        <f t="shared" si="10"/>
        <v>0</v>
      </c>
      <c r="G32" s="317">
        <f t="shared" si="10"/>
        <v>0</v>
      </c>
      <c r="H32" s="317">
        <f t="shared" si="10"/>
        <v>0</v>
      </c>
      <c r="I32" s="317">
        <f t="shared" si="10"/>
        <v>0</v>
      </c>
      <c r="J32" s="317">
        <f t="shared" si="10"/>
        <v>0</v>
      </c>
      <c r="K32" s="317">
        <f t="shared" si="10"/>
        <v>0</v>
      </c>
      <c r="L32" s="317">
        <f t="shared" si="10"/>
        <v>0</v>
      </c>
      <c r="M32" s="317">
        <f t="shared" si="10"/>
        <v>0</v>
      </c>
      <c r="N32" s="317">
        <f t="shared" si="10"/>
        <v>0</v>
      </c>
      <c r="O32" s="317">
        <f t="shared" si="10"/>
        <v>0</v>
      </c>
      <c r="P32" s="294">
        <f t="shared" si="8"/>
        <v>0</v>
      </c>
      <c r="Q32" s="272"/>
      <c r="R32" s="30"/>
      <c r="S32" s="30"/>
      <c r="T32" s="30"/>
      <c r="U32" s="30"/>
      <c r="V32" s="30"/>
      <c r="W32" s="30"/>
      <c r="X32" s="23"/>
      <c r="Y32" s="23"/>
    </row>
    <row r="33" spans="2:25" ht="15" hidden="1">
      <c r="B33" s="311">
        <v>200</v>
      </c>
      <c r="C33" s="353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94">
        <f t="shared" si="8"/>
        <v>0</v>
      </c>
      <c r="Q33" s="272"/>
      <c r="R33" s="30"/>
      <c r="S33" s="30"/>
      <c r="T33" s="30"/>
      <c r="U33" s="30"/>
      <c r="V33" s="30"/>
      <c r="W33" s="30"/>
      <c r="X33" s="23"/>
      <c r="Y33" s="23"/>
    </row>
    <row r="34" spans="2:25" ht="15">
      <c r="B34" s="312" t="s">
        <v>424</v>
      </c>
      <c r="C34" s="313" t="s">
        <v>425</v>
      </c>
      <c r="D34" s="323">
        <f>IF(D26=0,0,((D22+D24)*((D26*(D28+D30)+D32))))</f>
        <v>0</v>
      </c>
      <c r="E34" s="323">
        <f t="shared" ref="E34:O34" si="11">IF(E26=0,0,((E22+E24)*((E26*(E28+E30)+E32))))</f>
        <v>0</v>
      </c>
      <c r="F34" s="323">
        <f t="shared" si="11"/>
        <v>0</v>
      </c>
      <c r="G34" s="323">
        <f t="shared" si="11"/>
        <v>0</v>
      </c>
      <c r="H34" s="323">
        <f t="shared" si="11"/>
        <v>0</v>
      </c>
      <c r="I34" s="323">
        <f t="shared" si="11"/>
        <v>0</v>
      </c>
      <c r="J34" s="323">
        <f t="shared" si="11"/>
        <v>0</v>
      </c>
      <c r="K34" s="323">
        <f t="shared" si="11"/>
        <v>0</v>
      </c>
      <c r="L34" s="323">
        <f t="shared" si="11"/>
        <v>0</v>
      </c>
      <c r="M34" s="323">
        <f t="shared" si="11"/>
        <v>0</v>
      </c>
      <c r="N34" s="323">
        <f t="shared" si="11"/>
        <v>0</v>
      </c>
      <c r="O34" s="323">
        <f t="shared" si="11"/>
        <v>0</v>
      </c>
      <c r="P34" s="294">
        <f t="shared" si="8"/>
        <v>0</v>
      </c>
      <c r="Q34" s="272"/>
      <c r="R34" s="30"/>
      <c r="S34" s="30"/>
      <c r="T34" s="30"/>
      <c r="U34" s="30"/>
      <c r="V34" s="30"/>
      <c r="W34" s="30"/>
      <c r="X34" s="23"/>
      <c r="Y34" s="23"/>
    </row>
    <row r="35" spans="2:25" ht="15">
      <c r="B35" s="1113" t="s">
        <v>212</v>
      </c>
      <c r="C35" s="1114"/>
      <c r="D35" s="1114"/>
      <c r="E35" s="1114"/>
      <c r="F35" s="1114"/>
      <c r="G35" s="1114"/>
      <c r="H35" s="1114"/>
      <c r="I35" s="1114"/>
      <c r="J35" s="1114"/>
      <c r="K35" s="1114"/>
      <c r="L35" s="1114"/>
      <c r="M35" s="1114"/>
      <c r="N35" s="1114"/>
      <c r="O35" s="1115"/>
      <c r="P35" s="295">
        <f t="shared" si="8"/>
        <v>0</v>
      </c>
      <c r="Q35" s="30"/>
      <c r="R35" s="30"/>
      <c r="S35" s="30"/>
      <c r="T35" s="30"/>
      <c r="U35" s="30"/>
      <c r="V35" s="30"/>
      <c r="W35" s="30"/>
      <c r="X35" s="23"/>
      <c r="Y35" s="23"/>
    </row>
    <row r="36" spans="2:25" ht="15">
      <c r="B36" s="310" t="s">
        <v>38</v>
      </c>
      <c r="C36" s="353" t="s">
        <v>415</v>
      </c>
      <c r="D36" s="321">
        <f>IF(D$5=TRUE,$B$37,0)</f>
        <v>0</v>
      </c>
      <c r="E36" s="321">
        <f t="shared" ref="E36:O36" si="12">IF(E$5=TRUE,$B$37,0)</f>
        <v>0</v>
      </c>
      <c r="F36" s="321">
        <f t="shared" si="12"/>
        <v>0</v>
      </c>
      <c r="G36" s="321">
        <f t="shared" si="12"/>
        <v>0</v>
      </c>
      <c r="H36" s="321">
        <f t="shared" si="12"/>
        <v>0</v>
      </c>
      <c r="I36" s="321">
        <f t="shared" si="12"/>
        <v>0</v>
      </c>
      <c r="J36" s="321">
        <f t="shared" si="12"/>
        <v>0</v>
      </c>
      <c r="K36" s="321">
        <f t="shared" si="12"/>
        <v>0</v>
      </c>
      <c r="L36" s="321">
        <f t="shared" si="12"/>
        <v>0</v>
      </c>
      <c r="M36" s="321">
        <f t="shared" si="12"/>
        <v>0</v>
      </c>
      <c r="N36" s="321">
        <f t="shared" si="12"/>
        <v>0</v>
      </c>
      <c r="O36" s="321">
        <f t="shared" si="12"/>
        <v>0</v>
      </c>
      <c r="P36" s="290">
        <f t="shared" si="8"/>
        <v>0</v>
      </c>
      <c r="Q36" s="30"/>
      <c r="R36" s="30"/>
      <c r="S36" s="30"/>
      <c r="T36" s="30"/>
      <c r="U36" s="30"/>
      <c r="V36" s="30"/>
      <c r="W36" s="30"/>
      <c r="X36" s="23"/>
      <c r="Y36" s="23"/>
    </row>
    <row r="37" spans="2:25" ht="15" hidden="1">
      <c r="B37" s="311">
        <v>0</v>
      </c>
      <c r="C37" s="353"/>
      <c r="D37" s="321"/>
      <c r="E37" s="321"/>
      <c r="F37" s="321"/>
      <c r="G37" s="321"/>
      <c r="H37" s="321"/>
      <c r="I37" s="321"/>
      <c r="J37" s="321"/>
      <c r="K37" s="321"/>
      <c r="L37" s="321"/>
      <c r="M37" s="321"/>
      <c r="N37" s="321"/>
      <c r="O37" s="321"/>
      <c r="P37" s="291">
        <f t="shared" si="8"/>
        <v>0</v>
      </c>
      <c r="Q37" s="30"/>
      <c r="R37" s="30"/>
      <c r="S37" s="30"/>
      <c r="T37" s="30"/>
      <c r="U37" s="30"/>
      <c r="V37" s="30"/>
      <c r="W37" s="30"/>
      <c r="X37" s="23"/>
      <c r="Y37" s="23"/>
    </row>
    <row r="38" spans="2:25" ht="15">
      <c r="B38" s="310" t="s">
        <v>417</v>
      </c>
      <c r="C38" s="353" t="s">
        <v>416</v>
      </c>
      <c r="D38" s="321">
        <f>IF(D$5=TRUE,$B$39,0)</f>
        <v>0</v>
      </c>
      <c r="E38" s="321">
        <f t="shared" ref="E38:O38" si="13">IF(E$5=TRUE,$B$39,0)</f>
        <v>0</v>
      </c>
      <c r="F38" s="321">
        <f t="shared" si="13"/>
        <v>0</v>
      </c>
      <c r="G38" s="321">
        <f t="shared" si="13"/>
        <v>0</v>
      </c>
      <c r="H38" s="321">
        <f t="shared" si="13"/>
        <v>0</v>
      </c>
      <c r="I38" s="321">
        <f t="shared" si="13"/>
        <v>0</v>
      </c>
      <c r="J38" s="321">
        <f t="shared" si="13"/>
        <v>0</v>
      </c>
      <c r="K38" s="321">
        <f t="shared" si="13"/>
        <v>0</v>
      </c>
      <c r="L38" s="321">
        <f t="shared" si="13"/>
        <v>0</v>
      </c>
      <c r="M38" s="321">
        <f t="shared" si="13"/>
        <v>0</v>
      </c>
      <c r="N38" s="321">
        <f t="shared" si="13"/>
        <v>0</v>
      </c>
      <c r="O38" s="321">
        <f t="shared" si="13"/>
        <v>0</v>
      </c>
      <c r="P38" s="292">
        <f t="shared" si="8"/>
        <v>0</v>
      </c>
      <c r="Q38" s="30"/>
      <c r="R38" s="30"/>
      <c r="S38" s="30"/>
      <c r="T38" s="30"/>
      <c r="U38" s="30"/>
      <c r="V38" s="30"/>
      <c r="W38" s="30"/>
      <c r="X38" s="23"/>
      <c r="Y38" s="23"/>
    </row>
    <row r="39" spans="2:25" ht="15" hidden="1">
      <c r="B39" s="311">
        <v>0</v>
      </c>
      <c r="C39" s="353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291">
        <f t="shared" si="8"/>
        <v>0</v>
      </c>
      <c r="Q39" s="30"/>
      <c r="R39" s="30"/>
      <c r="S39" s="30"/>
      <c r="T39" s="30"/>
      <c r="U39" s="30"/>
      <c r="V39" s="30"/>
      <c r="W39" s="30"/>
      <c r="X39" s="23"/>
      <c r="Y39" s="23"/>
    </row>
    <row r="40" spans="2:25" ht="15">
      <c r="B40" s="310" t="s">
        <v>41</v>
      </c>
      <c r="C40" s="353" t="s">
        <v>418</v>
      </c>
      <c r="D40" s="321">
        <f>IF(D$5=TRUE,$B$41,0)</f>
        <v>0</v>
      </c>
      <c r="E40" s="321">
        <f t="shared" ref="E40:O40" si="14">IF(E$5=TRUE,$B$41,0)</f>
        <v>0</v>
      </c>
      <c r="F40" s="321">
        <f t="shared" si="14"/>
        <v>0</v>
      </c>
      <c r="G40" s="321">
        <f t="shared" si="14"/>
        <v>0</v>
      </c>
      <c r="H40" s="321">
        <f t="shared" si="14"/>
        <v>0</v>
      </c>
      <c r="I40" s="321">
        <f t="shared" si="14"/>
        <v>0</v>
      </c>
      <c r="J40" s="321">
        <f t="shared" si="14"/>
        <v>0</v>
      </c>
      <c r="K40" s="321">
        <f t="shared" si="14"/>
        <v>0</v>
      </c>
      <c r="L40" s="321">
        <f t="shared" si="14"/>
        <v>0</v>
      </c>
      <c r="M40" s="321">
        <f t="shared" si="14"/>
        <v>0</v>
      </c>
      <c r="N40" s="321">
        <f t="shared" si="14"/>
        <v>0</v>
      </c>
      <c r="O40" s="321">
        <f t="shared" si="14"/>
        <v>0</v>
      </c>
      <c r="P40" s="293">
        <f t="shared" si="8"/>
        <v>0</v>
      </c>
      <c r="Q40" s="30"/>
      <c r="R40" s="30"/>
      <c r="S40" s="30"/>
      <c r="T40" s="30"/>
      <c r="U40" s="30"/>
      <c r="V40" s="30"/>
      <c r="W40" s="30"/>
      <c r="X40" s="23"/>
      <c r="Y40" s="23"/>
    </row>
    <row r="41" spans="2:25" ht="15" hidden="1">
      <c r="B41" s="311">
        <v>33</v>
      </c>
      <c r="C41" s="353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295">
        <f t="shared" si="8"/>
        <v>0</v>
      </c>
      <c r="Q41" s="30"/>
      <c r="R41" s="30"/>
      <c r="S41" s="30"/>
      <c r="T41" s="30"/>
      <c r="U41" s="30"/>
      <c r="V41" s="30"/>
      <c r="W41" s="30"/>
      <c r="X41" s="23"/>
      <c r="Y41" s="23"/>
    </row>
    <row r="42" spans="2:25" ht="15">
      <c r="B42" s="310" t="s">
        <v>419</v>
      </c>
      <c r="C42" s="353" t="s">
        <v>420</v>
      </c>
      <c r="D42" s="317">
        <f>IF(D$5=TRUE,$B$43+15000,0)</f>
        <v>0</v>
      </c>
      <c r="E42" s="317">
        <f t="shared" ref="E42:O42" si="15">IF(E$5=TRUE,$B$43+15000,0)</f>
        <v>0</v>
      </c>
      <c r="F42" s="317">
        <f t="shared" si="15"/>
        <v>0</v>
      </c>
      <c r="G42" s="317">
        <f t="shared" si="15"/>
        <v>0</v>
      </c>
      <c r="H42" s="317">
        <f t="shared" si="15"/>
        <v>0</v>
      </c>
      <c r="I42" s="317">
        <f t="shared" si="15"/>
        <v>0</v>
      </c>
      <c r="J42" s="317">
        <f t="shared" si="15"/>
        <v>0</v>
      </c>
      <c r="K42" s="317">
        <f t="shared" si="15"/>
        <v>0</v>
      </c>
      <c r="L42" s="317">
        <f t="shared" si="15"/>
        <v>0</v>
      </c>
      <c r="M42" s="317">
        <f t="shared" si="15"/>
        <v>0</v>
      </c>
      <c r="N42" s="317">
        <f t="shared" si="15"/>
        <v>0</v>
      </c>
      <c r="O42" s="317">
        <f t="shared" si="15"/>
        <v>0</v>
      </c>
      <c r="P42" s="294">
        <f t="shared" si="8"/>
        <v>0</v>
      </c>
      <c r="Q42" s="30"/>
      <c r="R42" s="30"/>
      <c r="S42" s="30"/>
      <c r="T42" s="30"/>
      <c r="U42" s="30"/>
      <c r="V42" s="30"/>
      <c r="W42" s="30"/>
      <c r="X42" s="23"/>
      <c r="Y42" s="23"/>
    </row>
    <row r="43" spans="2:25" ht="15" hidden="1">
      <c r="B43" s="311">
        <v>10000</v>
      </c>
      <c r="C43" s="353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294">
        <f t="shared" si="8"/>
        <v>0</v>
      </c>
      <c r="Q43" s="30"/>
      <c r="R43" s="30"/>
      <c r="S43" s="30"/>
      <c r="T43" s="30"/>
      <c r="U43" s="30"/>
      <c r="V43" s="30"/>
      <c r="W43" s="30"/>
      <c r="X43" s="23"/>
      <c r="Y43" s="23"/>
    </row>
    <row r="44" spans="2:25" ht="15">
      <c r="B44" s="310" t="s">
        <v>421</v>
      </c>
      <c r="C44" s="353" t="s">
        <v>978</v>
      </c>
      <c r="D44" s="317">
        <f>IF(D$5=TRUE,$B$45+30000,0)</f>
        <v>0</v>
      </c>
      <c r="E44" s="317">
        <f t="shared" ref="E44:O44" si="16">IF(E$5=TRUE,$B$45+30000,0)</f>
        <v>0</v>
      </c>
      <c r="F44" s="317">
        <f t="shared" si="16"/>
        <v>0</v>
      </c>
      <c r="G44" s="317">
        <f t="shared" si="16"/>
        <v>0</v>
      </c>
      <c r="H44" s="317">
        <f t="shared" si="16"/>
        <v>0</v>
      </c>
      <c r="I44" s="317">
        <f t="shared" si="16"/>
        <v>0</v>
      </c>
      <c r="J44" s="317">
        <f t="shared" si="16"/>
        <v>0</v>
      </c>
      <c r="K44" s="317">
        <f t="shared" si="16"/>
        <v>0</v>
      </c>
      <c r="L44" s="317">
        <f t="shared" si="16"/>
        <v>0</v>
      </c>
      <c r="M44" s="317">
        <f t="shared" si="16"/>
        <v>0</v>
      </c>
      <c r="N44" s="317">
        <f t="shared" si="16"/>
        <v>0</v>
      </c>
      <c r="O44" s="317">
        <f t="shared" si="16"/>
        <v>0</v>
      </c>
      <c r="P44" s="294">
        <f t="shared" si="8"/>
        <v>0</v>
      </c>
      <c r="Q44" s="30"/>
      <c r="R44" s="30"/>
      <c r="S44" s="30"/>
      <c r="T44" s="30"/>
      <c r="U44" s="30"/>
      <c r="V44" s="30"/>
      <c r="W44" s="30"/>
      <c r="X44" s="23"/>
      <c r="Y44" s="23"/>
    </row>
    <row r="45" spans="2:25" ht="15" hidden="1">
      <c r="B45" s="311">
        <v>6000</v>
      </c>
      <c r="C45" s="353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294">
        <f t="shared" si="8"/>
        <v>0</v>
      </c>
      <c r="Q45" s="30"/>
      <c r="R45" s="30"/>
      <c r="S45" s="30"/>
      <c r="T45" s="30"/>
      <c r="U45" s="30"/>
      <c r="V45" s="30"/>
      <c r="W45" s="30"/>
      <c r="X45" s="23"/>
      <c r="Y45" s="23"/>
    </row>
    <row r="46" spans="2:25" ht="15">
      <c r="B46" s="310" t="s">
        <v>423</v>
      </c>
      <c r="C46" s="353" t="s">
        <v>422</v>
      </c>
      <c r="D46" s="317">
        <f>IF(D$5=TRUE,$B$47*1000,0)</f>
        <v>0</v>
      </c>
      <c r="E46" s="317">
        <f t="shared" ref="E46:O46" si="17">IF(E$5=TRUE,$B$47*1000,0)</f>
        <v>0</v>
      </c>
      <c r="F46" s="317">
        <f t="shared" si="17"/>
        <v>0</v>
      </c>
      <c r="G46" s="317">
        <f t="shared" si="17"/>
        <v>0</v>
      </c>
      <c r="H46" s="317">
        <f t="shared" si="17"/>
        <v>0</v>
      </c>
      <c r="I46" s="317">
        <f t="shared" si="17"/>
        <v>0</v>
      </c>
      <c r="J46" s="317">
        <f t="shared" si="17"/>
        <v>0</v>
      </c>
      <c r="K46" s="317">
        <f t="shared" si="17"/>
        <v>0</v>
      </c>
      <c r="L46" s="317">
        <f t="shared" si="17"/>
        <v>0</v>
      </c>
      <c r="M46" s="317">
        <f t="shared" si="17"/>
        <v>0</v>
      </c>
      <c r="N46" s="317">
        <f t="shared" si="17"/>
        <v>0</v>
      </c>
      <c r="O46" s="317">
        <f t="shared" si="17"/>
        <v>0</v>
      </c>
      <c r="P46" s="294">
        <f t="shared" si="8"/>
        <v>0</v>
      </c>
      <c r="Q46" s="30"/>
      <c r="R46" s="30"/>
      <c r="S46" s="30"/>
      <c r="T46" s="30"/>
      <c r="U46" s="30"/>
      <c r="V46" s="30"/>
      <c r="W46" s="30"/>
      <c r="X46" s="23"/>
      <c r="Y46" s="23"/>
    </row>
    <row r="47" spans="2:25" ht="15" hidden="1">
      <c r="B47" s="311">
        <v>200</v>
      </c>
      <c r="C47" s="314"/>
      <c r="D47" s="236"/>
      <c r="E47" s="236"/>
      <c r="F47" s="236"/>
      <c r="G47" s="236"/>
      <c r="H47" s="236"/>
      <c r="I47" s="236"/>
      <c r="J47" s="236"/>
      <c r="K47" s="236"/>
      <c r="L47" s="236"/>
      <c r="M47" s="236"/>
      <c r="N47" s="236"/>
      <c r="O47" s="236"/>
      <c r="P47" s="296"/>
      <c r="Q47" s="30"/>
      <c r="R47" s="30"/>
      <c r="S47" s="30"/>
      <c r="T47" s="30"/>
      <c r="U47" s="30"/>
      <c r="V47" s="30"/>
      <c r="W47" s="30"/>
      <c r="X47" s="23"/>
      <c r="Y47" s="23"/>
    </row>
    <row r="48" spans="2:25" ht="15.75" thickBot="1">
      <c r="B48" s="315" t="s">
        <v>424</v>
      </c>
      <c r="C48" s="316" t="s">
        <v>427</v>
      </c>
      <c r="D48" s="324">
        <f>IF(D40=0,0,(D36+D38)*((D40*(D42+D44)+D46)))</f>
        <v>0</v>
      </c>
      <c r="E48" s="324">
        <f t="shared" ref="E48:O48" si="18">IF(E40=0,0,(E36+E38)*((E40*(E42+E44)+E46)))</f>
        <v>0</v>
      </c>
      <c r="F48" s="324">
        <f t="shared" si="18"/>
        <v>0</v>
      </c>
      <c r="G48" s="324">
        <f t="shared" si="18"/>
        <v>0</v>
      </c>
      <c r="H48" s="324">
        <f t="shared" si="18"/>
        <v>0</v>
      </c>
      <c r="I48" s="324">
        <f t="shared" si="18"/>
        <v>0</v>
      </c>
      <c r="J48" s="324">
        <f t="shared" si="18"/>
        <v>0</v>
      </c>
      <c r="K48" s="324">
        <f t="shared" si="18"/>
        <v>0</v>
      </c>
      <c r="L48" s="324">
        <f t="shared" si="18"/>
        <v>0</v>
      </c>
      <c r="M48" s="324">
        <f t="shared" si="18"/>
        <v>0</v>
      </c>
      <c r="N48" s="324">
        <f t="shared" si="18"/>
        <v>0</v>
      </c>
      <c r="O48" s="324">
        <f t="shared" si="18"/>
        <v>0</v>
      </c>
      <c r="P48" s="296">
        <f>SUM(D48:O48)</f>
        <v>0</v>
      </c>
      <c r="Q48" s="30"/>
      <c r="R48" s="30"/>
      <c r="S48" s="30"/>
      <c r="T48" s="30"/>
      <c r="U48" s="30"/>
      <c r="V48" s="30"/>
      <c r="W48" s="30"/>
      <c r="X48" s="23"/>
      <c r="Y48" s="23"/>
    </row>
    <row r="49" spans="2:25" ht="15.75" thickBot="1">
      <c r="B49" s="303" t="s">
        <v>426</v>
      </c>
      <c r="C49" s="304"/>
      <c r="D49" s="325">
        <f t="shared" ref="D49:O49" si="19">D48+D34</f>
        <v>0</v>
      </c>
      <c r="E49" s="325">
        <f t="shared" si="19"/>
        <v>0</v>
      </c>
      <c r="F49" s="325">
        <f t="shared" si="19"/>
        <v>0</v>
      </c>
      <c r="G49" s="325">
        <f t="shared" si="19"/>
        <v>0</v>
      </c>
      <c r="H49" s="325">
        <f t="shared" si="19"/>
        <v>0</v>
      </c>
      <c r="I49" s="325">
        <f t="shared" si="19"/>
        <v>0</v>
      </c>
      <c r="J49" s="325">
        <f t="shared" si="19"/>
        <v>0</v>
      </c>
      <c r="K49" s="325">
        <f t="shared" si="19"/>
        <v>0</v>
      </c>
      <c r="L49" s="325">
        <f t="shared" si="19"/>
        <v>0</v>
      </c>
      <c r="M49" s="325">
        <f t="shared" si="19"/>
        <v>0</v>
      </c>
      <c r="N49" s="325">
        <f t="shared" si="19"/>
        <v>0</v>
      </c>
      <c r="O49" s="325">
        <f t="shared" si="19"/>
        <v>0</v>
      </c>
      <c r="P49" s="297">
        <f>SUM(D49:O49)</f>
        <v>0</v>
      </c>
      <c r="Q49" s="30"/>
      <c r="R49" s="30"/>
      <c r="S49" s="30"/>
      <c r="T49" s="30"/>
      <c r="U49" s="30"/>
      <c r="V49" s="30"/>
      <c r="W49" s="30"/>
      <c r="X49" s="23"/>
      <c r="Y49" s="23"/>
    </row>
    <row r="50" spans="2:25" ht="15" hidden="1">
      <c r="B50" s="28"/>
      <c r="C50" s="24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30"/>
      <c r="R50" s="30"/>
      <c r="S50" s="30"/>
      <c r="T50" s="30"/>
      <c r="U50" s="30"/>
      <c r="V50" s="30"/>
      <c r="W50" s="30"/>
      <c r="X50" s="23"/>
      <c r="Y50" s="23"/>
    </row>
    <row r="51" spans="2:25" ht="15" hidden="1">
      <c r="B51" s="24"/>
      <c r="C51" s="13" t="s">
        <v>794</v>
      </c>
      <c r="D51" s="229">
        <f>D34</f>
        <v>0</v>
      </c>
      <c r="E51" s="229">
        <f t="shared" ref="E51:O51" si="20">E34</f>
        <v>0</v>
      </c>
      <c r="F51" s="229">
        <f t="shared" si="20"/>
        <v>0</v>
      </c>
      <c r="G51" s="229">
        <f t="shared" si="20"/>
        <v>0</v>
      </c>
      <c r="H51" s="229">
        <f t="shared" si="20"/>
        <v>0</v>
      </c>
      <c r="I51" s="229">
        <f t="shared" si="20"/>
        <v>0</v>
      </c>
      <c r="J51" s="229">
        <f t="shared" si="20"/>
        <v>0</v>
      </c>
      <c r="K51" s="229">
        <f t="shared" si="20"/>
        <v>0</v>
      </c>
      <c r="L51" s="229">
        <f t="shared" si="20"/>
        <v>0</v>
      </c>
      <c r="M51" s="229">
        <f t="shared" si="20"/>
        <v>0</v>
      </c>
      <c r="N51" s="229">
        <f t="shared" si="20"/>
        <v>0</v>
      </c>
      <c r="O51" s="229">
        <f t="shared" si="20"/>
        <v>0</v>
      </c>
      <c r="P51" s="47"/>
      <c r="Q51" s="30"/>
      <c r="R51" s="30"/>
      <c r="S51" s="30"/>
      <c r="T51" s="30"/>
      <c r="U51" s="30"/>
      <c r="V51" s="30"/>
      <c r="W51" s="30"/>
      <c r="X51" s="23"/>
      <c r="Y51" s="23"/>
    </row>
    <row r="52" spans="2:25" ht="15" hidden="1">
      <c r="B52" s="24"/>
      <c r="C52" s="13" t="s">
        <v>796</v>
      </c>
      <c r="D52" s="229">
        <f>D48</f>
        <v>0</v>
      </c>
      <c r="E52" s="229">
        <f t="shared" ref="E52:O52" si="21">E48</f>
        <v>0</v>
      </c>
      <c r="F52" s="229">
        <f t="shared" si="21"/>
        <v>0</v>
      </c>
      <c r="G52" s="229">
        <f t="shared" si="21"/>
        <v>0</v>
      </c>
      <c r="H52" s="229">
        <f t="shared" si="21"/>
        <v>0</v>
      </c>
      <c r="I52" s="229">
        <f t="shared" si="21"/>
        <v>0</v>
      </c>
      <c r="J52" s="229">
        <f t="shared" si="21"/>
        <v>0</v>
      </c>
      <c r="K52" s="229">
        <f t="shared" si="21"/>
        <v>0</v>
      </c>
      <c r="L52" s="229">
        <f t="shared" si="21"/>
        <v>0</v>
      </c>
      <c r="M52" s="229">
        <f t="shared" si="21"/>
        <v>0</v>
      </c>
      <c r="N52" s="229">
        <f t="shared" si="21"/>
        <v>0</v>
      </c>
      <c r="O52" s="229">
        <f t="shared" si="21"/>
        <v>0</v>
      </c>
      <c r="P52" s="47"/>
      <c r="Q52" s="30"/>
      <c r="R52" s="30"/>
      <c r="S52" s="30"/>
      <c r="T52" s="30"/>
      <c r="U52" s="30"/>
      <c r="V52" s="30"/>
      <c r="W52" s="30"/>
      <c r="X52" s="23"/>
      <c r="Y52" s="23"/>
    </row>
    <row r="53" spans="2:25" ht="15.75" thickBot="1">
      <c r="B53" s="28"/>
      <c r="C53" s="24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30"/>
      <c r="R53" s="30"/>
      <c r="S53" s="30"/>
      <c r="T53" s="30"/>
      <c r="U53" s="30"/>
      <c r="V53" s="30"/>
      <c r="W53" s="30"/>
      <c r="X53" s="23"/>
      <c r="Y53" s="23"/>
    </row>
    <row r="54" spans="2:25" ht="15.75" thickTop="1">
      <c r="B54" s="1116" t="s">
        <v>770</v>
      </c>
      <c r="C54" s="1117"/>
      <c r="D54" s="1117"/>
      <c r="E54" s="1117"/>
      <c r="F54" s="1117"/>
      <c r="G54" s="1117"/>
      <c r="H54" s="1117"/>
      <c r="I54" s="1117"/>
      <c r="J54" s="1117"/>
      <c r="K54" s="1117"/>
      <c r="L54" s="1117"/>
      <c r="M54" s="1117"/>
      <c r="N54" s="1117"/>
      <c r="O54" s="1118"/>
      <c r="P54" s="288" t="s">
        <v>205</v>
      </c>
      <c r="Q54" s="30"/>
      <c r="R54" s="30"/>
      <c r="S54" s="30"/>
      <c r="T54" s="30"/>
      <c r="U54" s="30"/>
      <c r="V54" s="30"/>
      <c r="W54" s="30"/>
      <c r="X54" s="23"/>
      <c r="Y54" s="23"/>
    </row>
    <row r="55" spans="2:25" ht="15">
      <c r="B55" s="1103" t="s">
        <v>922</v>
      </c>
      <c r="C55" s="1104"/>
      <c r="D55" s="207"/>
      <c r="E55" s="207"/>
      <c r="F55" s="207"/>
      <c r="G55" s="207"/>
      <c r="H55" s="207"/>
      <c r="I55" s="207"/>
      <c r="J55" s="207"/>
      <c r="K55" s="207"/>
      <c r="L55" s="207"/>
      <c r="M55" s="207"/>
      <c r="N55" s="207"/>
      <c r="O55" s="208"/>
      <c r="P55" s="294">
        <f>SUM(D55:O55)</f>
        <v>0</v>
      </c>
      <c r="Q55" s="30"/>
      <c r="R55" s="30"/>
      <c r="S55" s="30"/>
      <c r="T55" s="30"/>
      <c r="U55" s="30"/>
      <c r="V55" s="30"/>
      <c r="W55" s="30"/>
      <c r="X55" s="23"/>
      <c r="Y55" s="23"/>
    </row>
    <row r="56" spans="2:25" ht="15">
      <c r="B56" s="1103" t="s">
        <v>228</v>
      </c>
      <c r="C56" s="1104"/>
      <c r="D56" s="207"/>
      <c r="E56" s="207"/>
      <c r="F56" s="207"/>
      <c r="G56" s="207"/>
      <c r="H56" s="207"/>
      <c r="I56" s="207"/>
      <c r="J56" s="207"/>
      <c r="K56" s="207"/>
      <c r="L56" s="207"/>
      <c r="M56" s="207"/>
      <c r="N56" s="207"/>
      <c r="O56" s="208"/>
      <c r="P56" s="294">
        <f t="shared" ref="P56:P61" si="22">SUM(D56:O56)</f>
        <v>0</v>
      </c>
      <c r="Q56" s="30"/>
      <c r="R56" s="30"/>
      <c r="S56" s="30"/>
      <c r="T56" s="30"/>
      <c r="U56" s="30"/>
      <c r="V56" s="30"/>
      <c r="W56" s="30"/>
      <c r="X56" s="23"/>
      <c r="Y56" s="23"/>
    </row>
    <row r="57" spans="2:25" ht="15">
      <c r="B57" s="1103" t="s">
        <v>229</v>
      </c>
      <c r="C57" s="1104"/>
      <c r="D57" s="207"/>
      <c r="E57" s="207"/>
      <c r="F57" s="207"/>
      <c r="G57" s="207"/>
      <c r="H57" s="207"/>
      <c r="I57" s="207"/>
      <c r="J57" s="207"/>
      <c r="K57" s="207"/>
      <c r="L57" s="207"/>
      <c r="M57" s="207"/>
      <c r="N57" s="207"/>
      <c r="O57" s="208"/>
      <c r="P57" s="294">
        <f t="shared" si="22"/>
        <v>0</v>
      </c>
      <c r="Q57" s="30"/>
      <c r="R57" s="30"/>
      <c r="S57" s="30"/>
      <c r="T57" s="30"/>
      <c r="U57" s="30"/>
      <c r="V57" s="30"/>
      <c r="W57" s="30"/>
      <c r="X57" s="23"/>
      <c r="Y57" s="23"/>
    </row>
    <row r="58" spans="2:25" ht="15">
      <c r="B58" s="1103" t="s">
        <v>230</v>
      </c>
      <c r="C58" s="1104"/>
      <c r="D58" s="207"/>
      <c r="E58" s="207"/>
      <c r="F58" s="207"/>
      <c r="G58" s="207"/>
      <c r="H58" s="207"/>
      <c r="I58" s="207"/>
      <c r="J58" s="207"/>
      <c r="K58" s="207"/>
      <c r="L58" s="207"/>
      <c r="M58" s="207"/>
      <c r="N58" s="207"/>
      <c r="O58" s="208"/>
      <c r="P58" s="294">
        <f t="shared" si="22"/>
        <v>0</v>
      </c>
      <c r="Q58" s="30"/>
      <c r="R58" s="30"/>
      <c r="S58" s="30"/>
      <c r="T58" s="30"/>
      <c r="U58" s="30"/>
      <c r="V58" s="30"/>
      <c r="W58" s="30"/>
      <c r="X58" s="23"/>
      <c r="Y58" s="23"/>
    </row>
    <row r="59" spans="2:25" ht="15">
      <c r="B59" s="1103"/>
      <c r="C59" s="1104"/>
      <c r="D59" s="207"/>
      <c r="E59" s="207"/>
      <c r="F59" s="207"/>
      <c r="G59" s="207"/>
      <c r="H59" s="207"/>
      <c r="I59" s="207"/>
      <c r="J59" s="207"/>
      <c r="K59" s="207"/>
      <c r="L59" s="207"/>
      <c r="M59" s="207"/>
      <c r="N59" s="207"/>
      <c r="O59" s="208"/>
      <c r="P59" s="294">
        <f t="shared" si="22"/>
        <v>0</v>
      </c>
      <c r="Q59" s="30"/>
      <c r="R59" s="30"/>
      <c r="S59" s="30"/>
      <c r="T59" s="30"/>
      <c r="U59" s="30"/>
      <c r="V59" s="30"/>
      <c r="W59" s="30"/>
      <c r="X59" s="23"/>
      <c r="Y59" s="23"/>
    </row>
    <row r="60" spans="2:25" ht="15">
      <c r="B60" s="1103"/>
      <c r="C60" s="1104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8"/>
      <c r="P60" s="294">
        <f t="shared" si="22"/>
        <v>0</v>
      </c>
      <c r="Q60" s="30"/>
      <c r="R60" s="30"/>
      <c r="S60" s="30"/>
      <c r="T60" s="30"/>
      <c r="U60" s="30"/>
      <c r="V60" s="30"/>
      <c r="W60" s="30"/>
      <c r="X60" s="23"/>
      <c r="Y60" s="23"/>
    </row>
    <row r="61" spans="2:25" ht="15">
      <c r="B61" s="1103"/>
      <c r="C61" s="1104"/>
      <c r="D61" s="207"/>
      <c r="E61" s="207"/>
      <c r="F61" s="207"/>
      <c r="G61" s="207"/>
      <c r="H61" s="207"/>
      <c r="I61" s="207"/>
      <c r="J61" s="207"/>
      <c r="K61" s="207"/>
      <c r="L61" s="207"/>
      <c r="M61" s="207"/>
      <c r="N61" s="207"/>
      <c r="O61" s="208"/>
      <c r="P61" s="294">
        <f t="shared" si="22"/>
        <v>0</v>
      </c>
      <c r="Q61" s="30"/>
      <c r="R61" s="30"/>
      <c r="S61" s="30"/>
      <c r="T61" s="30"/>
      <c r="U61" s="30"/>
      <c r="V61" s="30"/>
      <c r="W61" s="30"/>
      <c r="X61" s="23"/>
      <c r="Y61" s="23"/>
    </row>
    <row r="62" spans="2:25" ht="15.75" thickBot="1">
      <c r="B62" s="1109"/>
      <c r="C62" s="1110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10"/>
      <c r="P62" s="294">
        <f>SUM(D62:O62)</f>
        <v>0</v>
      </c>
      <c r="Q62" s="30"/>
      <c r="R62" s="30"/>
      <c r="S62" s="30"/>
      <c r="T62" s="30"/>
      <c r="U62" s="30"/>
      <c r="V62" s="30"/>
      <c r="W62" s="30"/>
      <c r="X62" s="23"/>
      <c r="Y62" s="23"/>
    </row>
    <row r="63" spans="2:25" ht="15.75" thickBot="1">
      <c r="B63" s="1111" t="s">
        <v>216</v>
      </c>
      <c r="C63" s="1112"/>
      <c r="D63" s="328">
        <f t="shared" ref="D63:O63" si="23">SUM(D55:D62)</f>
        <v>0</v>
      </c>
      <c r="E63" s="328">
        <f t="shared" si="23"/>
        <v>0</v>
      </c>
      <c r="F63" s="328">
        <f t="shared" si="23"/>
        <v>0</v>
      </c>
      <c r="G63" s="328">
        <f t="shared" si="23"/>
        <v>0</v>
      </c>
      <c r="H63" s="328">
        <f t="shared" si="23"/>
        <v>0</v>
      </c>
      <c r="I63" s="328">
        <f t="shared" si="23"/>
        <v>0</v>
      </c>
      <c r="J63" s="328">
        <f t="shared" si="23"/>
        <v>0</v>
      </c>
      <c r="K63" s="328">
        <f t="shared" si="23"/>
        <v>0</v>
      </c>
      <c r="L63" s="328">
        <f t="shared" si="23"/>
        <v>0</v>
      </c>
      <c r="M63" s="328">
        <f t="shared" si="23"/>
        <v>0</v>
      </c>
      <c r="N63" s="328">
        <f t="shared" si="23"/>
        <v>0</v>
      </c>
      <c r="O63" s="329">
        <f t="shared" si="23"/>
        <v>0</v>
      </c>
      <c r="P63" s="298">
        <f>SUM(D63:O63)</f>
        <v>0</v>
      </c>
      <c r="Q63" s="30"/>
      <c r="R63" s="30"/>
      <c r="S63" s="30"/>
      <c r="T63" s="30"/>
      <c r="U63" s="30"/>
      <c r="V63" s="30"/>
      <c r="W63" s="30"/>
      <c r="X63" s="23"/>
      <c r="Y63" s="23"/>
    </row>
    <row r="64" spans="2:25" ht="15.75" thickBot="1">
      <c r="B64" s="28"/>
      <c r="C64" s="24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30"/>
      <c r="R64" s="30"/>
      <c r="S64" s="30"/>
      <c r="T64" s="30"/>
      <c r="U64" s="30"/>
      <c r="V64" s="30"/>
      <c r="W64" s="30"/>
      <c r="X64" s="23"/>
      <c r="Y64" s="23"/>
    </row>
    <row r="65" spans="2:25" ht="15.75" thickTop="1">
      <c r="B65" s="1105" t="s">
        <v>162</v>
      </c>
      <c r="C65" s="1106"/>
      <c r="D65" s="1106"/>
      <c r="E65" s="1106"/>
      <c r="F65" s="1106"/>
      <c r="G65" s="1106"/>
      <c r="H65" s="1106"/>
      <c r="I65" s="1106"/>
      <c r="J65" s="1106"/>
      <c r="K65" s="1106"/>
      <c r="L65" s="1106"/>
      <c r="M65" s="1106"/>
      <c r="N65" s="1106"/>
      <c r="O65" s="1106"/>
      <c r="P65" s="288" t="s">
        <v>205</v>
      </c>
      <c r="Q65" s="30"/>
      <c r="R65" s="30"/>
      <c r="S65" s="30"/>
      <c r="T65" s="30"/>
      <c r="U65" s="30"/>
      <c r="V65" s="30"/>
      <c r="W65" s="30"/>
      <c r="X65" s="23"/>
      <c r="Y65" s="23"/>
    </row>
    <row r="66" spans="2:25" ht="15">
      <c r="B66" s="352">
        <f>IF(ISBLANK(C66),"",INDEX(List!$AP$2:$AP$3,MATCH($C66,List!$AO$2:$AO$3,0)))</f>
        <v>45</v>
      </c>
      <c r="C66" s="300" t="s">
        <v>757</v>
      </c>
      <c r="D66" s="317" t="str">
        <f>IF(D67=FALSE,"",B66/P67*100000)</f>
        <v/>
      </c>
      <c r="E66" s="317" t="str">
        <f>IF(E67=FALSE,"",B66/P67*100000)</f>
        <v/>
      </c>
      <c r="F66" s="317" t="str">
        <f>IF(F67=FALSE,"",B66/P67*100000)</f>
        <v/>
      </c>
      <c r="G66" s="317" t="str">
        <f>IF(G67=FALSE,"",B66/P67*100000)</f>
        <v/>
      </c>
      <c r="H66" s="317" t="str">
        <f>IF(H67=FALSE,"",B66/P67*100000)</f>
        <v/>
      </c>
      <c r="I66" s="317" t="str">
        <f>IF(I67=FALSE,"",B66/P67*100000)</f>
        <v/>
      </c>
      <c r="J66" s="317" t="str">
        <f>IF(J67=FALSE,"",B66/P67*100000)</f>
        <v/>
      </c>
      <c r="K66" s="317" t="str">
        <f>IF(K67=FALSE,"",B66/P67*100000)</f>
        <v/>
      </c>
      <c r="L66" s="317" t="str">
        <f>IF(L67=FALSE,"",B66/P67*100000)</f>
        <v/>
      </c>
      <c r="M66" s="317" t="str">
        <f>IF(M67=FALSE,"",B66/P67*100000)</f>
        <v/>
      </c>
      <c r="N66" s="317" t="str">
        <f>IF(N67=FALSE,"",B66/P67*100000)</f>
        <v/>
      </c>
      <c r="O66" s="318" t="str">
        <f>IF(O67=FALSE,"",B66/P67*100000)</f>
        <v/>
      </c>
      <c r="P66" s="294">
        <f>SUM(D66:O66)</f>
        <v>0</v>
      </c>
      <c r="Q66" s="30"/>
      <c r="R66" s="30"/>
      <c r="S66" s="30"/>
      <c r="T66" s="30"/>
      <c r="U66" s="30"/>
      <c r="V66" s="30"/>
      <c r="W66" s="30"/>
      <c r="X66" s="23"/>
      <c r="Y66" s="23"/>
    </row>
    <row r="67" spans="2:25" ht="15" hidden="1">
      <c r="B67" s="1107" t="str">
        <f>IF(ISBLANK(C67),"",INDEX(List!$AP$2:$AP$3,MATCH($C67,List!$AO$2:$AO$3,0)))</f>
        <v/>
      </c>
      <c r="C67" s="1108"/>
      <c r="D67" s="319" t="b">
        <v>0</v>
      </c>
      <c r="E67" s="319" t="b">
        <v>0</v>
      </c>
      <c r="F67" s="319" t="b">
        <v>0</v>
      </c>
      <c r="G67" s="319" t="b">
        <v>0</v>
      </c>
      <c r="H67" s="319" t="b">
        <v>0</v>
      </c>
      <c r="I67" s="319" t="b">
        <v>0</v>
      </c>
      <c r="J67" s="319" t="b">
        <v>0</v>
      </c>
      <c r="K67" s="319" t="b">
        <v>0</v>
      </c>
      <c r="L67" s="319" t="b">
        <v>0</v>
      </c>
      <c r="M67" s="319" t="b">
        <v>0</v>
      </c>
      <c r="N67" s="319" t="b">
        <v>0</v>
      </c>
      <c r="O67" s="320" t="b">
        <v>0</v>
      </c>
      <c r="P67" s="294">
        <f>COUNTIF(D67:O67,TRUE)</f>
        <v>0</v>
      </c>
      <c r="Q67" s="30"/>
      <c r="R67" s="30"/>
      <c r="S67" s="30"/>
      <c r="T67" s="30"/>
      <c r="U67" s="30"/>
      <c r="V67" s="30"/>
      <c r="W67" s="30"/>
      <c r="X67" s="23"/>
      <c r="Y67" s="23"/>
    </row>
    <row r="68" spans="2:25" ht="15">
      <c r="B68" s="352" t="str">
        <f>IF(ISBLANK(C68),"",INDEX(List!$AP$2:$AP$3,MATCH($C68,List!$AO$2:$AO$3,0)))</f>
        <v/>
      </c>
      <c r="C68" s="300"/>
      <c r="D68" s="317" t="str">
        <f>IF(D69=FALSE,"",B68/P69*100000)</f>
        <v/>
      </c>
      <c r="E68" s="317" t="str">
        <f>IF(E69=FALSE,"",B68/P69*100000)</f>
        <v/>
      </c>
      <c r="F68" s="317" t="str">
        <f>IF(F69=FALSE,"",B68/P69*100000)</f>
        <v/>
      </c>
      <c r="G68" s="317" t="str">
        <f>IF(G69=FALSE,"",B68/P69*100000)</f>
        <v/>
      </c>
      <c r="H68" s="317" t="str">
        <f>IF(H69=FALSE,"",B68/P69*100000)</f>
        <v/>
      </c>
      <c r="I68" s="317" t="str">
        <f>IF(I69=FALSE,"",B68/P69*100000)</f>
        <v/>
      </c>
      <c r="J68" s="317" t="str">
        <f>IF(J69=FALSE,"",B68/P69*100000)</f>
        <v/>
      </c>
      <c r="K68" s="317" t="str">
        <f>IF(K69=FALSE,"",B68/P69*100000)</f>
        <v/>
      </c>
      <c r="L68" s="317" t="str">
        <f>IF(L69=FALSE,"",B68/P69*100000)</f>
        <v/>
      </c>
      <c r="M68" s="317" t="str">
        <f>IF(M69=FALSE,"",B68/P69*100000)</f>
        <v/>
      </c>
      <c r="N68" s="317" t="str">
        <f>IF(N69=FALSE,"",B68/P69*100000)</f>
        <v/>
      </c>
      <c r="O68" s="318" t="str">
        <f>IF(O69=FALSE,"",B68/P69*100000)</f>
        <v/>
      </c>
      <c r="P68" s="294">
        <f>SUM(D68:O68)</f>
        <v>0</v>
      </c>
      <c r="Q68" s="30"/>
      <c r="R68" s="30"/>
      <c r="S68" s="30"/>
      <c r="T68" s="30"/>
      <c r="U68" s="30"/>
      <c r="V68" s="30"/>
      <c r="W68" s="30"/>
      <c r="X68" s="23"/>
      <c r="Y68" s="23"/>
    </row>
    <row r="69" spans="2:25" ht="15" hidden="1">
      <c r="B69" s="352">
        <f>IF(ISBLANK(C69),"",INDEX(List!$AP$2:$AP$3,MATCH($C69,List!$AO$2:$AO$3,0)))</f>
        <v>51</v>
      </c>
      <c r="C69" s="300" t="s">
        <v>756</v>
      </c>
      <c r="D69" s="319" t="b">
        <v>0</v>
      </c>
      <c r="E69" s="319" t="b">
        <v>0</v>
      </c>
      <c r="F69" s="319" t="b">
        <v>0</v>
      </c>
      <c r="G69" s="319" t="b">
        <v>0</v>
      </c>
      <c r="H69" s="319" t="b">
        <v>0</v>
      </c>
      <c r="I69" s="319" t="b">
        <v>0</v>
      </c>
      <c r="J69" s="319" t="b">
        <v>0</v>
      </c>
      <c r="K69" s="319" t="b">
        <v>0</v>
      </c>
      <c r="L69" s="319" t="b">
        <v>0</v>
      </c>
      <c r="M69" s="319" t="b">
        <v>0</v>
      </c>
      <c r="N69" s="319" t="b">
        <v>0</v>
      </c>
      <c r="O69" s="320" t="b">
        <v>0</v>
      </c>
      <c r="P69" s="294">
        <f>COUNTIF(D69:O69,TRUE)</f>
        <v>0</v>
      </c>
      <c r="Q69" s="30"/>
      <c r="R69" s="30"/>
      <c r="S69" s="30"/>
      <c r="T69" s="30"/>
      <c r="U69" s="30"/>
      <c r="V69" s="30"/>
      <c r="W69" s="30"/>
      <c r="X69" s="23"/>
      <c r="Y69" s="23"/>
    </row>
    <row r="70" spans="2:25" ht="15.75" thickBot="1">
      <c r="B70" s="352" t="str">
        <f>IF(ISBLANK(C70),"",INDEX(List!$AP$2:$AP$3,MATCH($C70,List!$AO$2:$AO$3,0)))</f>
        <v/>
      </c>
      <c r="C70" s="300"/>
      <c r="D70" s="317" t="str">
        <f>IF(D71=FALSE,"",B70/P71*100000)</f>
        <v/>
      </c>
      <c r="E70" s="317" t="str">
        <f>IF(E71=FALSE,"",B70/P71*100000)</f>
        <v/>
      </c>
      <c r="F70" s="317" t="str">
        <f>IF(F71=FALSE,"",B70/P71*100000)</f>
        <v/>
      </c>
      <c r="G70" s="317" t="str">
        <f>IF(G71=FALSE,"",B70/P71*100000)</f>
        <v/>
      </c>
      <c r="H70" s="317" t="str">
        <f>IF(H71=FALSE,"",B70/P71*100000)</f>
        <v/>
      </c>
      <c r="I70" s="317" t="str">
        <f>IF(I71=FALSE,"",B70/P71*100000)</f>
        <v/>
      </c>
      <c r="J70" s="317" t="str">
        <f>IF(J71=FALSE,"",B70/P71*100000)</f>
        <v/>
      </c>
      <c r="K70" s="317" t="str">
        <f>IF(K71=FALSE,"",B70/P71*100000)</f>
        <v/>
      </c>
      <c r="L70" s="317" t="str">
        <f>IF(L71=FALSE,"",B70/P71*100000)</f>
        <v/>
      </c>
      <c r="M70" s="317" t="str">
        <f>IF(M71=FALSE,"",B70/P71*100000)</f>
        <v/>
      </c>
      <c r="N70" s="317" t="str">
        <f>IF(N71=FALSE,"",B70/P71*100000)</f>
        <v/>
      </c>
      <c r="O70" s="318" t="str">
        <f>IF(O71=FALSE,"",B70/P71*100000)</f>
        <v/>
      </c>
      <c r="P70" s="294">
        <f>SUM(D70:O70)</f>
        <v>0</v>
      </c>
      <c r="Q70" s="30"/>
      <c r="R70" s="30"/>
      <c r="S70" s="30"/>
      <c r="T70" s="30"/>
      <c r="U70" s="30"/>
      <c r="V70" s="30"/>
      <c r="W70" s="30"/>
      <c r="X70" s="23"/>
      <c r="Y70" s="23"/>
    </row>
    <row r="71" spans="2:25" ht="15.75" hidden="1" thickBot="1">
      <c r="B71" s="301"/>
      <c r="C71" s="302"/>
      <c r="D71" s="284" t="b">
        <v>0</v>
      </c>
      <c r="E71" s="284" t="b">
        <v>0</v>
      </c>
      <c r="F71" s="284" t="b">
        <v>0</v>
      </c>
      <c r="G71" s="284" t="b">
        <v>0</v>
      </c>
      <c r="H71" s="284" t="b">
        <v>0</v>
      </c>
      <c r="I71" s="284" t="b">
        <v>0</v>
      </c>
      <c r="J71" s="284" t="b">
        <v>0</v>
      </c>
      <c r="K71" s="284" t="b">
        <v>0</v>
      </c>
      <c r="L71" s="284" t="b">
        <v>0</v>
      </c>
      <c r="M71" s="284" t="b">
        <v>0</v>
      </c>
      <c r="N71" s="284" t="b">
        <v>0</v>
      </c>
      <c r="O71" s="285" t="b">
        <v>0</v>
      </c>
      <c r="P71" s="294">
        <f>COUNTIF(D71:O71,TRUE)</f>
        <v>0</v>
      </c>
      <c r="Q71" s="30"/>
      <c r="R71" s="30"/>
      <c r="S71" s="30"/>
      <c r="T71" s="30"/>
      <c r="U71" s="30"/>
      <c r="V71" s="30"/>
      <c r="W71" s="30"/>
      <c r="X71" s="23"/>
      <c r="Y71" s="23"/>
    </row>
    <row r="72" spans="2:25" ht="15.75" thickBot="1">
      <c r="B72" s="303" t="s">
        <v>216</v>
      </c>
      <c r="C72" s="304"/>
      <c r="D72" s="325">
        <f t="shared" ref="D72:O72" si="24">SUM(D66:D71)</f>
        <v>0</v>
      </c>
      <c r="E72" s="325">
        <f t="shared" si="24"/>
        <v>0</v>
      </c>
      <c r="F72" s="325">
        <f t="shared" si="24"/>
        <v>0</v>
      </c>
      <c r="G72" s="325">
        <f t="shared" si="24"/>
        <v>0</v>
      </c>
      <c r="H72" s="325">
        <f t="shared" si="24"/>
        <v>0</v>
      </c>
      <c r="I72" s="325">
        <f t="shared" si="24"/>
        <v>0</v>
      </c>
      <c r="J72" s="325">
        <f t="shared" si="24"/>
        <v>0</v>
      </c>
      <c r="K72" s="325">
        <f t="shared" si="24"/>
        <v>0</v>
      </c>
      <c r="L72" s="325">
        <f t="shared" si="24"/>
        <v>0</v>
      </c>
      <c r="M72" s="325">
        <f t="shared" si="24"/>
        <v>0</v>
      </c>
      <c r="N72" s="325">
        <f t="shared" si="24"/>
        <v>0</v>
      </c>
      <c r="O72" s="330">
        <f t="shared" si="24"/>
        <v>0</v>
      </c>
      <c r="P72" s="298">
        <f>SUM(D72:O72)</f>
        <v>0</v>
      </c>
      <c r="Q72" s="30"/>
      <c r="R72" s="30"/>
      <c r="S72" s="30"/>
      <c r="T72" s="30"/>
      <c r="U72" s="30"/>
      <c r="V72" s="30"/>
      <c r="W72" s="30"/>
      <c r="X72" s="23"/>
      <c r="Y72" s="23"/>
    </row>
    <row r="73" spans="2:25" s="276" customFormat="1">
      <c r="D73" s="272"/>
      <c r="E73" s="272"/>
      <c r="F73" s="272"/>
      <c r="G73" s="272"/>
      <c r="H73" s="272"/>
      <c r="I73" s="272"/>
      <c r="J73" s="272"/>
      <c r="K73" s="272"/>
      <c r="L73" s="272"/>
      <c r="M73" s="272"/>
      <c r="N73" s="272"/>
      <c r="O73" s="272"/>
      <c r="P73" s="272"/>
      <c r="Q73" s="272"/>
      <c r="R73" s="272"/>
      <c r="S73" s="272"/>
      <c r="T73" s="272"/>
      <c r="U73" s="272"/>
      <c r="V73" s="272"/>
      <c r="W73" s="272"/>
    </row>
    <row r="74" spans="2:25" s="276" customFormat="1">
      <c r="D74" s="272"/>
      <c r="E74" s="272"/>
      <c r="F74" s="272"/>
      <c r="G74" s="272"/>
      <c r="H74" s="272"/>
      <c r="I74" s="272"/>
      <c r="J74" s="272"/>
      <c r="K74" s="272"/>
      <c r="L74" s="272"/>
      <c r="M74" s="272"/>
      <c r="N74" s="272"/>
      <c r="O74" s="272"/>
      <c r="P74" s="272"/>
      <c r="Q74" s="272"/>
      <c r="R74" s="272"/>
      <c r="S74" s="272"/>
      <c r="T74" s="272"/>
      <c r="U74" s="272"/>
      <c r="V74" s="272"/>
      <c r="W74" s="272"/>
    </row>
    <row r="75" spans="2:25" s="276" customFormat="1"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</row>
    <row r="76" spans="2:25" s="276" customFormat="1"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</row>
    <row r="77" spans="2:25" s="276" customFormat="1"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</row>
    <row r="78" spans="2:25" s="276" customFormat="1">
      <c r="D78" s="272"/>
      <c r="E78" s="272"/>
      <c r="F78" s="272"/>
      <c r="G78" s="272"/>
      <c r="H78" s="272"/>
      <c r="I78" s="272"/>
      <c r="J78" s="272"/>
      <c r="K78" s="272"/>
      <c r="L78" s="272"/>
      <c r="M78" s="272"/>
      <c r="N78" s="272"/>
      <c r="O78" s="272"/>
      <c r="P78" s="272"/>
      <c r="Q78" s="272"/>
      <c r="R78" s="272"/>
      <c r="S78" s="272"/>
      <c r="T78" s="272"/>
      <c r="U78" s="272"/>
      <c r="V78" s="272"/>
      <c r="W78" s="272"/>
    </row>
    <row r="79" spans="2:25" s="276" customFormat="1"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272"/>
      <c r="W79" s="272"/>
    </row>
    <row r="80" spans="2:25" s="276" customFormat="1">
      <c r="D80" s="272"/>
      <c r="E80" s="272"/>
      <c r="F80" s="272"/>
      <c r="G80" s="272"/>
      <c r="H80" s="272"/>
      <c r="I80" s="272"/>
      <c r="J80" s="272"/>
      <c r="K80" s="272"/>
      <c r="L80" s="272"/>
      <c r="M80" s="272"/>
      <c r="N80" s="272"/>
      <c r="O80" s="272"/>
      <c r="P80" s="272"/>
      <c r="Q80" s="272"/>
      <c r="R80" s="272"/>
      <c r="S80" s="272"/>
      <c r="T80" s="272"/>
      <c r="U80" s="272"/>
      <c r="V80" s="272"/>
      <c r="W80" s="272"/>
    </row>
    <row r="81" spans="4:23" s="276" customFormat="1">
      <c r="D81" s="272"/>
      <c r="E81" s="272"/>
      <c r="F81" s="272"/>
      <c r="G81" s="272"/>
      <c r="H81" s="272"/>
      <c r="I81" s="272"/>
      <c r="J81" s="272"/>
      <c r="K81" s="272"/>
      <c r="L81" s="272"/>
      <c r="M81" s="272"/>
      <c r="N81" s="272"/>
      <c r="O81" s="272"/>
      <c r="P81" s="272"/>
      <c r="Q81" s="272"/>
      <c r="R81" s="272"/>
      <c r="S81" s="272"/>
      <c r="T81" s="272"/>
      <c r="U81" s="272"/>
      <c r="V81" s="272"/>
      <c r="W81" s="272"/>
    </row>
    <row r="82" spans="4:23" s="276" customFormat="1"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2"/>
      <c r="T82" s="272"/>
      <c r="U82" s="272"/>
      <c r="V82" s="272"/>
      <c r="W82" s="272"/>
    </row>
    <row r="83" spans="4:23" s="276" customFormat="1"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72"/>
      <c r="P83" s="272"/>
      <c r="Q83" s="272"/>
      <c r="R83" s="272"/>
      <c r="S83" s="272"/>
      <c r="T83" s="272"/>
      <c r="U83" s="272"/>
      <c r="V83" s="272"/>
      <c r="W83" s="272"/>
    </row>
    <row r="84" spans="4:23" s="276" customFormat="1">
      <c r="D84" s="272"/>
      <c r="E84" s="272"/>
      <c r="F84" s="272"/>
      <c r="G84" s="272"/>
      <c r="H84" s="272"/>
      <c r="I84" s="272"/>
      <c r="J84" s="272"/>
      <c r="K84" s="272"/>
      <c r="L84" s="272"/>
      <c r="M84" s="272"/>
      <c r="N84" s="272"/>
      <c r="O84" s="272"/>
      <c r="P84" s="272"/>
      <c r="Q84" s="272"/>
      <c r="R84" s="272"/>
      <c r="S84" s="272"/>
      <c r="T84" s="272"/>
      <c r="U84" s="272"/>
      <c r="V84" s="272"/>
      <c r="W84" s="272"/>
    </row>
    <row r="85" spans="4:23" s="276" customFormat="1">
      <c r="D85" s="272"/>
      <c r="E85" s="272"/>
      <c r="F85" s="272"/>
      <c r="G85" s="272"/>
      <c r="H85" s="272"/>
      <c r="I85" s="272"/>
      <c r="J85" s="272"/>
      <c r="K85" s="272"/>
      <c r="L85" s="272"/>
      <c r="M85" s="272"/>
      <c r="N85" s="272"/>
      <c r="O85" s="272"/>
      <c r="P85" s="272"/>
      <c r="Q85" s="272"/>
      <c r="R85" s="272"/>
      <c r="S85" s="272"/>
      <c r="T85" s="272"/>
      <c r="U85" s="272"/>
      <c r="V85" s="272"/>
      <c r="W85" s="272"/>
    </row>
    <row r="86" spans="4:23" s="276" customFormat="1">
      <c r="D86" s="272"/>
      <c r="E86" s="272"/>
      <c r="F86" s="272"/>
      <c r="G86" s="272"/>
      <c r="H86" s="272"/>
      <c r="I86" s="272"/>
      <c r="J86" s="272"/>
      <c r="K86" s="272"/>
      <c r="L86" s="272"/>
      <c r="M86" s="272"/>
      <c r="N86" s="272"/>
      <c r="O86" s="272"/>
      <c r="P86" s="272"/>
      <c r="Q86" s="272"/>
      <c r="R86" s="272"/>
      <c r="S86" s="272"/>
      <c r="T86" s="272"/>
      <c r="U86" s="272"/>
      <c r="V86" s="272"/>
      <c r="W86" s="272"/>
    </row>
    <row r="87" spans="4:23" s="276" customFormat="1">
      <c r="D87" s="272"/>
      <c r="E87" s="272"/>
      <c r="F87" s="272"/>
      <c r="G87" s="272"/>
      <c r="H87" s="272"/>
      <c r="I87" s="272"/>
      <c r="J87" s="272"/>
      <c r="K87" s="272"/>
      <c r="L87" s="272"/>
      <c r="M87" s="272"/>
      <c r="N87" s="272"/>
      <c r="O87" s="272"/>
      <c r="P87" s="272"/>
      <c r="Q87" s="272"/>
      <c r="R87" s="272"/>
      <c r="S87" s="272"/>
      <c r="T87" s="272"/>
      <c r="U87" s="272"/>
      <c r="V87" s="272"/>
      <c r="W87" s="272"/>
    </row>
    <row r="88" spans="4:23" s="276" customFormat="1">
      <c r="D88" s="272"/>
      <c r="E88" s="272"/>
      <c r="F88" s="272"/>
      <c r="G88" s="272"/>
      <c r="H88" s="272"/>
      <c r="I88" s="272"/>
      <c r="J88" s="272"/>
      <c r="K88" s="272"/>
      <c r="L88" s="272"/>
      <c r="M88" s="272"/>
      <c r="N88" s="272"/>
      <c r="O88" s="272"/>
      <c r="P88" s="272"/>
      <c r="Q88" s="272"/>
      <c r="R88" s="272"/>
      <c r="S88" s="272"/>
      <c r="T88" s="272"/>
      <c r="U88" s="272"/>
      <c r="V88" s="272"/>
      <c r="W88" s="272"/>
    </row>
    <row r="89" spans="4:23" s="276" customFormat="1">
      <c r="D89" s="272"/>
      <c r="E89" s="272"/>
      <c r="F89" s="272"/>
      <c r="G89" s="272"/>
      <c r="H89" s="272"/>
      <c r="I89" s="272"/>
      <c r="J89" s="272"/>
      <c r="K89" s="272"/>
      <c r="L89" s="272"/>
      <c r="M89" s="272"/>
      <c r="N89" s="272"/>
      <c r="O89" s="272"/>
      <c r="P89" s="272"/>
      <c r="Q89" s="272"/>
      <c r="R89" s="272"/>
      <c r="S89" s="272"/>
      <c r="T89" s="272"/>
      <c r="U89" s="272"/>
      <c r="V89" s="272"/>
      <c r="W89" s="272"/>
    </row>
    <row r="90" spans="4:23" s="276" customFormat="1">
      <c r="D90" s="272"/>
      <c r="E90" s="272"/>
      <c r="F90" s="272"/>
      <c r="G90" s="272"/>
      <c r="H90" s="272"/>
      <c r="I90" s="272"/>
      <c r="J90" s="272"/>
      <c r="K90" s="272"/>
      <c r="L90" s="272"/>
      <c r="M90" s="272"/>
      <c r="N90" s="272"/>
      <c r="O90" s="272"/>
      <c r="P90" s="272"/>
      <c r="Q90" s="272"/>
      <c r="R90" s="272"/>
      <c r="S90" s="272"/>
      <c r="T90" s="272"/>
      <c r="U90" s="272"/>
      <c r="V90" s="272"/>
      <c r="W90" s="272"/>
    </row>
    <row r="91" spans="4:23" s="276" customFormat="1">
      <c r="D91" s="272"/>
      <c r="E91" s="272"/>
      <c r="F91" s="272"/>
      <c r="G91" s="272"/>
      <c r="H91" s="272"/>
      <c r="I91" s="272"/>
      <c r="J91" s="272"/>
      <c r="K91" s="272"/>
      <c r="L91" s="272"/>
      <c r="M91" s="272"/>
      <c r="N91" s="272"/>
      <c r="O91" s="272"/>
      <c r="P91" s="272"/>
      <c r="Q91" s="272"/>
      <c r="R91" s="272"/>
      <c r="S91" s="272"/>
      <c r="T91" s="272"/>
      <c r="U91" s="272"/>
      <c r="V91" s="272"/>
      <c r="W91" s="272"/>
    </row>
    <row r="92" spans="4:23" s="276" customFormat="1"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272"/>
      <c r="P92" s="272"/>
      <c r="Q92" s="272"/>
      <c r="R92" s="272"/>
      <c r="S92" s="272"/>
      <c r="T92" s="272"/>
      <c r="U92" s="272"/>
      <c r="V92" s="272"/>
      <c r="W92" s="272"/>
    </row>
    <row r="93" spans="4:23" s="276" customFormat="1">
      <c r="D93" s="272"/>
      <c r="E93" s="272"/>
      <c r="F93" s="272"/>
      <c r="G93" s="272"/>
      <c r="H93" s="272"/>
      <c r="I93" s="272"/>
      <c r="J93" s="272"/>
      <c r="K93" s="272"/>
      <c r="L93" s="272"/>
      <c r="M93" s="272"/>
      <c r="N93" s="272"/>
      <c r="O93" s="272"/>
      <c r="P93" s="272"/>
      <c r="Q93" s="272"/>
      <c r="R93" s="272"/>
      <c r="S93" s="272"/>
      <c r="T93" s="272"/>
      <c r="U93" s="272"/>
      <c r="V93" s="272"/>
      <c r="W93" s="272"/>
    </row>
    <row r="94" spans="4:23" s="276" customFormat="1">
      <c r="D94" s="272"/>
      <c r="E94" s="272"/>
      <c r="F94" s="272"/>
      <c r="G94" s="272"/>
      <c r="H94" s="272"/>
      <c r="I94" s="272"/>
      <c r="J94" s="272"/>
      <c r="K94" s="272"/>
      <c r="L94" s="272"/>
      <c r="M94" s="272"/>
      <c r="N94" s="272"/>
      <c r="O94" s="272"/>
      <c r="P94" s="272"/>
      <c r="Q94" s="272"/>
      <c r="R94" s="272"/>
      <c r="S94" s="272"/>
      <c r="T94" s="272"/>
      <c r="U94" s="272"/>
      <c r="V94" s="272"/>
      <c r="W94" s="272"/>
    </row>
    <row r="95" spans="4:23" s="276" customFormat="1">
      <c r="D95" s="272"/>
      <c r="E95" s="272"/>
      <c r="F95" s="272"/>
      <c r="G95" s="272"/>
      <c r="H95" s="272"/>
      <c r="I95" s="272"/>
      <c r="J95" s="272"/>
      <c r="K95" s="272"/>
      <c r="L95" s="272"/>
      <c r="M95" s="272"/>
      <c r="N95" s="272"/>
      <c r="O95" s="272"/>
      <c r="P95" s="272"/>
      <c r="Q95" s="272"/>
      <c r="R95" s="272"/>
      <c r="S95" s="272"/>
      <c r="T95" s="272"/>
      <c r="U95" s="272"/>
      <c r="V95" s="272"/>
      <c r="W95" s="272"/>
    </row>
    <row r="96" spans="4:23" s="276" customFormat="1"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2"/>
      <c r="T96" s="272"/>
      <c r="U96" s="272"/>
      <c r="V96" s="272"/>
      <c r="W96" s="272"/>
    </row>
    <row r="97" spans="4:23" s="276" customFormat="1">
      <c r="D97" s="272"/>
      <c r="E97" s="272"/>
      <c r="F97" s="272"/>
      <c r="G97" s="272"/>
      <c r="H97" s="272"/>
      <c r="I97" s="272"/>
      <c r="J97" s="272"/>
      <c r="K97" s="272"/>
      <c r="L97" s="272"/>
      <c r="M97" s="272"/>
      <c r="N97" s="272"/>
      <c r="O97" s="272"/>
      <c r="P97" s="272"/>
      <c r="Q97" s="272"/>
      <c r="R97" s="272"/>
      <c r="S97" s="272"/>
      <c r="T97" s="272"/>
      <c r="U97" s="272"/>
      <c r="V97" s="272"/>
      <c r="W97" s="272"/>
    </row>
    <row r="98" spans="4:23" s="276" customFormat="1">
      <c r="D98" s="272"/>
      <c r="E98" s="272"/>
      <c r="F98" s="272"/>
      <c r="G98" s="272"/>
      <c r="H98" s="272"/>
      <c r="I98" s="272"/>
      <c r="J98" s="272"/>
      <c r="K98" s="272"/>
      <c r="L98" s="272"/>
      <c r="M98" s="272"/>
      <c r="N98" s="272"/>
      <c r="O98" s="272"/>
      <c r="P98" s="272"/>
      <c r="Q98" s="272"/>
      <c r="R98" s="272"/>
      <c r="S98" s="272"/>
      <c r="T98" s="272"/>
      <c r="U98" s="272"/>
      <c r="V98" s="272"/>
      <c r="W98" s="272"/>
    </row>
    <row r="99" spans="4:23" s="276" customFormat="1">
      <c r="D99" s="272"/>
      <c r="E99" s="272"/>
      <c r="F99" s="272"/>
      <c r="G99" s="272"/>
      <c r="H99" s="272"/>
      <c r="I99" s="272"/>
      <c r="J99" s="272"/>
      <c r="K99" s="272"/>
      <c r="L99" s="272"/>
      <c r="M99" s="272"/>
      <c r="N99" s="272"/>
      <c r="O99" s="272"/>
      <c r="P99" s="272"/>
      <c r="Q99" s="272"/>
      <c r="R99" s="272"/>
      <c r="S99" s="272"/>
      <c r="T99" s="272"/>
      <c r="U99" s="272"/>
      <c r="V99" s="272"/>
      <c r="W99" s="272"/>
    </row>
    <row r="100" spans="4:23" s="276" customFormat="1">
      <c r="D100" s="272"/>
      <c r="E100" s="272"/>
      <c r="F100" s="272"/>
      <c r="G100" s="272"/>
      <c r="H100" s="272"/>
      <c r="I100" s="272"/>
      <c r="J100" s="272"/>
      <c r="K100" s="272"/>
      <c r="L100" s="272"/>
      <c r="M100" s="272"/>
      <c r="N100" s="272"/>
      <c r="O100" s="272"/>
      <c r="P100" s="272"/>
      <c r="Q100" s="272"/>
      <c r="R100" s="272"/>
      <c r="S100" s="272"/>
      <c r="T100" s="272"/>
      <c r="U100" s="272"/>
      <c r="V100" s="272"/>
      <c r="W100" s="272"/>
    </row>
    <row r="101" spans="4:23" s="276" customFormat="1">
      <c r="D101" s="272"/>
      <c r="E101" s="272"/>
      <c r="F101" s="272"/>
      <c r="G101" s="272"/>
      <c r="H101" s="272"/>
      <c r="I101" s="272"/>
      <c r="J101" s="272"/>
      <c r="K101" s="272"/>
      <c r="L101" s="272"/>
      <c r="M101" s="272"/>
      <c r="N101" s="272"/>
      <c r="O101" s="272"/>
      <c r="P101" s="272"/>
      <c r="Q101" s="272"/>
      <c r="R101" s="272"/>
      <c r="S101" s="272"/>
      <c r="T101" s="272"/>
      <c r="U101" s="272"/>
      <c r="V101" s="272"/>
      <c r="W101" s="272"/>
    </row>
    <row r="102" spans="4:23" s="276" customFormat="1">
      <c r="D102" s="272"/>
      <c r="E102" s="272"/>
      <c r="F102" s="272"/>
      <c r="G102" s="272"/>
      <c r="H102" s="272"/>
      <c r="I102" s="272"/>
      <c r="J102" s="272"/>
      <c r="K102" s="272"/>
      <c r="L102" s="272"/>
      <c r="M102" s="272"/>
      <c r="N102" s="272"/>
      <c r="O102" s="272"/>
      <c r="P102" s="272"/>
      <c r="Q102" s="272"/>
      <c r="R102" s="272"/>
      <c r="S102" s="272"/>
      <c r="T102" s="272"/>
      <c r="U102" s="272"/>
      <c r="V102" s="272"/>
      <c r="W102" s="272"/>
    </row>
    <row r="103" spans="4:23" s="276" customFormat="1">
      <c r="D103" s="272"/>
      <c r="E103" s="272"/>
      <c r="F103" s="272"/>
      <c r="G103" s="272"/>
      <c r="H103" s="272"/>
      <c r="I103" s="272"/>
      <c r="J103" s="272"/>
      <c r="K103" s="272"/>
      <c r="L103" s="272"/>
      <c r="M103" s="272"/>
      <c r="N103" s="272"/>
      <c r="O103" s="272"/>
      <c r="P103" s="272"/>
      <c r="Q103" s="272"/>
      <c r="R103" s="272"/>
      <c r="S103" s="272"/>
      <c r="T103" s="272"/>
      <c r="U103" s="272"/>
      <c r="V103" s="272"/>
      <c r="W103" s="272"/>
    </row>
    <row r="104" spans="4:23" s="276" customFormat="1">
      <c r="D104" s="272"/>
      <c r="E104" s="272"/>
      <c r="F104" s="272"/>
      <c r="G104" s="272"/>
      <c r="H104" s="272"/>
      <c r="I104" s="272"/>
      <c r="J104" s="272"/>
      <c r="K104" s="272"/>
      <c r="L104" s="272"/>
      <c r="M104" s="272"/>
      <c r="N104" s="272"/>
      <c r="O104" s="272"/>
      <c r="P104" s="272"/>
      <c r="Q104" s="272"/>
      <c r="R104" s="272"/>
      <c r="S104" s="272"/>
      <c r="T104" s="272"/>
      <c r="U104" s="272"/>
      <c r="V104" s="272"/>
      <c r="W104" s="272"/>
    </row>
    <row r="105" spans="4:23" s="276" customFormat="1"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2"/>
      <c r="T105" s="272"/>
      <c r="U105" s="272"/>
      <c r="V105" s="272"/>
      <c r="W105" s="272"/>
    </row>
    <row r="106" spans="4:23" s="276" customFormat="1"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272"/>
      <c r="U106" s="272"/>
      <c r="V106" s="272"/>
      <c r="W106" s="272"/>
    </row>
    <row r="107" spans="4:23" s="276" customFormat="1">
      <c r="D107" s="272"/>
      <c r="E107" s="272"/>
      <c r="F107" s="272"/>
      <c r="G107" s="272"/>
      <c r="H107" s="272"/>
      <c r="I107" s="272"/>
      <c r="J107" s="272"/>
      <c r="K107" s="272"/>
      <c r="L107" s="272"/>
      <c r="M107" s="272"/>
      <c r="N107" s="272"/>
      <c r="O107" s="272"/>
      <c r="P107" s="272"/>
      <c r="Q107" s="272"/>
      <c r="R107" s="272"/>
      <c r="S107" s="272"/>
      <c r="T107" s="272"/>
      <c r="U107" s="272"/>
      <c r="V107" s="272"/>
      <c r="W107" s="272"/>
    </row>
    <row r="108" spans="4:23" s="276" customFormat="1">
      <c r="D108" s="272"/>
      <c r="E108" s="272"/>
      <c r="F108" s="272"/>
      <c r="G108" s="272"/>
      <c r="H108" s="272"/>
      <c r="I108" s="272"/>
      <c r="J108" s="272"/>
      <c r="K108" s="272"/>
      <c r="L108" s="272"/>
      <c r="M108" s="272"/>
      <c r="N108" s="272"/>
      <c r="O108" s="272"/>
      <c r="P108" s="272"/>
      <c r="Q108" s="272"/>
      <c r="R108" s="272"/>
      <c r="S108" s="272"/>
      <c r="T108" s="272"/>
      <c r="U108" s="272"/>
      <c r="V108" s="272"/>
      <c r="W108" s="272"/>
    </row>
    <row r="109" spans="4:23" s="276" customFormat="1">
      <c r="D109" s="272"/>
      <c r="E109" s="272"/>
      <c r="F109" s="272"/>
      <c r="G109" s="272"/>
      <c r="H109" s="272"/>
      <c r="I109" s="272"/>
      <c r="J109" s="272"/>
      <c r="K109" s="272"/>
      <c r="L109" s="272"/>
      <c r="M109" s="272"/>
      <c r="N109" s="272"/>
      <c r="O109" s="272"/>
      <c r="P109" s="272"/>
      <c r="Q109" s="272"/>
      <c r="R109" s="272"/>
      <c r="S109" s="272"/>
      <c r="T109" s="272"/>
      <c r="U109" s="272"/>
      <c r="V109" s="272"/>
      <c r="W109" s="272"/>
    </row>
  </sheetData>
  <sheetProtection sheet="1" objects="1" scenarios="1" selectLockedCells="1"/>
  <protectedRanges>
    <protectedRange algorithmName="SHA-512" hashValue="M8T40DvhoY/WzdK5n1OVpje0V8Fb5FEgFbaTOa2/Fy4qRekpCqTjkV4p99c1iEnHLgYXUYcOfwYBxBZOL+ioTg==" saltValue="KeH1G2sNZxU09nhCHqxJ9Q==" spinCount="100000" sqref="D22:O26 D36:O40" name="Range1" securityDescriptor="O:WDG:WDD:(A;;CC;;;S-1-5-21-477237871-917842015-5522801-15293)(A;;CC;;;S-1-5-21-477237871-917842015-5522801-15162)(A;;CC;;;S-1-5-21-477237871-917842015-5522801-12233)(A;;CC;;;S-1-5-21-477237871-917842015-5522801-15294)"/>
  </protectedRanges>
  <mergeCells count="23">
    <mergeCell ref="B61:C61"/>
    <mergeCell ref="B62:C62"/>
    <mergeCell ref="B63:C63"/>
    <mergeCell ref="B65:O65"/>
    <mergeCell ref="B67:C67"/>
    <mergeCell ref="B60:C60"/>
    <mergeCell ref="B8:O8"/>
    <mergeCell ref="B20:C20"/>
    <mergeCell ref="D20:O20"/>
    <mergeCell ref="B21:O21"/>
    <mergeCell ref="B35:O35"/>
    <mergeCell ref="B54:O54"/>
    <mergeCell ref="B55:C55"/>
    <mergeCell ref="B56:C56"/>
    <mergeCell ref="B57:C57"/>
    <mergeCell ref="B58:C58"/>
    <mergeCell ref="B59:C59"/>
    <mergeCell ref="B2:O2"/>
    <mergeCell ref="P2:P5"/>
    <mergeCell ref="B3:C3"/>
    <mergeCell ref="D3:O3"/>
    <mergeCell ref="B4:C4"/>
    <mergeCell ref="B5:C5"/>
  </mergeCells>
  <conditionalFormatting sqref="D26:O32">
    <cfRule type="expression" dxfId="87" priority="9">
      <formula>D$22+D$24=0</formula>
    </cfRule>
  </conditionalFormatting>
  <conditionalFormatting sqref="D40:O46">
    <cfRule type="expression" dxfId="86" priority="8">
      <formula>D$36+D$38=0</formula>
    </cfRule>
  </conditionalFormatting>
  <conditionalFormatting sqref="D42:O46">
    <cfRule type="expression" dxfId="85" priority="7">
      <formula>D$40=0</formula>
    </cfRule>
  </conditionalFormatting>
  <conditionalFormatting sqref="D4:O4">
    <cfRule type="expression" dxfId="84" priority="24">
      <formula>D$5=TRUE</formula>
    </cfRule>
  </conditionalFormatting>
  <conditionalFormatting sqref="D66:D72 D55:D63 D14 D22:O34 D36:O49">
    <cfRule type="expression" dxfId="83" priority="25">
      <formula>D$5</formula>
    </cfRule>
  </conditionalFormatting>
  <conditionalFormatting sqref="E68:O72 O66:O67 E55:O63 E9:O14 D28:O32">
    <cfRule type="expression" dxfId="82" priority="23">
      <formula>D$5=TRUE</formula>
    </cfRule>
  </conditionalFormatting>
  <dataValidations count="6">
    <dataValidation operator="greaterThan" allowBlank="1" showInputMessage="1" showErrorMessage="1" errorTitle="Enter only Numeric value" error="Only numeric value of strength should be entered. Unit of Strength should be mentioned in O3 cell " sqref="D4:O4"/>
    <dataValidation type="whole" errorStyle="warning" operator="greaterThan" allowBlank="1" showInputMessage="1" sqref="D22:P27 D36:O41">
      <formula1>0</formula1>
    </dataValidation>
    <dataValidation operator="greaterThan" allowBlank="1" showInputMessage="1" showErrorMessage="1" error="Enter filing fees" sqref="D66:O71"/>
    <dataValidation type="whole" operator="greaterThan" allowBlank="1" showInputMessage="1" showErrorMessage="1" sqref="D9:O13 D55:O62">
      <formula1>0</formula1>
    </dataValidation>
    <dataValidation type="list" allowBlank="1" showInputMessage="1" showErrorMessage="1" sqref="C69:C70">
      <formula1>$AK$2:$AK$3</formula1>
    </dataValidation>
    <dataValidation type="list" allowBlank="1" showInputMessage="1" showErrorMessage="1" sqref="C68">
      <formula1>$AO$3:$AO$3</formula1>
    </dataValidation>
  </dataValidations>
  <pageMargins left="0.23622047244094491" right="0.23622047244094491" top="0.43307086614173229" bottom="0.47244094488188981" header="0.31496062992125984" footer="0.31496062992125984"/>
  <pageSetup paperSize="8" scale="75" fitToHeight="0" orientation="portrait" blackAndWhite="1" draft="1" r:id="rId1"/>
  <headerFooter>
    <oddFooter>&amp;LProject Budget-Sheet Strengthwise&amp;RDesigned By Emcure R ξ D, Gandhinagar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9525</xdr:rowOff>
                  </from>
                  <to>
                    <xdr:col>3</xdr:col>
                    <xdr:colOff>219075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9525</xdr:rowOff>
                  </from>
                  <to>
                    <xdr:col>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9525</xdr:rowOff>
                  </from>
                  <to>
                    <xdr:col>5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9525</xdr:rowOff>
                  </from>
                  <to>
                    <xdr:col>6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9525</xdr:rowOff>
                  </from>
                  <to>
                    <xdr:col>7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9525</xdr:rowOff>
                  </from>
                  <to>
                    <xdr:col>8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9525</xdr:rowOff>
                  </from>
                  <to>
                    <xdr:col>9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9525</xdr:rowOff>
                  </from>
                  <to>
                    <xdr:col>10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7" r:id="rId12" name="Check Box 9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9525</xdr:rowOff>
                  </from>
                  <to>
                    <xdr:col>11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8" r:id="rId13" name="Check Box 10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9525</xdr:rowOff>
                  </from>
                  <to>
                    <xdr:col>12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9" r:id="rId14" name="Check Box 11">
              <controlPr defaultSize="0" autoFill="0" autoLine="0" autoPict="0">
                <anchor moveWithCells="1">
                  <from>
                    <xdr:col>13</xdr:col>
                    <xdr:colOff>0</xdr:colOff>
                    <xdr:row>65</xdr:row>
                    <xdr:rowOff>9525</xdr:rowOff>
                  </from>
                  <to>
                    <xdr:col>13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0" r:id="rId15" name="Check Box 12">
              <controlPr defaultSize="0" autoFill="0" autoLine="0" autoPict="0">
                <anchor moveWithCells="1">
                  <from>
                    <xdr:col>14</xdr:col>
                    <xdr:colOff>0</xdr:colOff>
                    <xdr:row>65</xdr:row>
                    <xdr:rowOff>9525</xdr:rowOff>
                  </from>
                  <to>
                    <xdr:col>14</xdr:col>
                    <xdr:colOff>209550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1" r:id="rId16" name="Check Box 13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9525</xdr:rowOff>
                  </from>
                  <to>
                    <xdr:col>3</xdr:col>
                    <xdr:colOff>219075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2" r:id="rId17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9525</xdr:rowOff>
                  </from>
                  <to>
                    <xdr:col>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3" r:id="rId18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9525</xdr:rowOff>
                  </from>
                  <to>
                    <xdr:col>5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4" r:id="rId19" name="Check Box 16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9525</xdr:rowOff>
                  </from>
                  <to>
                    <xdr:col>6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5" r:id="rId20" name="Check Box 17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9525</xdr:rowOff>
                  </from>
                  <to>
                    <xdr:col>7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6" r:id="rId21" name="Check Box 18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9525</xdr:rowOff>
                  </from>
                  <to>
                    <xdr:col>8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7" r:id="rId22" name="Check Box 19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9525</xdr:rowOff>
                  </from>
                  <to>
                    <xdr:col>9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8" r:id="rId23" name="Check Box 20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9525</xdr:rowOff>
                  </from>
                  <to>
                    <xdr:col>10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9" r:id="rId24" name="Check Box 21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9525</xdr:rowOff>
                  </from>
                  <to>
                    <xdr:col>11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0" r:id="rId25" name="Check Box 22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9525</xdr:rowOff>
                  </from>
                  <to>
                    <xdr:col>12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1" r:id="rId26" name="Check Box 23">
              <controlPr defaultSize="0" autoFill="0" autoLine="0" autoPict="0">
                <anchor moveWithCells="1">
                  <from>
                    <xdr:col>13</xdr:col>
                    <xdr:colOff>0</xdr:colOff>
                    <xdr:row>67</xdr:row>
                    <xdr:rowOff>9525</xdr:rowOff>
                  </from>
                  <to>
                    <xdr:col>13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2" r:id="rId27" name="Check Box 24">
              <controlPr defaultSize="0" autoFill="0" autoLine="0" autoPict="0">
                <anchor moveWithCells="1">
                  <from>
                    <xdr:col>14</xdr:col>
                    <xdr:colOff>0</xdr:colOff>
                    <xdr:row>67</xdr:row>
                    <xdr:rowOff>9525</xdr:rowOff>
                  </from>
                  <to>
                    <xdr:col>14</xdr:col>
                    <xdr:colOff>209550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3" r:id="rId28" name="Check Box 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9525</xdr:rowOff>
                  </from>
                  <to>
                    <xdr:col>3</xdr:col>
                    <xdr:colOff>219075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4" r:id="rId29" name="Check Box 26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9525</xdr:rowOff>
                  </from>
                  <to>
                    <xdr:col>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5" r:id="rId30" name="Check Box 27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9525</xdr:rowOff>
                  </from>
                  <to>
                    <xdr:col>5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6" r:id="rId31" name="Check Box 28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9525</xdr:rowOff>
                  </from>
                  <to>
                    <xdr:col>6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7" r:id="rId32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9525</xdr:rowOff>
                  </from>
                  <to>
                    <xdr:col>7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8" r:id="rId33" name="Check Box 30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9525</xdr:rowOff>
                  </from>
                  <to>
                    <xdr:col>8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9" r:id="rId34" name="Check Box 31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9525</xdr:rowOff>
                  </from>
                  <to>
                    <xdr:col>9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0" r:id="rId35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9525</xdr:rowOff>
                  </from>
                  <to>
                    <xdr:col>10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1" r:id="rId36" name="Check Box 33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9525</xdr:rowOff>
                  </from>
                  <to>
                    <xdr:col>11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2" r:id="rId37" name="Check Box 34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9525</xdr:rowOff>
                  </from>
                  <to>
                    <xdr:col>12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3" r:id="rId38" name="Check Box 35">
              <controlPr defaultSize="0" autoFill="0" autoLine="0" autoPict="0">
                <anchor moveWithCells="1">
                  <from>
                    <xdr:col>13</xdr:col>
                    <xdr:colOff>0</xdr:colOff>
                    <xdr:row>69</xdr:row>
                    <xdr:rowOff>9525</xdr:rowOff>
                  </from>
                  <to>
                    <xdr:col>13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4" r:id="rId39" name="Check Box 36">
              <controlPr defaultSize="0" autoFill="0" autoLine="0" autoPict="0">
                <anchor moveWithCells="1">
                  <from>
                    <xdr:col>14</xdr:col>
                    <xdr:colOff>0</xdr:colOff>
                    <xdr:row>69</xdr:row>
                    <xdr:rowOff>9525</xdr:rowOff>
                  </from>
                  <to>
                    <xdr:col>14</xdr:col>
                    <xdr:colOff>209550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5" r:id="rId40" name="Spinner 37">
              <controlPr defaultSize="0" autoPict="0">
                <anchor moveWithCells="1" sizeWithCells="1">
                  <from>
                    <xdr:col>1</xdr:col>
                    <xdr:colOff>257175</xdr:colOff>
                    <xdr:row>21</xdr:row>
                    <xdr:rowOff>9525</xdr:rowOff>
                  </from>
                  <to>
                    <xdr:col>1</xdr:col>
                    <xdr:colOff>342900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6" r:id="rId41" name="Spinner 38">
              <controlPr defaultSize="0" autoPict="0">
                <anchor moveWithCells="1" sizeWithCells="1">
                  <from>
                    <xdr:col>1</xdr:col>
                    <xdr:colOff>257175</xdr:colOff>
                    <xdr:row>23</xdr:row>
                    <xdr:rowOff>9525</xdr:rowOff>
                  </from>
                  <to>
                    <xdr:col>1</xdr:col>
                    <xdr:colOff>342900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7" r:id="rId42" name="Spinner 39">
              <controlPr defaultSize="0" autoPict="0">
                <anchor moveWithCells="1" sizeWithCells="1">
                  <from>
                    <xdr:col>1</xdr:col>
                    <xdr:colOff>257175</xdr:colOff>
                    <xdr:row>25</xdr:row>
                    <xdr:rowOff>9525</xdr:rowOff>
                  </from>
                  <to>
                    <xdr:col>1</xdr:col>
                    <xdr:colOff>342900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8" r:id="rId43" name="Spinner 40">
              <controlPr defaultSize="0" autoPict="0">
                <anchor moveWithCells="1" sizeWithCells="1">
                  <from>
                    <xdr:col>1</xdr:col>
                    <xdr:colOff>257175</xdr:colOff>
                    <xdr:row>27</xdr:row>
                    <xdr:rowOff>9525</xdr:rowOff>
                  </from>
                  <to>
                    <xdr:col>1</xdr:col>
                    <xdr:colOff>342900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9" r:id="rId44" name="Spinner 41">
              <controlPr defaultSize="0" autoPict="0">
                <anchor moveWithCells="1" sizeWithCells="1">
                  <from>
                    <xdr:col>1</xdr:col>
                    <xdr:colOff>257175</xdr:colOff>
                    <xdr:row>29</xdr:row>
                    <xdr:rowOff>9525</xdr:rowOff>
                  </from>
                  <to>
                    <xdr:col>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0" r:id="rId45" name="Spinner 42">
              <controlPr defaultSize="0" autoPict="0">
                <anchor moveWithCells="1" sizeWithCells="1">
                  <from>
                    <xdr:col>1</xdr:col>
                    <xdr:colOff>257175</xdr:colOff>
                    <xdr:row>31</xdr:row>
                    <xdr:rowOff>9525</xdr:rowOff>
                  </from>
                  <to>
                    <xdr:col>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1" r:id="rId46" name="Spinner 43">
              <controlPr defaultSize="0" autoPict="0">
                <anchor moveWithCells="1" sizeWithCells="1">
                  <from>
                    <xdr:col>1</xdr:col>
                    <xdr:colOff>257175</xdr:colOff>
                    <xdr:row>35</xdr:row>
                    <xdr:rowOff>0</xdr:rowOff>
                  </from>
                  <to>
                    <xdr:col>1</xdr:col>
                    <xdr:colOff>342900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2" r:id="rId47" name="Spinner 44">
              <controlPr defaultSize="0" autoPict="0">
                <anchor moveWithCells="1" sizeWithCells="1">
                  <from>
                    <xdr:col>1</xdr:col>
                    <xdr:colOff>257175</xdr:colOff>
                    <xdr:row>36</xdr:row>
                    <xdr:rowOff>0</xdr:rowOff>
                  </from>
                  <to>
                    <xdr:col>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3" r:id="rId48" name="Spinner 45">
              <controlPr defaultSize="0" autoPict="0">
                <anchor moveWithCells="1" sizeWithCells="1">
                  <from>
                    <xdr:col>1</xdr:col>
                    <xdr:colOff>257175</xdr:colOff>
                    <xdr:row>38</xdr:row>
                    <xdr:rowOff>0</xdr:rowOff>
                  </from>
                  <to>
                    <xdr:col>1</xdr:col>
                    <xdr:colOff>342900</xdr:colOff>
                    <xdr:row>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4" r:id="rId49" name="Spinner 46">
              <controlPr defaultSize="0" autoPict="0">
                <anchor moveWithCells="1" sizeWithCells="1">
                  <from>
                    <xdr:col>1</xdr:col>
                    <xdr:colOff>257175</xdr:colOff>
                    <xdr:row>41</xdr:row>
                    <xdr:rowOff>9525</xdr:rowOff>
                  </from>
                  <to>
                    <xdr:col>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5" r:id="rId50" name="Spinner 47">
              <controlPr defaultSize="0" autoPict="0">
                <anchor moveWithCells="1" sizeWithCells="1">
                  <from>
                    <xdr:col>1</xdr:col>
                    <xdr:colOff>257175</xdr:colOff>
                    <xdr:row>43</xdr:row>
                    <xdr:rowOff>9525</xdr:rowOff>
                  </from>
                  <to>
                    <xdr:col>1</xdr:col>
                    <xdr:colOff>342900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6" r:id="rId51" name="Spinner 48">
              <controlPr defaultSize="0" autoPict="0">
                <anchor moveWithCells="1" sizeWithCells="1">
                  <from>
                    <xdr:col>1</xdr:col>
                    <xdr:colOff>257175</xdr:colOff>
                    <xdr:row>45</xdr:row>
                    <xdr:rowOff>19050</xdr:rowOff>
                  </from>
                  <to>
                    <xdr:col>1</xdr:col>
                    <xdr:colOff>333375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7" r:id="rId52" name="Check Box 49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8" r:id="rId53" name="Check Box 50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9" r:id="rId54" name="Check Box 51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5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0" r:id="rId55" name="Check Box 52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6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1" r:id="rId56" name="Check Box 53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7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2" r:id="rId57" name="Check Box 54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3" r:id="rId58" name="Check Box 55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4" r:id="rId59" name="Check Box 56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10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5" r:id="rId60" name="Check Box 57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11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6" r:id="rId61" name="Check Box 58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12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7" r:id="rId62" name="Check Box 59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0</xdr:rowOff>
                  </from>
                  <to>
                    <xdr:col>13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8" r:id="rId63" name="Check Box 60">
              <controlPr defaultSize="0" autoFill="0" autoLine="0" autoPict="0">
                <anchor moveWithCells="1">
                  <from>
                    <xdr:col>14</xdr:col>
                    <xdr:colOff>0</xdr:colOff>
                    <xdr:row>3</xdr:row>
                    <xdr:rowOff>0</xdr:rowOff>
                  </from>
                  <to>
                    <xdr:col>14</xdr:col>
                    <xdr:colOff>190500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1A143746-FAE1-45D2-8EBB-6464FD28AEB9}">
            <xm:f>'1.PM'!$D$5=TRUE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E66:E67</xm:sqref>
        </x14:conditionalFormatting>
        <x14:conditionalFormatting xmlns:xm="http://schemas.microsoft.com/office/excel/2006/main">
          <x14:cfRule type="expression" priority="20" id="{DB9206E3-112B-46ED-A8A0-A88E8710D596}">
            <xm:f>'1.PM'!$E$5=TRUE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F66:F67</xm:sqref>
        </x14:conditionalFormatting>
        <x14:conditionalFormatting xmlns:xm="http://schemas.microsoft.com/office/excel/2006/main">
          <x14:cfRule type="expression" priority="19" id="{1C670E23-E27F-41AC-9943-28752C49FACF}">
            <xm:f>'1.PM'!$F$5=TRUE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G66:G67</xm:sqref>
        </x14:conditionalFormatting>
        <x14:conditionalFormatting xmlns:xm="http://schemas.microsoft.com/office/excel/2006/main">
          <x14:cfRule type="expression" priority="18" id="{63EB1080-1019-4C36-83BB-A1A77E7F6022}">
            <xm:f>'1.PM'!$G$5=TRUE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H66:H67</xm:sqref>
        </x14:conditionalFormatting>
        <x14:conditionalFormatting xmlns:xm="http://schemas.microsoft.com/office/excel/2006/main">
          <x14:cfRule type="expression" priority="17" id="{5275B9A8-23FD-49F2-B1F2-5590475EC122}">
            <xm:f>'1.PM'!$H$5=TRUE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I66:I67</xm:sqref>
        </x14:conditionalFormatting>
        <x14:conditionalFormatting xmlns:xm="http://schemas.microsoft.com/office/excel/2006/main">
          <x14:cfRule type="expression" priority="16" id="{8881FD56-F491-4DDF-90D2-A72AB1ACDFE5}">
            <xm:f>'1.PM'!$I$5=TRUE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J66:J67</xm:sqref>
        </x14:conditionalFormatting>
        <x14:conditionalFormatting xmlns:xm="http://schemas.microsoft.com/office/excel/2006/main">
          <x14:cfRule type="expression" priority="22" id="{FA6AC7E5-0737-4CDF-A6F1-4E5AC89059EF}">
            <xm:f>'1.PM'!$J$5=TRUE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K66:K67</xm:sqref>
        </x14:conditionalFormatting>
        <x14:conditionalFormatting xmlns:xm="http://schemas.microsoft.com/office/excel/2006/main">
          <x14:cfRule type="expression" priority="15" id="{931587EC-065E-4D86-B51D-4F4DCB2C3388}">
            <xm:f>'1.PM'!$K$5=TRUE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L66:L67</xm:sqref>
        </x14:conditionalFormatting>
        <x14:conditionalFormatting xmlns:xm="http://schemas.microsoft.com/office/excel/2006/main">
          <x14:cfRule type="expression" priority="14" id="{4D3F791C-79B3-418B-978D-3463F2E79D05}">
            <xm:f>'1.PM'!$L$5=TRUE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M66:M67</xm:sqref>
        </x14:conditionalFormatting>
        <x14:conditionalFormatting xmlns:xm="http://schemas.microsoft.com/office/excel/2006/main">
          <x14:cfRule type="expression" priority="13" id="{B9F62ED0-DDB6-4AF3-9C97-5D39FFC33DDA}">
            <xm:f>'1.PM'!$M$5=TRUE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N66:N67</xm:sqref>
        </x14:conditionalFormatting>
        <x14:conditionalFormatting xmlns:xm="http://schemas.microsoft.com/office/excel/2006/main">
          <x14:cfRule type="expression" priority="11" id="{49BF1F2A-0B3D-4FDF-BEA2-6BC1DF0ECDB1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B20:D20 P20 B21:P21 B38:C38 C37 B40:C40 C39 B42:C42 C41 B44:C44 C43 B46:C46 C45 B36:C36 P22:P35 B24:O24 C23:O23 C25:O25 C33:O33 B26:O26 C27:O27 C29:O29 C31:O31 B28:O28 B30:O30 B32:O32 B34:O35 B22:O22 P41:P49 C47:O47 B48:O49</xm:sqref>
        </x14:conditionalFormatting>
        <x14:conditionalFormatting xmlns:xm="http://schemas.microsoft.com/office/excel/2006/main">
          <x14:cfRule type="expression" priority="12" id="{16A53568-0923-4EDF-A214-BA4B44751D7D}">
            <xm:f>'1.PM'!$P$2=2</xm:f>
            <x14:dxf>
              <font>
                <b/>
                <i val="0"/>
                <color rgb="FFFF0000"/>
              </font>
              <fill>
                <patternFill>
                  <bgColor theme="0" tint="-0.24994659260841701"/>
                </patternFill>
              </fill>
            </x14:dxf>
          </x14:cfRule>
          <xm:sqref>D20:O20</xm:sqref>
        </x14:conditionalFormatting>
        <x14:conditionalFormatting xmlns:xm="http://schemas.microsoft.com/office/excel/2006/main">
          <x14:cfRule type="expression" priority="10" id="{3D53D08D-77F8-46A0-A720-48C6D5E274DF}">
            <xm:f>'1.PM'!$P$2=2</xm:f>
            <x14:dxf>
              <fill>
                <patternFill>
                  <bgColor theme="0" tint="-0.24994659260841701"/>
                </patternFill>
              </fill>
              <border>
                <left style="thin">
                  <color theme="0" tint="-0.24994659260841701"/>
                </left>
                <right style="thin">
                  <color theme="0" tint="-0.24994659260841701"/>
                </right>
                <top style="thin">
                  <color theme="0" tint="-0.24994659260841701"/>
                </top>
                <bottom style="thin">
                  <color theme="0" tint="-0.24994659260841701"/>
                </bottom>
              </border>
            </x14:dxf>
          </x14:cfRule>
          <xm:sqref>P36:P40</xm:sqref>
        </x14:conditionalFormatting>
        <x14:conditionalFormatting xmlns:xm="http://schemas.microsoft.com/office/excel/2006/main">
          <x14:cfRule type="expression" priority="2" id="{112965BC-BF1B-465F-8C04-D7CD54FFC8F2}">
            <xm:f>'1.PM'!$P$4=4</xm:f>
            <x14:dxf>
              <numFmt numFmtId="216" formatCode="0.###&quot; mg/vial&quot;"/>
            </x14:dxf>
          </x14:cfRule>
          <x14:cfRule type="expression" priority="3" id="{D53A541B-9E85-4C2D-805B-9153DCF09A21}">
            <xm:f>'1.PM'!$P$4=3</xm:f>
            <x14:dxf>
              <numFmt numFmtId="215" formatCode="0.###&quot; mg/ml&quot;"/>
            </x14:dxf>
          </x14:cfRule>
          <x14:cfRule type="expression" priority="4" id="{DDC64430-55B1-4783-81A7-1C0AE37CE6C8}">
            <xm:f>'1.PM'!$P$4=0</xm:f>
            <x14:dxf>
              <numFmt numFmtId="212" formatCode="0.###&quot; mg&quot;"/>
            </x14:dxf>
          </x14:cfRule>
          <x14:cfRule type="expression" priority="5" id="{9C65EF06-333D-45E0-91D9-5B711FC9B220}">
            <xm:f>'1.PM'!$P$4=1</xm:f>
            <x14:dxf>
              <numFmt numFmtId="214" formatCode="0.###&quot; mEq&quot;"/>
            </x14:dxf>
          </x14:cfRule>
          <x14:cfRule type="expression" priority="6" id="{77887321-A1F6-4A3D-AA8E-880A9B666ACE}">
            <xm:f>'1.PM'!$P$4=2</xm:f>
            <x14:dxf>
              <numFmt numFmtId="213" formatCode="0.###&quot; µg&quot;"/>
            </x14:dxf>
          </x14:cfRule>
          <xm:sqref>D4:O4</xm:sqref>
        </x14:conditionalFormatting>
        <x14:conditionalFormatting xmlns:xm="http://schemas.microsoft.com/office/excel/2006/main">
          <x14:cfRule type="expression" priority="1" id="{6DA5696B-93DF-4CC3-987B-24949AC3E6EF}">
            <xm:f>'1.PM'!C$5</xm:f>
            <x14:dxf>
              <font>
                <b/>
                <i val="0"/>
                <color rgb="FFFF0000"/>
              </font>
              <border>
                <left style="thin">
                  <color rgb="FFFF0000"/>
                </left>
                <right style="thin">
                  <color rgb="FFFF0000"/>
                </right>
                <vertical/>
                <horizontal/>
              </border>
            </x14:dxf>
          </x14:cfRule>
          <xm:sqref>D9:D13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List!$O$2:$O$16</xm:f>
          </x14:formula1>
          <xm:sqref>P4</xm:sqref>
        </x14:dataValidation>
        <x14:dataValidation type="list" allowBlank="1" showInputMessage="1" showErrorMessage="1">
          <x14:formula1>
            <xm:f>List!$AO$3:$AO$3</xm:f>
          </x14:formula1>
          <xm:sqref>C66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-0.499984740745262"/>
    <outlinePr summaryBelow="0" summaryRight="0"/>
    <pageSetUpPr fitToPage="1"/>
  </sheetPr>
  <dimension ref="A1:N170"/>
  <sheetViews>
    <sheetView showGridLines="0" showZeros="0" topLeftCell="A124" zoomScaleNormal="100" workbookViewId="0">
      <selection activeCell="E131" sqref="E131:M131"/>
    </sheetView>
  </sheetViews>
  <sheetFormatPr defaultColWidth="12.7109375" defaultRowHeight="12.75"/>
  <cols>
    <col min="1" max="1" width="1.140625" style="155" customWidth="1"/>
    <col min="2" max="2" width="7" style="163" customWidth="1"/>
    <col min="3" max="3" width="18.7109375" style="163" customWidth="1"/>
    <col min="4" max="4" width="12.7109375" style="164"/>
    <col min="5" max="5" width="14.42578125" style="164" customWidth="1"/>
    <col min="6" max="8" width="12.7109375" style="164"/>
    <col min="9" max="9" width="16.42578125" style="164" customWidth="1"/>
    <col min="10" max="13" width="12.7109375" style="164"/>
    <col min="14" max="14" width="24.42578125" style="522" customWidth="1"/>
    <col min="15" max="16384" width="12.7109375" style="518"/>
  </cols>
  <sheetData>
    <row r="1" spans="1:14" ht="4.5" customHeight="1" thickBot="1">
      <c r="B1" s="155"/>
      <c r="C1" s="155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521"/>
    </row>
    <row r="2" spans="1:14" s="519" customFormat="1" ht="15" customHeight="1">
      <c r="A2" s="157"/>
      <c r="B2" s="1244" t="s">
        <v>95</v>
      </c>
      <c r="C2" s="1245"/>
      <c r="D2" s="1245"/>
      <c r="E2" s="1245"/>
      <c r="F2" s="1245"/>
      <c r="G2" s="1245"/>
      <c r="H2" s="1245"/>
      <c r="I2" s="1245"/>
      <c r="J2" s="1245"/>
      <c r="K2" s="1245"/>
      <c r="L2" s="1245"/>
      <c r="M2" s="1272"/>
      <c r="N2" s="1212" t="s">
        <v>986</v>
      </c>
    </row>
    <row r="3" spans="1:14" s="519" customFormat="1" ht="15" customHeight="1">
      <c r="A3" s="157"/>
      <c r="B3" s="1247" t="s">
        <v>96</v>
      </c>
      <c r="C3" s="1248"/>
      <c r="D3" s="1273" t="str">
        <f>'1.PM'!$C$3</f>
        <v>Levetiracetam Tablets</v>
      </c>
      <c r="E3" s="1273"/>
      <c r="F3" s="1273"/>
      <c r="G3" s="1273"/>
      <c r="H3" s="1274"/>
      <c r="I3" s="1274"/>
      <c r="J3" s="1274"/>
      <c r="K3" s="1274"/>
      <c r="L3" s="1274"/>
      <c r="M3" s="1275"/>
      <c r="N3" s="1213"/>
    </row>
    <row r="4" spans="1:14" s="519" customFormat="1" ht="15" customHeight="1">
      <c r="A4" s="157"/>
      <c r="B4" s="1153" t="s">
        <v>992</v>
      </c>
      <c r="C4" s="1154"/>
      <c r="D4" s="736" t="s">
        <v>405</v>
      </c>
      <c r="E4" s="736"/>
      <c r="F4" s="736"/>
      <c r="G4" s="736"/>
      <c r="H4" s="736"/>
      <c r="I4" s="746" t="s">
        <v>779</v>
      </c>
      <c r="J4" s="1276" t="s">
        <v>1063</v>
      </c>
      <c r="K4" s="1277"/>
      <c r="L4" s="1277"/>
      <c r="M4" s="1278"/>
      <c r="N4" s="1213"/>
    </row>
    <row r="5" spans="1:14" s="519" customFormat="1" ht="15" customHeight="1">
      <c r="A5" s="157"/>
      <c r="B5" s="1257" t="s">
        <v>775</v>
      </c>
      <c r="C5" s="1258"/>
      <c r="D5" s="747" t="s">
        <v>1061</v>
      </c>
      <c r="E5" s="748" t="s">
        <v>102</v>
      </c>
      <c r="F5" s="749" t="s">
        <v>103</v>
      </c>
      <c r="G5" s="1259" t="s">
        <v>777</v>
      </c>
      <c r="H5" s="1260"/>
      <c r="I5" s="781" t="s">
        <v>1066</v>
      </c>
      <c r="J5" s="1279"/>
      <c r="K5" s="1280"/>
      <c r="L5" s="1280"/>
      <c r="M5" s="1281"/>
      <c r="N5" s="1213"/>
    </row>
    <row r="6" spans="1:14" s="519" customFormat="1" ht="15" customHeight="1" thickBot="1">
      <c r="A6" s="157"/>
      <c r="B6" s="1261" t="s">
        <v>776</v>
      </c>
      <c r="C6" s="1262"/>
      <c r="D6" s="747" t="s">
        <v>1062</v>
      </c>
      <c r="E6" s="752" t="s">
        <v>774</v>
      </c>
      <c r="F6" s="753" t="s">
        <v>121</v>
      </c>
      <c r="G6" s="1263" t="s">
        <v>778</v>
      </c>
      <c r="H6" s="1264"/>
      <c r="I6" s="738"/>
      <c r="J6" s="1282"/>
      <c r="K6" s="1283"/>
      <c r="L6" s="1283"/>
      <c r="M6" s="1284"/>
      <c r="N6" s="1213"/>
    </row>
    <row r="7" spans="1:14" s="520" customFormat="1" ht="15" customHeight="1" thickBot="1">
      <c r="A7" s="162"/>
      <c r="B7" s="754"/>
      <c r="C7" s="754"/>
      <c r="D7" s="755"/>
      <c r="E7" s="756"/>
      <c r="F7" s="756"/>
      <c r="G7" s="757"/>
      <c r="H7" s="758"/>
      <c r="I7" s="758"/>
      <c r="J7" s="759"/>
      <c r="K7" s="756"/>
      <c r="L7" s="756"/>
      <c r="M7" s="760"/>
      <c r="N7" s="1213"/>
    </row>
    <row r="8" spans="1:14" ht="15" customHeight="1">
      <c r="B8" s="1288" t="s">
        <v>780</v>
      </c>
      <c r="C8" s="1289"/>
      <c r="D8" s="1289"/>
      <c r="E8" s="1289"/>
      <c r="F8" s="1289"/>
      <c r="G8" s="1289"/>
      <c r="H8" s="1289"/>
      <c r="I8" s="1289"/>
      <c r="J8" s="1289"/>
      <c r="K8" s="1289"/>
      <c r="L8" s="1289"/>
      <c r="M8" s="1289"/>
      <c r="N8" s="1213"/>
    </row>
    <row r="9" spans="1:14" s="519" customFormat="1" ht="30" customHeight="1">
      <c r="A9" s="157"/>
      <c r="B9" s="1286" t="s">
        <v>781</v>
      </c>
      <c r="C9" s="1287"/>
      <c r="D9" s="778" t="s">
        <v>771</v>
      </c>
      <c r="E9" s="778" t="s">
        <v>772</v>
      </c>
      <c r="F9" s="778" t="s">
        <v>773</v>
      </c>
      <c r="G9" s="778" t="s">
        <v>782</v>
      </c>
      <c r="H9" s="1285" t="s">
        <v>783</v>
      </c>
      <c r="I9" s="1285"/>
      <c r="J9" s="1285"/>
      <c r="K9" s="1285" t="s">
        <v>784</v>
      </c>
      <c r="L9" s="1285"/>
      <c r="M9" s="1290"/>
      <c r="N9" s="1213"/>
    </row>
    <row r="10" spans="1:14" ht="41.25" customHeight="1">
      <c r="B10" s="729">
        <f>IF(ISBLANK(C10),"",1)</f>
        <v>1</v>
      </c>
      <c r="C10" s="730" t="s">
        <v>1049</v>
      </c>
      <c r="D10" s="731">
        <v>43560</v>
      </c>
      <c r="E10" s="730" t="s">
        <v>1035</v>
      </c>
      <c r="F10" s="730"/>
      <c r="G10" s="772"/>
      <c r="H10" s="1242" t="s">
        <v>1052</v>
      </c>
      <c r="I10" s="1242"/>
      <c r="J10" s="1242"/>
      <c r="K10" s="1291" t="s">
        <v>120</v>
      </c>
      <c r="L10" s="1291"/>
      <c r="M10" s="1291"/>
      <c r="N10" s="1213"/>
    </row>
    <row r="11" spans="1:14" ht="30" customHeight="1">
      <c r="A11" s="771"/>
      <c r="B11" s="729">
        <v>2</v>
      </c>
      <c r="C11" s="777" t="s">
        <v>1051</v>
      </c>
      <c r="D11" s="731">
        <v>42910</v>
      </c>
      <c r="E11" s="730" t="s">
        <v>1050</v>
      </c>
      <c r="F11" s="730"/>
      <c r="G11" s="731"/>
      <c r="H11" s="1242" t="s">
        <v>1036</v>
      </c>
      <c r="I11" s="1242"/>
      <c r="J11" s="1242"/>
      <c r="K11" s="1291" t="s">
        <v>120</v>
      </c>
      <c r="L11" s="1291"/>
      <c r="M11" s="1291"/>
      <c r="N11" s="1213"/>
    </row>
    <row r="12" spans="1:14" ht="38.25">
      <c r="B12" s="732">
        <f>IF(ISBLANK(C12),"",(COUNT(B10:B11)+1))</f>
        <v>3</v>
      </c>
      <c r="C12" s="734" t="s">
        <v>1053</v>
      </c>
      <c r="D12" s="735">
        <v>49269</v>
      </c>
      <c r="E12" s="733" t="s">
        <v>1054</v>
      </c>
      <c r="F12" s="773"/>
      <c r="G12" s="774"/>
      <c r="H12" s="1292" t="s">
        <v>1047</v>
      </c>
      <c r="I12" s="1292"/>
      <c r="J12" s="1292"/>
      <c r="K12" s="1292" t="s">
        <v>121</v>
      </c>
      <c r="L12" s="1292"/>
      <c r="M12" s="1292"/>
      <c r="N12" s="1213"/>
    </row>
    <row r="13" spans="1:14">
      <c r="B13" s="1135" t="s">
        <v>1055</v>
      </c>
      <c r="C13" s="1136"/>
      <c r="D13" s="1136"/>
      <c r="E13" s="1137"/>
      <c r="F13" s="775"/>
      <c r="G13" s="776"/>
      <c r="H13" s="1293"/>
      <c r="I13" s="1293"/>
      <c r="J13" s="1293"/>
      <c r="K13" s="1297"/>
      <c r="L13" s="1297"/>
      <c r="M13" s="1297"/>
      <c r="N13" s="1213"/>
    </row>
    <row r="14" spans="1:14" ht="65.25" customHeight="1">
      <c r="B14" s="732">
        <f>IF(ISBLANK(C14),"",(COUNT(B10:B13)+1))</f>
        <v>4</v>
      </c>
      <c r="C14" s="734" t="s">
        <v>1056</v>
      </c>
      <c r="D14" s="735">
        <v>49269</v>
      </c>
      <c r="E14" s="733" t="s">
        <v>1059</v>
      </c>
      <c r="F14" s="773"/>
      <c r="G14" s="774"/>
      <c r="H14" s="1294" t="s">
        <v>1057</v>
      </c>
      <c r="I14" s="1295"/>
      <c r="J14" s="1296"/>
      <c r="K14" s="1298"/>
      <c r="L14" s="1298"/>
      <c r="M14" s="1298"/>
      <c r="N14" s="1213"/>
    </row>
    <row r="15" spans="1:14" ht="44.25" customHeight="1">
      <c r="B15" s="762">
        <f>IF(ISBLANK(C15),"",(COUNT(B10:B14)+1))</f>
        <v>5</v>
      </c>
      <c r="C15" s="741" t="s">
        <v>1058</v>
      </c>
      <c r="D15" s="739">
        <v>45213</v>
      </c>
      <c r="E15" s="740" t="s">
        <v>1060</v>
      </c>
      <c r="F15" s="741"/>
      <c r="G15" s="739"/>
      <c r="H15" s="1237" t="s">
        <v>1057</v>
      </c>
      <c r="I15" s="1236"/>
      <c r="J15" s="1236"/>
      <c r="K15" s="1236"/>
      <c r="L15" s="1236"/>
      <c r="M15" s="1236"/>
      <c r="N15" s="1214"/>
    </row>
    <row r="16" spans="1:14" ht="15" customHeight="1">
      <c r="B16" s="763" t="str">
        <f>IF(ISBLANK(C16),"",(COUNT(B10:B15)+1))</f>
        <v/>
      </c>
      <c r="C16" s="782"/>
      <c r="D16" s="726"/>
      <c r="E16" s="727"/>
      <c r="F16" s="727"/>
      <c r="G16" s="726"/>
      <c r="H16" s="1234"/>
      <c r="I16" s="1234"/>
      <c r="J16" s="1234"/>
      <c r="K16" s="1234"/>
      <c r="L16" s="1234"/>
      <c r="M16" s="1234"/>
      <c r="N16" s="1213"/>
    </row>
    <row r="17" spans="1:14" ht="15" customHeight="1">
      <c r="B17" s="728" t="str">
        <f>IF(ISBLANK(C17),"",(COUNT(B10:B16)+1))</f>
        <v/>
      </c>
      <c r="C17" s="765"/>
      <c r="D17" s="726"/>
      <c r="E17" s="727"/>
      <c r="F17" s="727"/>
      <c r="G17" s="726"/>
      <c r="H17" s="1234"/>
      <c r="I17" s="1234"/>
      <c r="J17" s="1234"/>
      <c r="K17" s="1234"/>
      <c r="L17" s="1234"/>
      <c r="M17" s="1234"/>
      <c r="N17" s="1213"/>
    </row>
    <row r="18" spans="1:14" ht="15" customHeight="1">
      <c r="B18" s="728" t="str">
        <f>IF(ISBLANK(C18),"",(COUNT(B10:B17)+1))</f>
        <v/>
      </c>
      <c r="C18" s="766"/>
      <c r="D18" s="726"/>
      <c r="E18" s="727"/>
      <c r="F18" s="727"/>
      <c r="G18" s="726"/>
      <c r="H18" s="1234"/>
      <c r="I18" s="1234"/>
      <c r="J18" s="1234"/>
      <c r="K18" s="1220"/>
      <c r="L18" s="1220"/>
      <c r="M18" s="1220"/>
      <c r="N18" s="1213"/>
    </row>
    <row r="19" spans="1:14" ht="15" customHeight="1">
      <c r="B19" s="728" t="str">
        <f>IF(ISBLANK(C19),"",(COUNT(B10:B18)+1))</f>
        <v/>
      </c>
      <c r="C19" s="766"/>
      <c r="D19" s="726"/>
      <c r="E19" s="727"/>
      <c r="F19" s="727"/>
      <c r="G19" s="726"/>
      <c r="H19" s="1234"/>
      <c r="I19" s="1234"/>
      <c r="J19" s="1234"/>
      <c r="K19" s="1220"/>
      <c r="L19" s="1220"/>
      <c r="M19" s="1220"/>
      <c r="N19" s="1213"/>
    </row>
    <row r="20" spans="1:14" ht="15.75" customHeight="1" thickBot="1">
      <c r="B20" s="728" t="str">
        <f>IF(ISBLANK(C20),"",(COUNT(B10:B19)+1))</f>
        <v/>
      </c>
      <c r="C20" s="767"/>
      <c r="D20" s="742"/>
      <c r="E20" s="743"/>
      <c r="F20" s="743"/>
      <c r="G20" s="742"/>
      <c r="H20" s="1224"/>
      <c r="I20" s="1224"/>
      <c r="J20" s="1224"/>
      <c r="K20" s="1224"/>
      <c r="L20" s="1224"/>
      <c r="M20" s="1224"/>
      <c r="N20" s="1213"/>
    </row>
    <row r="21" spans="1:14" s="520" customFormat="1" ht="15" customHeight="1" thickBot="1">
      <c r="A21" s="162"/>
      <c r="B21" s="754"/>
      <c r="C21" s="754"/>
      <c r="D21" s="755"/>
      <c r="E21" s="756"/>
      <c r="F21" s="756"/>
      <c r="G21" s="757"/>
      <c r="H21" s="758"/>
      <c r="I21" s="758"/>
      <c r="J21" s="759"/>
      <c r="K21" s="756"/>
      <c r="L21" s="756"/>
      <c r="M21" s="760"/>
      <c r="N21" s="1213"/>
    </row>
    <row r="22" spans="1:14" ht="15" customHeight="1">
      <c r="B22" s="1226" t="s">
        <v>785</v>
      </c>
      <c r="C22" s="1227"/>
      <c r="D22" s="1227"/>
      <c r="E22" s="1227"/>
      <c r="F22" s="1227"/>
      <c r="G22" s="1227"/>
      <c r="H22" s="1227"/>
      <c r="I22" s="1227"/>
      <c r="J22" s="1227"/>
      <c r="K22" s="1227"/>
      <c r="L22" s="1227"/>
      <c r="M22" s="1269"/>
      <c r="N22" s="1213"/>
    </row>
    <row r="23" spans="1:14" s="519" customFormat="1" ht="15" customHeight="1">
      <c r="A23" s="157"/>
      <c r="B23" s="1270" t="s">
        <v>772</v>
      </c>
      <c r="C23" s="1271"/>
      <c r="D23" s="779" t="s">
        <v>786</v>
      </c>
      <c r="E23" s="1231" t="s">
        <v>784</v>
      </c>
      <c r="F23" s="1232"/>
      <c r="G23" s="1232"/>
      <c r="H23" s="1232"/>
      <c r="I23" s="1232"/>
      <c r="J23" s="1232"/>
      <c r="K23" s="1232"/>
      <c r="L23" s="1232"/>
      <c r="M23" s="1232"/>
      <c r="N23" s="1213"/>
    </row>
    <row r="24" spans="1:14" ht="78" customHeight="1">
      <c r="B24" s="783">
        <f>IF(ISBLANK(C24),"",1)</f>
        <v>1</v>
      </c>
      <c r="C24" s="784" t="s">
        <v>1064</v>
      </c>
      <c r="D24" s="780">
        <v>43853</v>
      </c>
      <c r="E24" s="1265"/>
      <c r="F24" s="1265"/>
      <c r="G24" s="1265"/>
      <c r="H24" s="1265"/>
      <c r="I24" s="1265"/>
      <c r="J24" s="1265"/>
      <c r="K24" s="1265"/>
      <c r="L24" s="1265"/>
      <c r="M24" s="1266"/>
      <c r="N24" s="1213"/>
    </row>
    <row r="25" spans="1:14" ht="15" customHeight="1">
      <c r="B25" s="783">
        <f>IF(ISBLANK(C25),"",2)</f>
        <v>2</v>
      </c>
      <c r="C25" s="785" t="s">
        <v>1065</v>
      </c>
      <c r="D25" s="780"/>
      <c r="E25" s="1267"/>
      <c r="F25" s="1268"/>
      <c r="G25" s="1268"/>
      <c r="H25" s="1268"/>
      <c r="I25" s="1268"/>
      <c r="J25" s="1268"/>
      <c r="K25" s="1268"/>
      <c r="L25" s="1268"/>
      <c r="M25" s="1268"/>
      <c r="N25" s="1213"/>
    </row>
    <row r="26" spans="1:14" ht="15" customHeight="1">
      <c r="B26" s="763" t="str">
        <f>IF(ISBLANK(C26),"",3)</f>
        <v/>
      </c>
      <c r="C26" s="764"/>
      <c r="D26" s="726"/>
      <c r="E26" s="1220"/>
      <c r="F26" s="1220"/>
      <c r="G26" s="1220"/>
      <c r="H26" s="1220"/>
      <c r="I26" s="1220"/>
      <c r="J26" s="1220"/>
      <c r="K26" s="1220"/>
      <c r="L26" s="1220"/>
      <c r="M26" s="1220"/>
      <c r="N26" s="1213"/>
    </row>
    <row r="27" spans="1:14" ht="15" customHeight="1">
      <c r="B27" s="728" t="str">
        <f>IF(ISBLANK(C27),"",4)</f>
        <v/>
      </c>
      <c r="C27" s="769"/>
      <c r="D27" s="726"/>
      <c r="E27" s="1220"/>
      <c r="F27" s="1220"/>
      <c r="G27" s="1220"/>
      <c r="H27" s="1220"/>
      <c r="I27" s="1220"/>
      <c r="J27" s="1220"/>
      <c r="K27" s="1220"/>
      <c r="L27" s="1220"/>
      <c r="M27" s="1220"/>
      <c r="N27" s="1213"/>
    </row>
    <row r="28" spans="1:14" ht="15" customHeight="1">
      <c r="B28" s="728" t="str">
        <f>IF(ISBLANK(C28),"",5)</f>
        <v/>
      </c>
      <c r="C28" s="769"/>
      <c r="D28" s="726"/>
      <c r="E28" s="1220"/>
      <c r="F28" s="1220"/>
      <c r="G28" s="1220"/>
      <c r="H28" s="1220"/>
      <c r="I28" s="1220"/>
      <c r="J28" s="1220"/>
      <c r="K28" s="1220"/>
      <c r="L28" s="1220"/>
      <c r="M28" s="1220"/>
      <c r="N28" s="1213"/>
    </row>
    <row r="29" spans="1:14" ht="15" customHeight="1">
      <c r="B29" s="728" t="str">
        <f>IF(ISBLANK(C29),"",6)</f>
        <v/>
      </c>
      <c r="C29" s="765"/>
      <c r="D29" s="726"/>
      <c r="E29" s="1220"/>
      <c r="F29" s="1220"/>
      <c r="G29" s="1220"/>
      <c r="H29" s="1220"/>
      <c r="I29" s="1220"/>
      <c r="J29" s="1220"/>
      <c r="K29" s="1220"/>
      <c r="L29" s="1220"/>
      <c r="M29" s="1220"/>
      <c r="N29" s="1213"/>
    </row>
    <row r="30" spans="1:14" ht="15" customHeight="1">
      <c r="B30" s="728" t="str">
        <f>IF(ISBLANK(C30),"",7)</f>
        <v/>
      </c>
      <c r="C30" s="765"/>
      <c r="D30" s="726"/>
      <c r="E30" s="1220"/>
      <c r="F30" s="1220"/>
      <c r="G30" s="1220"/>
      <c r="H30" s="1220"/>
      <c r="I30" s="1220"/>
      <c r="J30" s="1220"/>
      <c r="K30" s="1220"/>
      <c r="L30" s="1220"/>
      <c r="M30" s="1220"/>
      <c r="N30" s="1213"/>
    </row>
    <row r="31" spans="1:14" ht="15" customHeight="1">
      <c r="B31" s="728" t="str">
        <f>IF(ISBLANK(C31),"",8)</f>
        <v/>
      </c>
      <c r="C31" s="765"/>
      <c r="D31" s="726"/>
      <c r="E31" s="1220"/>
      <c r="F31" s="1220"/>
      <c r="G31" s="1220"/>
      <c r="H31" s="1220"/>
      <c r="I31" s="1220"/>
      <c r="J31" s="1220"/>
      <c r="K31" s="1220"/>
      <c r="L31" s="1220"/>
      <c r="M31" s="1220"/>
      <c r="N31" s="1213"/>
    </row>
    <row r="32" spans="1:14" ht="15" customHeight="1">
      <c r="B32" s="728" t="str">
        <f>IF(ISBLANK(C32),"",9)</f>
        <v/>
      </c>
      <c r="C32" s="766"/>
      <c r="D32" s="726"/>
      <c r="E32" s="1220"/>
      <c r="F32" s="1220"/>
      <c r="G32" s="1220"/>
      <c r="H32" s="1220"/>
      <c r="I32" s="1220"/>
      <c r="J32" s="1220"/>
      <c r="K32" s="1220"/>
      <c r="L32" s="1220"/>
      <c r="M32" s="1220"/>
      <c r="N32" s="1213"/>
    </row>
    <row r="33" spans="2:14" ht="15" customHeight="1">
      <c r="B33" s="728" t="str">
        <f>IF(ISBLANK(C33),"",10)</f>
        <v/>
      </c>
      <c r="C33" s="766"/>
      <c r="D33" s="726"/>
      <c r="E33" s="1220"/>
      <c r="F33" s="1220"/>
      <c r="G33" s="1220"/>
      <c r="H33" s="1220"/>
      <c r="I33" s="1220"/>
      <c r="J33" s="1220"/>
      <c r="K33" s="1220"/>
      <c r="L33" s="1220"/>
      <c r="M33" s="1220"/>
      <c r="N33" s="1213"/>
    </row>
    <row r="34" spans="2:14" ht="15.75" customHeight="1" thickBot="1">
      <c r="B34" s="770" t="str">
        <f>IF(ISBLANK(C34),"",11)</f>
        <v/>
      </c>
      <c r="C34" s="767"/>
      <c r="D34" s="742"/>
      <c r="E34" s="1210"/>
      <c r="F34" s="1210"/>
      <c r="G34" s="1210"/>
      <c r="H34" s="1210"/>
      <c r="I34" s="1210"/>
      <c r="J34" s="1210"/>
      <c r="K34" s="1210"/>
      <c r="L34" s="1210"/>
      <c r="M34" s="1210"/>
      <c r="N34" s="1215"/>
    </row>
    <row r="35" spans="2:14" ht="13.5" customHeight="1" thickBot="1">
      <c r="B35" s="1141"/>
      <c r="C35" s="1141"/>
      <c r="D35" s="1141"/>
      <c r="E35" s="1141"/>
      <c r="F35" s="1141"/>
      <c r="G35" s="1141"/>
      <c r="H35" s="1141"/>
      <c r="I35" s="1141"/>
      <c r="J35" s="1141"/>
      <c r="K35" s="1141"/>
      <c r="L35" s="1141"/>
      <c r="M35" s="1141"/>
      <c r="N35" s="1141"/>
    </row>
    <row r="36" spans="2:14">
      <c r="B36" s="1244" t="s">
        <v>95</v>
      </c>
      <c r="C36" s="1245"/>
      <c r="D36" s="1245"/>
      <c r="E36" s="1245"/>
      <c r="F36" s="1245"/>
      <c r="G36" s="1245"/>
      <c r="H36" s="1245"/>
      <c r="I36" s="1245"/>
      <c r="J36" s="1245"/>
      <c r="K36" s="1245"/>
      <c r="L36" s="1245"/>
      <c r="M36" s="1246"/>
      <c r="N36" s="1216" t="s">
        <v>987</v>
      </c>
    </row>
    <row r="37" spans="2:14">
      <c r="B37" s="1247" t="s">
        <v>96</v>
      </c>
      <c r="C37" s="1248"/>
      <c r="D37" s="1249" t="str">
        <f>'1.PM'!$C$3</f>
        <v>Levetiracetam Tablets</v>
      </c>
      <c r="E37" s="1249"/>
      <c r="F37" s="1249"/>
      <c r="G37" s="1249"/>
      <c r="H37" s="1250"/>
      <c r="I37" s="1250"/>
      <c r="J37" s="1250"/>
      <c r="K37" s="1250"/>
      <c r="L37" s="1250"/>
      <c r="M37" s="1251"/>
      <c r="N37" s="1217"/>
    </row>
    <row r="38" spans="2:14">
      <c r="B38" s="744" t="s">
        <v>98</v>
      </c>
      <c r="C38" s="745"/>
      <c r="D38" s="736" t="s">
        <v>993</v>
      </c>
      <c r="E38" s="737"/>
      <c r="F38" s="737"/>
      <c r="G38" s="737"/>
      <c r="H38" s="737"/>
      <c r="I38" s="746" t="s">
        <v>779</v>
      </c>
      <c r="J38" s="1252" t="s">
        <v>1046</v>
      </c>
      <c r="K38" s="1253"/>
      <c r="L38" s="1253"/>
      <c r="M38" s="1254"/>
      <c r="N38" s="1217"/>
    </row>
    <row r="39" spans="2:14">
      <c r="B39" s="1257" t="s">
        <v>775</v>
      </c>
      <c r="C39" s="1258"/>
      <c r="D39" s="747" t="s">
        <v>1043</v>
      </c>
      <c r="E39" s="748" t="s">
        <v>102</v>
      </c>
      <c r="F39" s="749" t="s">
        <v>1033</v>
      </c>
      <c r="G39" s="1259" t="s">
        <v>777</v>
      </c>
      <c r="H39" s="1260"/>
      <c r="I39" s="750"/>
      <c r="J39" s="1253"/>
      <c r="K39" s="1253"/>
      <c r="L39" s="1253"/>
      <c r="M39" s="1254"/>
      <c r="N39" s="1217"/>
    </row>
    <row r="40" spans="2:14" ht="13.5" thickBot="1">
      <c r="B40" s="1261" t="s">
        <v>776</v>
      </c>
      <c r="C40" s="1262"/>
      <c r="D40" s="751" t="s">
        <v>1043</v>
      </c>
      <c r="E40" s="752" t="s">
        <v>774</v>
      </c>
      <c r="F40" s="753" t="s">
        <v>1045</v>
      </c>
      <c r="G40" s="1263" t="s">
        <v>778</v>
      </c>
      <c r="H40" s="1264"/>
      <c r="I40" s="738"/>
      <c r="J40" s="1255"/>
      <c r="K40" s="1255"/>
      <c r="L40" s="1255"/>
      <c r="M40" s="1256"/>
      <c r="N40" s="1217"/>
    </row>
    <row r="41" spans="2:14" ht="13.5" thickBot="1">
      <c r="B41" s="754"/>
      <c r="C41" s="754"/>
      <c r="D41" s="755"/>
      <c r="E41" s="756"/>
      <c r="F41" s="756"/>
      <c r="G41" s="757"/>
      <c r="H41" s="758"/>
      <c r="I41" s="758"/>
      <c r="J41" s="759"/>
      <c r="K41" s="756"/>
      <c r="L41" s="756"/>
      <c r="M41" s="760"/>
      <c r="N41" s="1217"/>
    </row>
    <row r="42" spans="2:14">
      <c r="B42" s="1226" t="s">
        <v>780</v>
      </c>
      <c r="C42" s="1227"/>
      <c r="D42" s="1227"/>
      <c r="E42" s="1227"/>
      <c r="F42" s="1227"/>
      <c r="G42" s="1227"/>
      <c r="H42" s="1227"/>
      <c r="I42" s="1227"/>
      <c r="J42" s="1227"/>
      <c r="K42" s="1227"/>
      <c r="L42" s="1227"/>
      <c r="M42" s="1228"/>
      <c r="N42" s="1217"/>
    </row>
    <row r="43" spans="2:14" ht="34.5" customHeight="1">
      <c r="B43" s="1238" t="s">
        <v>781</v>
      </c>
      <c r="C43" s="1239"/>
      <c r="D43" s="761" t="s">
        <v>771</v>
      </c>
      <c r="E43" s="761" t="s">
        <v>772</v>
      </c>
      <c r="F43" s="761" t="s">
        <v>773</v>
      </c>
      <c r="G43" s="761" t="s">
        <v>782</v>
      </c>
      <c r="H43" s="1240" t="s">
        <v>783</v>
      </c>
      <c r="I43" s="1240"/>
      <c r="J43" s="1240"/>
      <c r="K43" s="1240" t="s">
        <v>784</v>
      </c>
      <c r="L43" s="1240"/>
      <c r="M43" s="1241"/>
      <c r="N43" s="1217"/>
    </row>
    <row r="44" spans="2:14" ht="74.25" customHeight="1">
      <c r="B44" s="729">
        <f>IF(ISBLANK(C44),"",1)</f>
        <v>1</v>
      </c>
      <c r="C44" s="730" t="s">
        <v>1034</v>
      </c>
      <c r="D44" s="731">
        <v>42910</v>
      </c>
      <c r="E44" s="730" t="s">
        <v>1035</v>
      </c>
      <c r="F44" s="730"/>
      <c r="G44" s="731"/>
      <c r="H44" s="1242" t="s">
        <v>1044</v>
      </c>
      <c r="I44" s="1243"/>
      <c r="J44" s="1243"/>
      <c r="K44" s="1243" t="s">
        <v>1036</v>
      </c>
      <c r="L44" s="1243"/>
      <c r="M44" s="1243"/>
      <c r="N44" s="1218"/>
    </row>
    <row r="45" spans="2:14" ht="39.75" customHeight="1">
      <c r="B45" s="732">
        <f>IF(ISBLANK(C45),"",(COUNT(B44)+1))</f>
        <v>2</v>
      </c>
      <c r="C45" s="733" t="s">
        <v>1038</v>
      </c>
      <c r="D45" s="1159">
        <v>49009</v>
      </c>
      <c r="E45" s="1122" t="s">
        <v>1039</v>
      </c>
      <c r="F45" s="734"/>
      <c r="G45" s="735"/>
      <c r="H45" s="1123" t="s">
        <v>1040</v>
      </c>
      <c r="I45" s="1124"/>
      <c r="J45" s="1125"/>
      <c r="K45" s="1129" t="s">
        <v>1037</v>
      </c>
      <c r="L45" s="1130"/>
      <c r="M45" s="1131"/>
      <c r="N45" s="1218"/>
    </row>
    <row r="46" spans="2:14" ht="47.25" customHeight="1">
      <c r="B46" s="732">
        <f>IF(ISBLANK(C46),"",(COUNT(B44:B45)+1))</f>
        <v>3</v>
      </c>
      <c r="C46" s="733" t="s">
        <v>1041</v>
      </c>
      <c r="D46" s="1159"/>
      <c r="E46" s="1122"/>
      <c r="F46" s="734"/>
      <c r="G46" s="735"/>
      <c r="H46" s="1126"/>
      <c r="I46" s="1127"/>
      <c r="J46" s="1128"/>
      <c r="K46" s="1132"/>
      <c r="L46" s="1133"/>
      <c r="M46" s="1134"/>
      <c r="N46" s="1218"/>
    </row>
    <row r="47" spans="2:14" ht="50.25" customHeight="1">
      <c r="B47" s="762">
        <f>IF(ISBLANK(C47),"",(COUNT(B44:B46)+1))</f>
        <v>4</v>
      </c>
      <c r="C47" s="789" t="s">
        <v>1068</v>
      </c>
      <c r="D47" s="739">
        <v>45213</v>
      </c>
      <c r="E47" s="740" t="s">
        <v>1042</v>
      </c>
      <c r="F47" s="741"/>
      <c r="G47" s="739"/>
      <c r="H47" s="1236" t="s">
        <v>1048</v>
      </c>
      <c r="I47" s="1236"/>
      <c r="J47" s="1236"/>
      <c r="K47" s="1237" t="s">
        <v>1047</v>
      </c>
      <c r="L47" s="1237"/>
      <c r="M47" s="1237"/>
      <c r="N47" s="1218"/>
    </row>
    <row r="48" spans="2:14">
      <c r="B48" s="763" t="str">
        <f>IF(ISBLANK(C48),"",(COUNT(B44:B47)+1))</f>
        <v/>
      </c>
      <c r="C48" s="764"/>
      <c r="D48" s="726"/>
      <c r="E48" s="727"/>
      <c r="F48" s="727"/>
      <c r="G48" s="726"/>
      <c r="H48" s="1234"/>
      <c r="I48" s="1234"/>
      <c r="J48" s="1234"/>
      <c r="K48" s="1220"/>
      <c r="L48" s="1220"/>
      <c r="M48" s="1221"/>
      <c r="N48" s="1217"/>
    </row>
    <row r="49" spans="2:14">
      <c r="B49" s="728" t="str">
        <f>IF(ISBLANK(C49),"",(COUNT(B44:B48)+1))</f>
        <v/>
      </c>
      <c r="C49" s="765"/>
      <c r="D49" s="726"/>
      <c r="E49" s="727"/>
      <c r="F49" s="727"/>
      <c r="G49" s="726"/>
      <c r="H49" s="1234"/>
      <c r="I49" s="1234"/>
      <c r="J49" s="1234"/>
      <c r="K49" s="1234"/>
      <c r="L49" s="1234"/>
      <c r="M49" s="1235"/>
      <c r="N49" s="1217"/>
    </row>
    <row r="50" spans="2:14">
      <c r="B50" s="728" t="str">
        <f>IF(ISBLANK(C50),"",(COUNT(B44:B49)+1))</f>
        <v/>
      </c>
      <c r="C50" s="765"/>
      <c r="D50" s="726"/>
      <c r="E50" s="727"/>
      <c r="F50" s="727"/>
      <c r="G50" s="726"/>
      <c r="H50" s="1234"/>
      <c r="I50" s="1234"/>
      <c r="J50" s="1234"/>
      <c r="K50" s="1234"/>
      <c r="L50" s="1234"/>
      <c r="M50" s="1235"/>
      <c r="N50" s="1217"/>
    </row>
    <row r="51" spans="2:14">
      <c r="B51" s="728" t="str">
        <f>IF(ISBLANK(C51),"",(COUNT(B44:B50)+1))</f>
        <v/>
      </c>
      <c r="C51" s="765"/>
      <c r="D51" s="726"/>
      <c r="E51" s="727"/>
      <c r="F51" s="727"/>
      <c r="G51" s="726"/>
      <c r="H51" s="1234"/>
      <c r="I51" s="1234"/>
      <c r="J51" s="1234"/>
      <c r="K51" s="1234"/>
      <c r="L51" s="1234"/>
      <c r="M51" s="1235"/>
      <c r="N51" s="1217"/>
    </row>
    <row r="52" spans="2:14">
      <c r="B52" s="728" t="str">
        <f>IF(ISBLANK(C52),"",(COUNT(B44:B51)+1))</f>
        <v/>
      </c>
      <c r="C52" s="766"/>
      <c r="D52" s="726"/>
      <c r="E52" s="727"/>
      <c r="F52" s="727"/>
      <c r="G52" s="726"/>
      <c r="H52" s="1234"/>
      <c r="I52" s="1234"/>
      <c r="J52" s="1234"/>
      <c r="K52" s="1220"/>
      <c r="L52" s="1220"/>
      <c r="M52" s="1221"/>
      <c r="N52" s="1217"/>
    </row>
    <row r="53" spans="2:14">
      <c r="B53" s="728" t="str">
        <f>IF(ISBLANK(C53),"",(COUNT(B44:B52)+1))</f>
        <v/>
      </c>
      <c r="C53" s="766"/>
      <c r="D53" s="726"/>
      <c r="E53" s="727"/>
      <c r="F53" s="727"/>
      <c r="G53" s="726"/>
      <c r="H53" s="1234"/>
      <c r="I53" s="1234"/>
      <c r="J53" s="1234"/>
      <c r="K53" s="1220"/>
      <c r="L53" s="1220"/>
      <c r="M53" s="1221"/>
      <c r="N53" s="1217"/>
    </row>
    <row r="54" spans="2:14" ht="13.5" thickBot="1">
      <c r="B54" s="728" t="str">
        <f>IF(ISBLANK(C54),"",(COUNT(B44:B53)+1))</f>
        <v/>
      </c>
      <c r="C54" s="767"/>
      <c r="D54" s="742"/>
      <c r="E54" s="743"/>
      <c r="F54" s="743"/>
      <c r="G54" s="742"/>
      <c r="H54" s="1224"/>
      <c r="I54" s="1224"/>
      <c r="J54" s="1224"/>
      <c r="K54" s="1224"/>
      <c r="L54" s="1224"/>
      <c r="M54" s="1225"/>
      <c r="N54" s="1217"/>
    </row>
    <row r="55" spans="2:14" ht="13.5" thickBot="1">
      <c r="B55" s="754"/>
      <c r="C55" s="754"/>
      <c r="D55" s="755"/>
      <c r="E55" s="756"/>
      <c r="F55" s="756"/>
      <c r="G55" s="757"/>
      <c r="H55" s="758"/>
      <c r="I55" s="758"/>
      <c r="J55" s="759"/>
      <c r="K55" s="756"/>
      <c r="L55" s="756"/>
      <c r="M55" s="760"/>
      <c r="N55" s="1217"/>
    </row>
    <row r="56" spans="2:14">
      <c r="B56" s="1226" t="s">
        <v>785</v>
      </c>
      <c r="C56" s="1227"/>
      <c r="D56" s="1227"/>
      <c r="E56" s="1227"/>
      <c r="F56" s="1227"/>
      <c r="G56" s="1227"/>
      <c r="H56" s="1227"/>
      <c r="I56" s="1227"/>
      <c r="J56" s="1227"/>
      <c r="K56" s="1227"/>
      <c r="L56" s="1227"/>
      <c r="M56" s="1228"/>
      <c r="N56" s="1217"/>
    </row>
    <row r="57" spans="2:14" ht="21" customHeight="1">
      <c r="B57" s="1229" t="s">
        <v>772</v>
      </c>
      <c r="C57" s="1230"/>
      <c r="D57" s="768" t="s">
        <v>786</v>
      </c>
      <c r="E57" s="1231" t="s">
        <v>784</v>
      </c>
      <c r="F57" s="1232"/>
      <c r="G57" s="1232"/>
      <c r="H57" s="1232"/>
      <c r="I57" s="1232"/>
      <c r="J57" s="1232"/>
      <c r="K57" s="1232"/>
      <c r="L57" s="1232"/>
      <c r="M57" s="1233"/>
      <c r="N57" s="1217"/>
    </row>
    <row r="58" spans="2:14">
      <c r="B58" s="786">
        <f>IF(ISBLANK(C58),"",1)</f>
        <v>1</v>
      </c>
      <c r="C58" s="787" t="s">
        <v>1067</v>
      </c>
      <c r="D58" s="788">
        <v>42613</v>
      </c>
      <c r="E58" s="1222"/>
      <c r="F58" s="1222"/>
      <c r="G58" s="1222"/>
      <c r="H58" s="1222"/>
      <c r="I58" s="1222"/>
      <c r="J58" s="1222"/>
      <c r="K58" s="1222"/>
      <c r="L58" s="1222"/>
      <c r="M58" s="1223"/>
      <c r="N58" s="1217"/>
    </row>
    <row r="59" spans="2:14">
      <c r="B59" s="728" t="str">
        <f>IF(ISBLANK(C59),"",2)</f>
        <v/>
      </c>
      <c r="C59" s="765"/>
      <c r="D59" s="726"/>
      <c r="E59" s="1220"/>
      <c r="F59" s="1220"/>
      <c r="G59" s="1220"/>
      <c r="H59" s="1220"/>
      <c r="I59" s="1220"/>
      <c r="J59" s="1220"/>
      <c r="K59" s="1220"/>
      <c r="L59" s="1220"/>
      <c r="M59" s="1221"/>
      <c r="N59" s="1217"/>
    </row>
    <row r="60" spans="2:14">
      <c r="B60" s="728" t="str">
        <f>IF(ISBLANK(C60),"",3)</f>
        <v/>
      </c>
      <c r="C60" s="769"/>
      <c r="D60" s="726"/>
      <c r="E60" s="1220"/>
      <c r="F60" s="1220"/>
      <c r="G60" s="1220"/>
      <c r="H60" s="1220"/>
      <c r="I60" s="1220"/>
      <c r="J60" s="1220"/>
      <c r="K60" s="1220"/>
      <c r="L60" s="1220"/>
      <c r="M60" s="1221"/>
      <c r="N60" s="1217"/>
    </row>
    <row r="61" spans="2:14">
      <c r="B61" s="728" t="str">
        <f>IF(ISBLANK(C61),"",4)</f>
        <v/>
      </c>
      <c r="C61" s="769"/>
      <c r="D61" s="726"/>
      <c r="E61" s="1220"/>
      <c r="F61" s="1220"/>
      <c r="G61" s="1220"/>
      <c r="H61" s="1220"/>
      <c r="I61" s="1220"/>
      <c r="J61" s="1220"/>
      <c r="K61" s="1220"/>
      <c r="L61" s="1220"/>
      <c r="M61" s="1221"/>
      <c r="N61" s="1217"/>
    </row>
    <row r="62" spans="2:14">
      <c r="B62" s="728" t="str">
        <f>IF(ISBLANK(C62),"",5)</f>
        <v/>
      </c>
      <c r="C62" s="769"/>
      <c r="D62" s="726"/>
      <c r="E62" s="1220"/>
      <c r="F62" s="1220"/>
      <c r="G62" s="1220"/>
      <c r="H62" s="1220"/>
      <c r="I62" s="1220"/>
      <c r="J62" s="1220"/>
      <c r="K62" s="1220"/>
      <c r="L62" s="1220"/>
      <c r="M62" s="1221"/>
      <c r="N62" s="1217"/>
    </row>
    <row r="63" spans="2:14">
      <c r="B63" s="728" t="str">
        <f>IF(ISBLANK(C63),"",6)</f>
        <v/>
      </c>
      <c r="C63" s="765"/>
      <c r="D63" s="726"/>
      <c r="E63" s="1220"/>
      <c r="F63" s="1220"/>
      <c r="G63" s="1220"/>
      <c r="H63" s="1220"/>
      <c r="I63" s="1220"/>
      <c r="J63" s="1220"/>
      <c r="K63" s="1220"/>
      <c r="L63" s="1220"/>
      <c r="M63" s="1221"/>
      <c r="N63" s="1217"/>
    </row>
    <row r="64" spans="2:14">
      <c r="B64" s="728" t="str">
        <f>IF(ISBLANK(C64),"",7)</f>
        <v/>
      </c>
      <c r="C64" s="765"/>
      <c r="D64" s="726"/>
      <c r="E64" s="1220"/>
      <c r="F64" s="1220"/>
      <c r="G64" s="1220"/>
      <c r="H64" s="1220"/>
      <c r="I64" s="1220"/>
      <c r="J64" s="1220"/>
      <c r="K64" s="1220"/>
      <c r="L64" s="1220"/>
      <c r="M64" s="1221"/>
      <c r="N64" s="1217"/>
    </row>
    <row r="65" spans="2:14">
      <c r="B65" s="728" t="str">
        <f>IF(ISBLANK(C65),"",8)</f>
        <v/>
      </c>
      <c r="C65" s="765"/>
      <c r="D65" s="726"/>
      <c r="E65" s="1220"/>
      <c r="F65" s="1220"/>
      <c r="G65" s="1220"/>
      <c r="H65" s="1220"/>
      <c r="I65" s="1220"/>
      <c r="J65" s="1220"/>
      <c r="K65" s="1220"/>
      <c r="L65" s="1220"/>
      <c r="M65" s="1221"/>
      <c r="N65" s="1217"/>
    </row>
    <row r="66" spans="2:14">
      <c r="B66" s="728" t="str">
        <f>IF(ISBLANK(C66),"",9)</f>
        <v/>
      </c>
      <c r="C66" s="766"/>
      <c r="D66" s="726"/>
      <c r="E66" s="1220"/>
      <c r="F66" s="1220"/>
      <c r="G66" s="1220"/>
      <c r="H66" s="1220"/>
      <c r="I66" s="1220"/>
      <c r="J66" s="1220"/>
      <c r="K66" s="1220"/>
      <c r="L66" s="1220"/>
      <c r="M66" s="1221"/>
      <c r="N66" s="1217"/>
    </row>
    <row r="67" spans="2:14">
      <c r="B67" s="728" t="str">
        <f>IF(ISBLANK(C67),"",10)</f>
        <v/>
      </c>
      <c r="C67" s="766"/>
      <c r="D67" s="726"/>
      <c r="E67" s="1220"/>
      <c r="F67" s="1220"/>
      <c r="G67" s="1220"/>
      <c r="H67" s="1220"/>
      <c r="I67" s="1220"/>
      <c r="J67" s="1220"/>
      <c r="K67" s="1220"/>
      <c r="L67" s="1220"/>
      <c r="M67" s="1221"/>
      <c r="N67" s="1217"/>
    </row>
    <row r="68" spans="2:14" ht="13.5" thickBot="1">
      <c r="B68" s="770" t="str">
        <f>IF(ISBLANK(C68),"",11)</f>
        <v/>
      </c>
      <c r="C68" s="767"/>
      <c r="D68" s="742"/>
      <c r="E68" s="1210"/>
      <c r="F68" s="1210"/>
      <c r="G68" s="1210"/>
      <c r="H68" s="1210"/>
      <c r="I68" s="1210"/>
      <c r="J68" s="1210"/>
      <c r="K68" s="1210"/>
      <c r="L68" s="1210"/>
      <c r="M68" s="1211"/>
      <c r="N68" s="1219"/>
    </row>
    <row r="69" spans="2:14" ht="13.5" customHeight="1" thickBot="1">
      <c r="B69" s="1141"/>
      <c r="C69" s="1141"/>
      <c r="D69" s="1141"/>
      <c r="E69" s="1141"/>
      <c r="F69" s="1141"/>
      <c r="G69" s="1141"/>
      <c r="H69" s="1141"/>
      <c r="I69" s="1141"/>
      <c r="J69" s="1141"/>
      <c r="K69" s="1141"/>
      <c r="L69" s="1141"/>
      <c r="M69" s="1141"/>
      <c r="N69" s="1141"/>
    </row>
    <row r="70" spans="2:14" ht="16.5" customHeight="1">
      <c r="B70" s="1195" t="s">
        <v>95</v>
      </c>
      <c r="C70" s="1196"/>
      <c r="D70" s="1196"/>
      <c r="E70" s="1196"/>
      <c r="F70" s="1196"/>
      <c r="G70" s="1196"/>
      <c r="H70" s="1196"/>
      <c r="I70" s="1196"/>
      <c r="J70" s="1196"/>
      <c r="K70" s="1196"/>
      <c r="L70" s="1196"/>
      <c r="M70" s="1197"/>
      <c r="N70" s="1198" t="s">
        <v>989</v>
      </c>
    </row>
    <row r="71" spans="2:14" ht="18" customHeight="1">
      <c r="B71" s="1160" t="s">
        <v>96</v>
      </c>
      <c r="C71" s="1161"/>
      <c r="D71" s="1201" t="str">
        <f>'1.PM'!$C$3</f>
        <v>Levetiracetam Tablets</v>
      </c>
      <c r="E71" s="1201"/>
      <c r="F71" s="1201"/>
      <c r="G71" s="1201"/>
      <c r="H71" s="1202"/>
      <c r="I71" s="1202"/>
      <c r="J71" s="1202"/>
      <c r="K71" s="1202"/>
      <c r="L71" s="1202"/>
      <c r="M71" s="1203"/>
      <c r="N71" s="1199"/>
    </row>
    <row r="72" spans="2:14" ht="21" customHeight="1">
      <c r="B72" s="362" t="s">
        <v>98</v>
      </c>
      <c r="C72" s="166"/>
      <c r="D72" s="523" t="s">
        <v>991</v>
      </c>
      <c r="E72" s="168"/>
      <c r="F72" s="168"/>
      <c r="G72" s="168"/>
      <c r="H72" s="1165" t="s">
        <v>779</v>
      </c>
      <c r="I72" s="1166"/>
      <c r="J72" s="1167"/>
      <c r="K72" s="1167"/>
      <c r="L72" s="1167"/>
      <c r="M72" s="1168"/>
      <c r="N72" s="1199"/>
    </row>
    <row r="73" spans="2:14" ht="15.75">
      <c r="B73" s="1171" t="s">
        <v>775</v>
      </c>
      <c r="C73" s="1172"/>
      <c r="D73" s="181"/>
      <c r="E73" s="167" t="s">
        <v>102</v>
      </c>
      <c r="F73" s="169"/>
      <c r="G73" s="1173" t="s">
        <v>777</v>
      </c>
      <c r="H73" s="1174"/>
      <c r="I73" s="177"/>
      <c r="J73" s="1167"/>
      <c r="K73" s="1167"/>
      <c r="L73" s="1167"/>
      <c r="M73" s="1168"/>
      <c r="N73" s="1199"/>
    </row>
    <row r="74" spans="2:14" ht="15.75" thickBot="1">
      <c r="B74" s="1175" t="s">
        <v>776</v>
      </c>
      <c r="C74" s="1176"/>
      <c r="D74" s="182"/>
      <c r="E74" s="165" t="s">
        <v>774</v>
      </c>
      <c r="F74" s="170"/>
      <c r="G74" s="1177" t="s">
        <v>778</v>
      </c>
      <c r="H74" s="1178"/>
      <c r="I74" s="178"/>
      <c r="J74" s="1169"/>
      <c r="K74" s="1169"/>
      <c r="L74" s="1169"/>
      <c r="M74" s="1170"/>
      <c r="N74" s="1199"/>
    </row>
    <row r="75" spans="2:14" ht="15.75" thickBot="1">
      <c r="B75" s="24"/>
      <c r="C75" s="24"/>
      <c r="D75" s="158"/>
      <c r="E75" s="39"/>
      <c r="F75" s="39"/>
      <c r="G75" s="159"/>
      <c r="H75" s="41"/>
      <c r="I75" s="41"/>
      <c r="J75" s="160"/>
      <c r="K75" s="39"/>
      <c r="L75" s="39"/>
      <c r="M75" s="161"/>
      <c r="N75" s="1199"/>
    </row>
    <row r="76" spans="2:14" ht="15.75">
      <c r="B76" s="1204" t="s">
        <v>780</v>
      </c>
      <c r="C76" s="1205"/>
      <c r="D76" s="1205"/>
      <c r="E76" s="1205"/>
      <c r="F76" s="1205"/>
      <c r="G76" s="1205"/>
      <c r="H76" s="1205"/>
      <c r="I76" s="1205"/>
      <c r="J76" s="1205"/>
      <c r="K76" s="1205"/>
      <c r="L76" s="1205"/>
      <c r="M76" s="1205"/>
      <c r="N76" s="1199"/>
    </row>
    <row r="77" spans="2:14" ht="33" customHeight="1">
      <c r="B77" s="1206" t="s">
        <v>781</v>
      </c>
      <c r="C77" s="1207"/>
      <c r="D77" s="527" t="s">
        <v>771</v>
      </c>
      <c r="E77" s="527" t="s">
        <v>772</v>
      </c>
      <c r="F77" s="527" t="s">
        <v>773</v>
      </c>
      <c r="G77" s="527" t="s">
        <v>782</v>
      </c>
      <c r="H77" s="1208" t="s">
        <v>783</v>
      </c>
      <c r="I77" s="1208"/>
      <c r="J77" s="1208"/>
      <c r="K77" s="1208" t="s">
        <v>784</v>
      </c>
      <c r="L77" s="1208"/>
      <c r="M77" s="1209"/>
      <c r="N77" s="1199"/>
    </row>
    <row r="78" spans="2:14" ht="15">
      <c r="B78" s="171" t="str">
        <f>IF(ISBLANK(C78),"",1)</f>
        <v/>
      </c>
      <c r="C78" s="172"/>
      <c r="D78" s="179"/>
      <c r="E78" s="360"/>
      <c r="F78" s="360"/>
      <c r="G78" s="179"/>
      <c r="H78" s="1139"/>
      <c r="I78" s="1139"/>
      <c r="J78" s="1139"/>
      <c r="K78" s="1139"/>
      <c r="L78" s="1139"/>
      <c r="M78" s="1139"/>
      <c r="N78" s="1199"/>
    </row>
    <row r="79" spans="2:14" ht="15">
      <c r="B79" s="171" t="str">
        <f>IF(ISBLANK(C79),"",(COUNT(B78)+1))</f>
        <v/>
      </c>
      <c r="C79" s="172"/>
      <c r="D79" s="179"/>
      <c r="E79" s="360"/>
      <c r="F79" s="360"/>
      <c r="G79" s="179"/>
      <c r="H79" s="1138"/>
      <c r="I79" s="1138"/>
      <c r="J79" s="1138"/>
      <c r="K79" s="1139"/>
      <c r="L79" s="1139"/>
      <c r="M79" s="1139"/>
      <c r="N79" s="1199"/>
    </row>
    <row r="80" spans="2:14" ht="15">
      <c r="B80" s="171" t="str">
        <f>IF(ISBLANK(C80),"",(COUNT(B78:B79)+1))</f>
        <v/>
      </c>
      <c r="C80" s="173"/>
      <c r="D80" s="179"/>
      <c r="E80" s="360"/>
      <c r="F80" s="360"/>
      <c r="G80" s="179"/>
      <c r="H80" s="1138"/>
      <c r="I80" s="1138"/>
      <c r="J80" s="1138"/>
      <c r="K80" s="1139"/>
      <c r="L80" s="1139"/>
      <c r="M80" s="1139"/>
      <c r="N80" s="1199"/>
    </row>
    <row r="81" spans="2:14" ht="15">
      <c r="B81" s="171" t="str">
        <f>IF(ISBLANK(C81),"",(COUNT(B78:B80)+1))</f>
        <v/>
      </c>
      <c r="C81" s="173"/>
      <c r="D81" s="179"/>
      <c r="E81" s="360"/>
      <c r="F81" s="360"/>
      <c r="G81" s="179"/>
      <c r="H81" s="1138"/>
      <c r="I81" s="1138"/>
      <c r="J81" s="1138"/>
      <c r="K81" s="1139"/>
      <c r="L81" s="1139"/>
      <c r="M81" s="1139"/>
      <c r="N81" s="1199"/>
    </row>
    <row r="82" spans="2:14" ht="15">
      <c r="B82" s="171" t="str">
        <f>IF(ISBLANK(C82),"",(COUNT(B78:B81)+1))</f>
        <v/>
      </c>
      <c r="C82" s="173"/>
      <c r="D82" s="179"/>
      <c r="E82" s="360"/>
      <c r="F82" s="360"/>
      <c r="G82" s="179"/>
      <c r="H82" s="1138"/>
      <c r="I82" s="1138"/>
      <c r="J82" s="1138"/>
      <c r="K82" s="1139"/>
      <c r="L82" s="1139"/>
      <c r="M82" s="1139"/>
      <c r="N82" s="1199"/>
    </row>
    <row r="83" spans="2:14" ht="15">
      <c r="B83" s="171" t="str">
        <f>IF(ISBLANK(C83),"",(COUNT(B78:B82)+1))</f>
        <v/>
      </c>
      <c r="C83" s="172"/>
      <c r="D83" s="179"/>
      <c r="E83" s="360"/>
      <c r="F83" s="360"/>
      <c r="G83" s="179"/>
      <c r="H83" s="1138"/>
      <c r="I83" s="1138"/>
      <c r="J83" s="1138"/>
      <c r="K83" s="1138"/>
      <c r="L83" s="1138"/>
      <c r="M83" s="1138"/>
      <c r="N83" s="1199"/>
    </row>
    <row r="84" spans="2:14" ht="15">
      <c r="B84" s="171" t="str">
        <f>IF(ISBLANK(C84),"",(COUNT(B78:B83)+1))</f>
        <v/>
      </c>
      <c r="C84" s="172"/>
      <c r="D84" s="179"/>
      <c r="E84" s="360"/>
      <c r="F84" s="360"/>
      <c r="G84" s="179"/>
      <c r="H84" s="1138"/>
      <c r="I84" s="1138"/>
      <c r="J84" s="1138"/>
      <c r="K84" s="1138"/>
      <c r="L84" s="1138"/>
      <c r="M84" s="1138"/>
      <c r="N84" s="1199"/>
    </row>
    <row r="85" spans="2:14" ht="15">
      <c r="B85" s="171" t="str">
        <f>IF(ISBLANK(C85),"",(COUNT(B78:B84)+1))</f>
        <v/>
      </c>
      <c r="C85" s="172"/>
      <c r="D85" s="179"/>
      <c r="E85" s="360"/>
      <c r="F85" s="360"/>
      <c r="G85" s="179"/>
      <c r="H85" s="1138"/>
      <c r="I85" s="1138"/>
      <c r="J85" s="1138"/>
      <c r="K85" s="1138"/>
      <c r="L85" s="1138"/>
      <c r="M85" s="1138"/>
      <c r="N85" s="1199"/>
    </row>
    <row r="86" spans="2:14" ht="15">
      <c r="B86" s="171" t="str">
        <f>IF(ISBLANK(C86),"",(COUNT(B78:B85)+1))</f>
        <v/>
      </c>
      <c r="C86" s="175"/>
      <c r="D86" s="179"/>
      <c r="E86" s="360"/>
      <c r="F86" s="360"/>
      <c r="G86" s="179"/>
      <c r="H86" s="1138"/>
      <c r="I86" s="1138"/>
      <c r="J86" s="1138"/>
      <c r="K86" s="1139"/>
      <c r="L86" s="1139"/>
      <c r="M86" s="1139"/>
      <c r="N86" s="1199"/>
    </row>
    <row r="87" spans="2:14" ht="15">
      <c r="B87" s="171" t="str">
        <f>IF(ISBLANK(C87),"",(COUNT(B78:B86)+1))</f>
        <v/>
      </c>
      <c r="C87" s="175"/>
      <c r="D87" s="179"/>
      <c r="E87" s="360"/>
      <c r="F87" s="360"/>
      <c r="G87" s="179"/>
      <c r="H87" s="1138"/>
      <c r="I87" s="1138"/>
      <c r="J87" s="1138"/>
      <c r="K87" s="1139"/>
      <c r="L87" s="1139"/>
      <c r="M87" s="1139"/>
      <c r="N87" s="1199"/>
    </row>
    <row r="88" spans="2:14" ht="65.25" customHeight="1" thickBot="1">
      <c r="B88" s="171" t="str">
        <f>IF(ISBLANK(C88),"",(COUNT(B78:B87)+1))</f>
        <v/>
      </c>
      <c r="C88" s="174"/>
      <c r="D88" s="180"/>
      <c r="E88" s="361"/>
      <c r="F88" s="361"/>
      <c r="G88" s="180"/>
      <c r="H88" s="1155"/>
      <c r="I88" s="1155"/>
      <c r="J88" s="1155"/>
      <c r="K88" s="1155"/>
      <c r="L88" s="1155"/>
      <c r="M88" s="1155"/>
      <c r="N88" s="1199"/>
    </row>
    <row r="89" spans="2:14" ht="15" customHeight="1" thickBot="1">
      <c r="B89" s="24"/>
      <c r="C89" s="24"/>
      <c r="D89" s="158"/>
      <c r="E89" s="39"/>
      <c r="F89" s="39"/>
      <c r="G89" s="159"/>
      <c r="H89" s="41"/>
      <c r="I89" s="41"/>
      <c r="J89" s="160"/>
      <c r="K89" s="39"/>
      <c r="L89" s="39"/>
      <c r="M89" s="161"/>
      <c r="N89" s="1199"/>
    </row>
    <row r="90" spans="2:14" ht="15.75">
      <c r="B90" s="1188" t="s">
        <v>785</v>
      </c>
      <c r="C90" s="1189"/>
      <c r="D90" s="1189"/>
      <c r="E90" s="1189"/>
      <c r="F90" s="1189"/>
      <c r="G90" s="1189"/>
      <c r="H90" s="1189"/>
      <c r="I90" s="1189"/>
      <c r="J90" s="1189"/>
      <c r="K90" s="1189"/>
      <c r="L90" s="1189"/>
      <c r="M90" s="1190"/>
      <c r="N90" s="1199"/>
    </row>
    <row r="91" spans="2:14" ht="15">
      <c r="B91" s="1191" t="s">
        <v>772</v>
      </c>
      <c r="C91" s="1192"/>
      <c r="D91" s="525" t="s">
        <v>786</v>
      </c>
      <c r="E91" s="1193" t="s">
        <v>784</v>
      </c>
      <c r="F91" s="1194"/>
      <c r="G91" s="1194"/>
      <c r="H91" s="1194"/>
      <c r="I91" s="1194"/>
      <c r="J91" s="1194"/>
      <c r="K91" s="1194"/>
      <c r="L91" s="1194"/>
      <c r="M91" s="1194"/>
      <c r="N91" s="1199"/>
    </row>
    <row r="92" spans="2:14" ht="15">
      <c r="B92" s="171" t="str">
        <f>IF(ISBLANK(C92),"",1)</f>
        <v/>
      </c>
      <c r="C92" s="172"/>
      <c r="D92" s="179"/>
      <c r="E92" s="1149"/>
      <c r="F92" s="1149"/>
      <c r="G92" s="1149"/>
      <c r="H92" s="1149"/>
      <c r="I92" s="1149"/>
      <c r="J92" s="1149"/>
      <c r="K92" s="1149"/>
      <c r="L92" s="1149"/>
      <c r="M92" s="1149"/>
      <c r="N92" s="1199"/>
    </row>
    <row r="93" spans="2:14" ht="15">
      <c r="B93" s="171" t="str">
        <f>IF(ISBLANK(C93),"",2)</f>
        <v/>
      </c>
      <c r="C93" s="172"/>
      <c r="D93" s="179"/>
      <c r="E93" s="1139"/>
      <c r="F93" s="1139"/>
      <c r="G93" s="1139"/>
      <c r="H93" s="1139"/>
      <c r="I93" s="1139"/>
      <c r="J93" s="1139"/>
      <c r="K93" s="1139"/>
      <c r="L93" s="1139"/>
      <c r="M93" s="1139"/>
      <c r="N93" s="1199"/>
    </row>
    <row r="94" spans="2:14" ht="15">
      <c r="B94" s="171" t="str">
        <f>IF(ISBLANK(C94),"",3)</f>
        <v/>
      </c>
      <c r="C94" s="173"/>
      <c r="D94" s="179"/>
      <c r="E94" s="1139"/>
      <c r="F94" s="1139"/>
      <c r="G94" s="1139"/>
      <c r="H94" s="1139"/>
      <c r="I94" s="1139"/>
      <c r="J94" s="1139"/>
      <c r="K94" s="1139"/>
      <c r="L94" s="1139"/>
      <c r="M94" s="1139"/>
      <c r="N94" s="1199"/>
    </row>
    <row r="95" spans="2:14" ht="15">
      <c r="B95" s="171" t="str">
        <f>IF(ISBLANK(C95),"",4)</f>
        <v/>
      </c>
      <c r="C95" s="173"/>
      <c r="D95" s="179"/>
      <c r="E95" s="1139"/>
      <c r="F95" s="1139"/>
      <c r="G95" s="1139"/>
      <c r="H95" s="1139"/>
      <c r="I95" s="1139"/>
      <c r="J95" s="1139"/>
      <c r="K95" s="1139"/>
      <c r="L95" s="1139"/>
      <c r="M95" s="1139"/>
      <c r="N95" s="1199"/>
    </row>
    <row r="96" spans="2:14" ht="15">
      <c r="B96" s="171" t="str">
        <f>IF(ISBLANK(C96),"",5)</f>
        <v/>
      </c>
      <c r="C96" s="173"/>
      <c r="D96" s="179"/>
      <c r="E96" s="1139"/>
      <c r="F96" s="1139"/>
      <c r="G96" s="1139"/>
      <c r="H96" s="1139"/>
      <c r="I96" s="1139"/>
      <c r="J96" s="1139"/>
      <c r="K96" s="1139"/>
      <c r="L96" s="1139"/>
      <c r="M96" s="1139"/>
      <c r="N96" s="1199"/>
    </row>
    <row r="97" spans="2:14" ht="15">
      <c r="B97" s="171" t="str">
        <f>IF(ISBLANK(C97),"",6)</f>
        <v/>
      </c>
      <c r="C97" s="172"/>
      <c r="D97" s="179"/>
      <c r="E97" s="1139"/>
      <c r="F97" s="1139"/>
      <c r="G97" s="1139"/>
      <c r="H97" s="1139"/>
      <c r="I97" s="1139"/>
      <c r="J97" s="1139"/>
      <c r="K97" s="1139"/>
      <c r="L97" s="1139"/>
      <c r="M97" s="1139"/>
      <c r="N97" s="1199"/>
    </row>
    <row r="98" spans="2:14" ht="15">
      <c r="B98" s="171" t="str">
        <f>IF(ISBLANK(C98),"",7)</f>
        <v/>
      </c>
      <c r="C98" s="172"/>
      <c r="D98" s="179"/>
      <c r="E98" s="1139"/>
      <c r="F98" s="1139"/>
      <c r="G98" s="1139"/>
      <c r="H98" s="1139"/>
      <c r="I98" s="1139"/>
      <c r="J98" s="1139"/>
      <c r="K98" s="1139"/>
      <c r="L98" s="1139"/>
      <c r="M98" s="1139"/>
      <c r="N98" s="1199"/>
    </row>
    <row r="99" spans="2:14" ht="15">
      <c r="B99" s="171" t="str">
        <f>IF(ISBLANK(C99),"",8)</f>
        <v/>
      </c>
      <c r="C99" s="172"/>
      <c r="D99" s="179"/>
      <c r="E99" s="1139"/>
      <c r="F99" s="1139"/>
      <c r="G99" s="1139"/>
      <c r="H99" s="1139"/>
      <c r="I99" s="1139"/>
      <c r="J99" s="1139"/>
      <c r="K99" s="1139"/>
      <c r="L99" s="1139"/>
      <c r="M99" s="1139"/>
      <c r="N99" s="1199"/>
    </row>
    <row r="100" spans="2:14" ht="15">
      <c r="B100" s="171" t="str">
        <f>IF(ISBLANK(C100),"",9)</f>
        <v/>
      </c>
      <c r="C100" s="175"/>
      <c r="D100" s="179"/>
      <c r="E100" s="1139"/>
      <c r="F100" s="1139"/>
      <c r="G100" s="1139"/>
      <c r="H100" s="1139"/>
      <c r="I100" s="1139"/>
      <c r="J100" s="1139"/>
      <c r="K100" s="1139"/>
      <c r="L100" s="1139"/>
      <c r="M100" s="1139"/>
      <c r="N100" s="1199"/>
    </row>
    <row r="101" spans="2:14" ht="15">
      <c r="B101" s="171" t="str">
        <f>IF(ISBLANK(C101),"",10)</f>
        <v/>
      </c>
      <c r="C101" s="175"/>
      <c r="D101" s="179"/>
      <c r="E101" s="1139"/>
      <c r="F101" s="1139"/>
      <c r="G101" s="1139"/>
      <c r="H101" s="1139"/>
      <c r="I101" s="1139"/>
      <c r="J101" s="1139"/>
      <c r="K101" s="1139"/>
      <c r="L101" s="1139"/>
      <c r="M101" s="1139"/>
      <c r="N101" s="1199"/>
    </row>
    <row r="102" spans="2:14" ht="15.75" thickBot="1">
      <c r="B102" s="176" t="str">
        <f>IF(ISBLANK(C102),"",11)</f>
        <v/>
      </c>
      <c r="C102" s="174"/>
      <c r="D102" s="180"/>
      <c r="E102" s="1140"/>
      <c r="F102" s="1140"/>
      <c r="G102" s="1140"/>
      <c r="H102" s="1140"/>
      <c r="I102" s="1140"/>
      <c r="J102" s="1140"/>
      <c r="K102" s="1140"/>
      <c r="L102" s="1140"/>
      <c r="M102" s="1140"/>
      <c r="N102" s="1200"/>
    </row>
    <row r="103" spans="2:14" ht="13.5" thickBot="1">
      <c r="B103" s="1141"/>
      <c r="C103" s="1141"/>
      <c r="D103" s="1141"/>
      <c r="E103" s="1141"/>
      <c r="F103" s="1141"/>
      <c r="G103" s="1141"/>
      <c r="H103" s="1141"/>
      <c r="I103" s="1141"/>
      <c r="J103" s="1141"/>
      <c r="K103" s="1141"/>
      <c r="L103" s="1141"/>
      <c r="M103" s="1141"/>
      <c r="N103" s="1141"/>
    </row>
    <row r="104" spans="2:14" ht="15">
      <c r="B104" s="1156" t="s">
        <v>95</v>
      </c>
      <c r="C104" s="1157"/>
      <c r="D104" s="1157"/>
      <c r="E104" s="1157"/>
      <c r="F104" s="1157"/>
      <c r="G104" s="1157"/>
      <c r="H104" s="1157"/>
      <c r="I104" s="1157"/>
      <c r="J104" s="1157"/>
      <c r="K104" s="1157"/>
      <c r="L104" s="1157"/>
      <c r="M104" s="1158"/>
      <c r="N104" s="1182" t="s">
        <v>988</v>
      </c>
    </row>
    <row r="105" spans="2:14" ht="15">
      <c r="B105" s="1160" t="s">
        <v>96</v>
      </c>
      <c r="C105" s="1161"/>
      <c r="D105" s="1185" t="str">
        <f>'1.PM'!$C$3</f>
        <v>Levetiracetam Tablets</v>
      </c>
      <c r="E105" s="1185"/>
      <c r="F105" s="1185"/>
      <c r="G105" s="1185"/>
      <c r="H105" s="1186"/>
      <c r="I105" s="1186"/>
      <c r="J105" s="1186"/>
      <c r="K105" s="1186"/>
      <c r="L105" s="1186"/>
      <c r="M105" s="1187"/>
      <c r="N105" s="1183"/>
    </row>
    <row r="106" spans="2:14" ht="15">
      <c r="B106" s="362" t="s">
        <v>98</v>
      </c>
      <c r="C106" s="166"/>
      <c r="D106" s="523" t="s">
        <v>408</v>
      </c>
      <c r="E106" s="168"/>
      <c r="F106" s="168"/>
      <c r="G106" s="168"/>
      <c r="H106" s="1165" t="s">
        <v>779</v>
      </c>
      <c r="I106" s="1166"/>
      <c r="J106" s="1167"/>
      <c r="K106" s="1167"/>
      <c r="L106" s="1167"/>
      <c r="M106" s="1168"/>
      <c r="N106" s="1183"/>
    </row>
    <row r="107" spans="2:14" ht="15.75">
      <c r="B107" s="1171" t="s">
        <v>775</v>
      </c>
      <c r="C107" s="1172"/>
      <c r="D107" s="181">
        <f>'1.PM'!C117</f>
        <v>0</v>
      </c>
      <c r="E107" s="167" t="s">
        <v>102</v>
      </c>
      <c r="F107" s="169"/>
      <c r="G107" s="1173" t="s">
        <v>777</v>
      </c>
      <c r="H107" s="1174"/>
      <c r="I107" s="177"/>
      <c r="J107" s="1167"/>
      <c r="K107" s="1167"/>
      <c r="L107" s="1167"/>
      <c r="M107" s="1168"/>
      <c r="N107" s="1183"/>
    </row>
    <row r="108" spans="2:14" ht="15.75" thickBot="1">
      <c r="B108" s="1175" t="s">
        <v>776</v>
      </c>
      <c r="C108" s="1176"/>
      <c r="D108" s="182"/>
      <c r="E108" s="165" t="s">
        <v>774</v>
      </c>
      <c r="F108" s="170"/>
      <c r="G108" s="1177" t="s">
        <v>778</v>
      </c>
      <c r="H108" s="1178"/>
      <c r="I108" s="178"/>
      <c r="J108" s="1169"/>
      <c r="K108" s="1169"/>
      <c r="L108" s="1169"/>
      <c r="M108" s="1170"/>
      <c r="N108" s="1183"/>
    </row>
    <row r="109" spans="2:14" ht="15.75" thickBot="1">
      <c r="B109" s="24"/>
      <c r="C109" s="24"/>
      <c r="D109" s="158"/>
      <c r="E109" s="39"/>
      <c r="F109" s="39"/>
      <c r="G109" s="159"/>
      <c r="H109" s="41"/>
      <c r="I109" s="41"/>
      <c r="J109" s="160"/>
      <c r="K109" s="39"/>
      <c r="L109" s="39"/>
      <c r="M109" s="161"/>
      <c r="N109" s="1183"/>
    </row>
    <row r="110" spans="2:14" ht="15">
      <c r="B110" s="1179" t="s">
        <v>780</v>
      </c>
      <c r="C110" s="1180"/>
      <c r="D110" s="1180"/>
      <c r="E110" s="1180"/>
      <c r="F110" s="1180"/>
      <c r="G110" s="1180"/>
      <c r="H110" s="1180"/>
      <c r="I110" s="1180"/>
      <c r="J110" s="1180"/>
      <c r="K110" s="1180"/>
      <c r="L110" s="1180"/>
      <c r="M110" s="1180"/>
      <c r="N110" s="1183"/>
    </row>
    <row r="111" spans="2:14" ht="25.5">
      <c r="B111" s="1145" t="s">
        <v>781</v>
      </c>
      <c r="C111" s="1146"/>
      <c r="D111" s="363" t="s">
        <v>771</v>
      </c>
      <c r="E111" s="363" t="s">
        <v>772</v>
      </c>
      <c r="F111" s="363" t="s">
        <v>773</v>
      </c>
      <c r="G111" s="363" t="s">
        <v>782</v>
      </c>
      <c r="H111" s="1181" t="s">
        <v>783</v>
      </c>
      <c r="I111" s="1181"/>
      <c r="J111" s="1181"/>
      <c r="K111" s="1181" t="s">
        <v>784</v>
      </c>
      <c r="L111" s="1181"/>
      <c r="M111" s="1147"/>
      <c r="N111" s="1183"/>
    </row>
    <row r="112" spans="2:14" ht="15">
      <c r="B112" s="171" t="str">
        <f>IF(ISBLANK(C112),"",1)</f>
        <v/>
      </c>
      <c r="C112" s="172"/>
      <c r="D112" s="179"/>
      <c r="E112" s="360"/>
      <c r="F112" s="360"/>
      <c r="G112" s="179"/>
      <c r="H112" s="1139"/>
      <c r="I112" s="1139"/>
      <c r="J112" s="1139"/>
      <c r="K112" s="1139"/>
      <c r="L112" s="1139"/>
      <c r="M112" s="1139"/>
      <c r="N112" s="1183"/>
    </row>
    <row r="113" spans="2:14" ht="15">
      <c r="B113" s="171" t="str">
        <f>IF(ISBLANK(C113),"",(COUNT(B112)+1))</f>
        <v/>
      </c>
      <c r="C113" s="172"/>
      <c r="D113" s="179"/>
      <c r="E113" s="360"/>
      <c r="F113" s="360"/>
      <c r="G113" s="179"/>
      <c r="H113" s="1138"/>
      <c r="I113" s="1138"/>
      <c r="J113" s="1138"/>
      <c r="K113" s="1139"/>
      <c r="L113" s="1139"/>
      <c r="M113" s="1139"/>
      <c r="N113" s="1183"/>
    </row>
    <row r="114" spans="2:14" ht="15">
      <c r="B114" s="171" t="str">
        <f>IF(ISBLANK(C114),"",(COUNT(B112:B113)+1))</f>
        <v/>
      </c>
      <c r="C114" s="173"/>
      <c r="D114" s="179"/>
      <c r="E114" s="360"/>
      <c r="F114" s="360"/>
      <c r="G114" s="179"/>
      <c r="H114" s="1138"/>
      <c r="I114" s="1138"/>
      <c r="J114" s="1138"/>
      <c r="K114" s="1139"/>
      <c r="L114" s="1139"/>
      <c r="M114" s="1139"/>
      <c r="N114" s="1183"/>
    </row>
    <row r="115" spans="2:14" ht="15">
      <c r="B115" s="171" t="str">
        <f>IF(ISBLANK(C115),"",(COUNT(B112:B114)+1))</f>
        <v/>
      </c>
      <c r="C115" s="173"/>
      <c r="D115" s="179"/>
      <c r="E115" s="360"/>
      <c r="F115" s="360"/>
      <c r="G115" s="179"/>
      <c r="H115" s="1138"/>
      <c r="I115" s="1138"/>
      <c r="J115" s="1138"/>
      <c r="K115" s="1139"/>
      <c r="L115" s="1139"/>
      <c r="M115" s="1139"/>
      <c r="N115" s="1183"/>
    </row>
    <row r="116" spans="2:14" ht="15">
      <c r="B116" s="171" t="str">
        <f>IF(ISBLANK(C116),"",(COUNT(B112:B115)+1))</f>
        <v/>
      </c>
      <c r="C116" s="173"/>
      <c r="D116" s="179"/>
      <c r="E116" s="360"/>
      <c r="F116" s="360"/>
      <c r="G116" s="179"/>
      <c r="H116" s="1138"/>
      <c r="I116" s="1138"/>
      <c r="J116" s="1138"/>
      <c r="K116" s="1139"/>
      <c r="L116" s="1139"/>
      <c r="M116" s="1139"/>
      <c r="N116" s="1183"/>
    </row>
    <row r="117" spans="2:14" ht="15">
      <c r="B117" s="171" t="str">
        <f>IF(ISBLANK(C117),"",(COUNT(B112:B116)+1))</f>
        <v/>
      </c>
      <c r="C117" s="172"/>
      <c r="D117" s="179"/>
      <c r="E117" s="360"/>
      <c r="F117" s="360"/>
      <c r="G117" s="179"/>
      <c r="H117" s="1138"/>
      <c r="I117" s="1138"/>
      <c r="J117" s="1138"/>
      <c r="K117" s="1138"/>
      <c r="L117" s="1138"/>
      <c r="M117" s="1138"/>
      <c r="N117" s="1183"/>
    </row>
    <row r="118" spans="2:14" ht="15">
      <c r="B118" s="171" t="str">
        <f>IF(ISBLANK(C118),"",(COUNT(B112:B117)+1))</f>
        <v/>
      </c>
      <c r="C118" s="172"/>
      <c r="D118" s="179"/>
      <c r="E118" s="360"/>
      <c r="F118" s="360"/>
      <c r="G118" s="179"/>
      <c r="H118" s="1138"/>
      <c r="I118" s="1138"/>
      <c r="J118" s="1138"/>
      <c r="K118" s="1138"/>
      <c r="L118" s="1138"/>
      <c r="M118" s="1138"/>
      <c r="N118" s="1183"/>
    </row>
    <row r="119" spans="2:14" ht="15">
      <c r="B119" s="171" t="str">
        <f>IF(ISBLANK(C119),"",(COUNT(B112:B118)+1))</f>
        <v/>
      </c>
      <c r="C119" s="172"/>
      <c r="D119" s="179"/>
      <c r="E119" s="360"/>
      <c r="F119" s="360"/>
      <c r="G119" s="179"/>
      <c r="H119" s="1138"/>
      <c r="I119" s="1138"/>
      <c r="J119" s="1138"/>
      <c r="K119" s="1138"/>
      <c r="L119" s="1138"/>
      <c r="M119" s="1138"/>
      <c r="N119" s="1183"/>
    </row>
    <row r="120" spans="2:14" ht="15">
      <c r="B120" s="171" t="str">
        <f>IF(ISBLANK(C120),"",(COUNT(B112:B119)+1))</f>
        <v/>
      </c>
      <c r="C120" s="175"/>
      <c r="D120" s="179"/>
      <c r="E120" s="360"/>
      <c r="F120" s="360"/>
      <c r="G120" s="179"/>
      <c r="H120" s="1138"/>
      <c r="I120" s="1138"/>
      <c r="J120" s="1138"/>
      <c r="K120" s="1139"/>
      <c r="L120" s="1139"/>
      <c r="M120" s="1139"/>
      <c r="N120" s="1183"/>
    </row>
    <row r="121" spans="2:14" ht="15">
      <c r="B121" s="171" t="str">
        <f>IF(ISBLANK(C121),"",(COUNT(B112:B120)+1))</f>
        <v/>
      </c>
      <c r="C121" s="175"/>
      <c r="D121" s="179"/>
      <c r="E121" s="360"/>
      <c r="F121" s="360"/>
      <c r="G121" s="179"/>
      <c r="H121" s="1138"/>
      <c r="I121" s="1138"/>
      <c r="J121" s="1138"/>
      <c r="K121" s="1139"/>
      <c r="L121" s="1139"/>
      <c r="M121" s="1139"/>
      <c r="N121" s="1183"/>
    </row>
    <row r="122" spans="2:14" ht="15.75" thickBot="1">
      <c r="B122" s="171" t="str">
        <f>IF(ISBLANK(C122),"",(COUNT(B112:B121)+1))</f>
        <v/>
      </c>
      <c r="C122" s="174"/>
      <c r="D122" s="180"/>
      <c r="E122" s="361"/>
      <c r="F122" s="361"/>
      <c r="G122" s="180"/>
      <c r="H122" s="1155"/>
      <c r="I122" s="1155"/>
      <c r="J122" s="1155"/>
      <c r="K122" s="1155"/>
      <c r="L122" s="1155"/>
      <c r="M122" s="1155"/>
      <c r="N122" s="1183"/>
    </row>
    <row r="123" spans="2:14" ht="15.75" thickBot="1">
      <c r="B123" s="24"/>
      <c r="C123" s="24"/>
      <c r="D123" s="158"/>
      <c r="E123" s="39"/>
      <c r="F123" s="39"/>
      <c r="G123" s="159"/>
      <c r="H123" s="41"/>
      <c r="I123" s="41"/>
      <c r="J123" s="160"/>
      <c r="K123" s="39"/>
      <c r="L123" s="39"/>
      <c r="M123" s="161"/>
      <c r="N123" s="1183"/>
    </row>
    <row r="124" spans="2:14" ht="15">
      <c r="B124" s="1142" t="s">
        <v>785</v>
      </c>
      <c r="C124" s="1143"/>
      <c r="D124" s="1143"/>
      <c r="E124" s="1143"/>
      <c r="F124" s="1143"/>
      <c r="G124" s="1143"/>
      <c r="H124" s="1143"/>
      <c r="I124" s="1143"/>
      <c r="J124" s="1143"/>
      <c r="K124" s="1143"/>
      <c r="L124" s="1143"/>
      <c r="M124" s="1144"/>
      <c r="N124" s="1183"/>
    </row>
    <row r="125" spans="2:14" ht="15">
      <c r="B125" s="1145" t="s">
        <v>772</v>
      </c>
      <c r="C125" s="1146"/>
      <c r="D125" s="363" t="s">
        <v>786</v>
      </c>
      <c r="E125" s="1147" t="s">
        <v>784</v>
      </c>
      <c r="F125" s="1148"/>
      <c r="G125" s="1148"/>
      <c r="H125" s="1148"/>
      <c r="I125" s="1148"/>
      <c r="J125" s="1148"/>
      <c r="K125" s="1148"/>
      <c r="L125" s="1148"/>
      <c r="M125" s="1148"/>
      <c r="N125" s="1183"/>
    </row>
    <row r="126" spans="2:14" ht="15">
      <c r="B126" s="171" t="str">
        <f>IF(ISBLANK(C126),"",1)</f>
        <v/>
      </c>
      <c r="C126" s="172"/>
      <c r="D126" s="179"/>
      <c r="E126" s="1149"/>
      <c r="F126" s="1149"/>
      <c r="G126" s="1149"/>
      <c r="H126" s="1149"/>
      <c r="I126" s="1149"/>
      <c r="J126" s="1149"/>
      <c r="K126" s="1149"/>
      <c r="L126" s="1149"/>
      <c r="M126" s="1149"/>
      <c r="N126" s="1183"/>
    </row>
    <row r="127" spans="2:14" ht="15">
      <c r="B127" s="171" t="str">
        <f>IF(ISBLANK(C127),"",2)</f>
        <v/>
      </c>
      <c r="C127" s="172"/>
      <c r="D127" s="179"/>
      <c r="E127" s="1139"/>
      <c r="F127" s="1139"/>
      <c r="G127" s="1139"/>
      <c r="H127" s="1139"/>
      <c r="I127" s="1139"/>
      <c r="J127" s="1139"/>
      <c r="K127" s="1139"/>
      <c r="L127" s="1139"/>
      <c r="M127" s="1139"/>
      <c r="N127" s="1183"/>
    </row>
    <row r="128" spans="2:14" ht="15">
      <c r="B128" s="171" t="str">
        <f>IF(ISBLANK(C128),"",3)</f>
        <v/>
      </c>
      <c r="C128" s="173"/>
      <c r="D128" s="179"/>
      <c r="E128" s="1139"/>
      <c r="F128" s="1139"/>
      <c r="G128" s="1139"/>
      <c r="H128" s="1139"/>
      <c r="I128" s="1139"/>
      <c r="J128" s="1139"/>
      <c r="K128" s="1139"/>
      <c r="L128" s="1139"/>
      <c r="M128" s="1139"/>
      <c r="N128" s="1183"/>
    </row>
    <row r="129" spans="2:14" ht="15">
      <c r="B129" s="171" t="str">
        <f>IF(ISBLANK(C129),"",4)</f>
        <v/>
      </c>
      <c r="C129" s="173"/>
      <c r="D129" s="179"/>
      <c r="E129" s="1139"/>
      <c r="F129" s="1139"/>
      <c r="G129" s="1139"/>
      <c r="H129" s="1139"/>
      <c r="I129" s="1139"/>
      <c r="J129" s="1139"/>
      <c r="K129" s="1139"/>
      <c r="L129" s="1139"/>
      <c r="M129" s="1139"/>
      <c r="N129" s="1183"/>
    </row>
    <row r="130" spans="2:14" ht="15">
      <c r="B130" s="171" t="str">
        <f>IF(ISBLANK(C130),"",5)</f>
        <v/>
      </c>
      <c r="C130" s="173"/>
      <c r="D130" s="179"/>
      <c r="E130" s="1139"/>
      <c r="F130" s="1139"/>
      <c r="G130" s="1139"/>
      <c r="H130" s="1139"/>
      <c r="I130" s="1139"/>
      <c r="J130" s="1139"/>
      <c r="K130" s="1139"/>
      <c r="L130" s="1139"/>
      <c r="M130" s="1139"/>
      <c r="N130" s="1183"/>
    </row>
    <row r="131" spans="2:14" ht="15">
      <c r="B131" s="171" t="str">
        <f>IF(ISBLANK(C131),"",6)</f>
        <v/>
      </c>
      <c r="C131" s="172"/>
      <c r="D131" s="179"/>
      <c r="E131" s="1139"/>
      <c r="F131" s="1139"/>
      <c r="G131" s="1139"/>
      <c r="H131" s="1139"/>
      <c r="I131" s="1139"/>
      <c r="J131" s="1139"/>
      <c r="K131" s="1139"/>
      <c r="L131" s="1139"/>
      <c r="M131" s="1139"/>
      <c r="N131" s="1183"/>
    </row>
    <row r="132" spans="2:14" ht="15">
      <c r="B132" s="171" t="str">
        <f>IF(ISBLANK(C132),"",7)</f>
        <v/>
      </c>
      <c r="C132" s="172"/>
      <c r="D132" s="179"/>
      <c r="E132" s="1139"/>
      <c r="F132" s="1139"/>
      <c r="G132" s="1139"/>
      <c r="H132" s="1139"/>
      <c r="I132" s="1139"/>
      <c r="J132" s="1139"/>
      <c r="K132" s="1139"/>
      <c r="L132" s="1139"/>
      <c r="M132" s="1139"/>
      <c r="N132" s="1183"/>
    </row>
    <row r="133" spans="2:14" ht="15">
      <c r="B133" s="171" t="str">
        <f>IF(ISBLANK(C133),"",8)</f>
        <v/>
      </c>
      <c r="C133" s="172"/>
      <c r="D133" s="179"/>
      <c r="E133" s="1139"/>
      <c r="F133" s="1139"/>
      <c r="G133" s="1139"/>
      <c r="H133" s="1139"/>
      <c r="I133" s="1139"/>
      <c r="J133" s="1139"/>
      <c r="K133" s="1139"/>
      <c r="L133" s="1139"/>
      <c r="M133" s="1139"/>
      <c r="N133" s="1183"/>
    </row>
    <row r="134" spans="2:14" ht="15">
      <c r="B134" s="171" t="str">
        <f>IF(ISBLANK(C134),"",9)</f>
        <v/>
      </c>
      <c r="C134" s="175"/>
      <c r="D134" s="179"/>
      <c r="E134" s="1139"/>
      <c r="F134" s="1139"/>
      <c r="G134" s="1139"/>
      <c r="H134" s="1139"/>
      <c r="I134" s="1139"/>
      <c r="J134" s="1139"/>
      <c r="K134" s="1139"/>
      <c r="L134" s="1139"/>
      <c r="M134" s="1139"/>
      <c r="N134" s="1183"/>
    </row>
    <row r="135" spans="2:14" ht="15">
      <c r="B135" s="171" t="str">
        <f>IF(ISBLANK(C135),"",10)</f>
        <v/>
      </c>
      <c r="C135" s="175"/>
      <c r="D135" s="179"/>
      <c r="E135" s="1139"/>
      <c r="F135" s="1139"/>
      <c r="G135" s="1139"/>
      <c r="H135" s="1139"/>
      <c r="I135" s="1139"/>
      <c r="J135" s="1139"/>
      <c r="K135" s="1139"/>
      <c r="L135" s="1139"/>
      <c r="M135" s="1139"/>
      <c r="N135" s="1183"/>
    </row>
    <row r="136" spans="2:14" ht="15.75" thickBot="1">
      <c r="B136" s="176" t="str">
        <f>IF(ISBLANK(C136),"",11)</f>
        <v/>
      </c>
      <c r="C136" s="174"/>
      <c r="D136" s="180"/>
      <c r="E136" s="1140"/>
      <c r="F136" s="1140"/>
      <c r="G136" s="1140"/>
      <c r="H136" s="1140"/>
      <c r="I136" s="1140"/>
      <c r="J136" s="1140"/>
      <c r="K136" s="1140"/>
      <c r="L136" s="1140"/>
      <c r="M136" s="1140"/>
      <c r="N136" s="1184"/>
    </row>
    <row r="137" spans="2:14" ht="13.5" thickBot="1">
      <c r="B137" s="1141"/>
      <c r="C137" s="1141"/>
      <c r="D137" s="1141"/>
      <c r="E137" s="1141"/>
      <c r="F137" s="1141"/>
      <c r="G137" s="1141"/>
      <c r="H137" s="1141"/>
      <c r="I137" s="1141"/>
      <c r="J137" s="1141"/>
      <c r="K137" s="1141"/>
      <c r="L137" s="1141"/>
      <c r="M137" s="1141"/>
      <c r="N137" s="1141"/>
    </row>
    <row r="138" spans="2:14" ht="15">
      <c r="B138" s="1156" t="s">
        <v>95</v>
      </c>
      <c r="C138" s="1157"/>
      <c r="D138" s="1157"/>
      <c r="E138" s="1157"/>
      <c r="F138" s="1157"/>
      <c r="G138" s="1157"/>
      <c r="H138" s="1157"/>
      <c r="I138" s="1157"/>
      <c r="J138" s="1157"/>
      <c r="K138" s="1157"/>
      <c r="L138" s="1157"/>
      <c r="M138" s="1158"/>
      <c r="N138" s="1150" t="s">
        <v>990</v>
      </c>
    </row>
    <row r="139" spans="2:14" ht="15">
      <c r="B139" s="1160" t="s">
        <v>96</v>
      </c>
      <c r="C139" s="1161"/>
      <c r="D139" s="1162" t="str">
        <f>'1.PM'!$C$3</f>
        <v>Levetiracetam Tablets</v>
      </c>
      <c r="E139" s="1162"/>
      <c r="F139" s="1162"/>
      <c r="G139" s="1162"/>
      <c r="H139" s="1163"/>
      <c r="I139" s="1163"/>
      <c r="J139" s="1163"/>
      <c r="K139" s="1163"/>
      <c r="L139" s="1163"/>
      <c r="M139" s="1164"/>
      <c r="N139" s="1151"/>
    </row>
    <row r="140" spans="2:14" ht="15">
      <c r="B140" s="362" t="s">
        <v>98</v>
      </c>
      <c r="C140" s="166"/>
      <c r="D140" s="168" t="s">
        <v>407</v>
      </c>
      <c r="E140" s="168"/>
      <c r="F140" s="168"/>
      <c r="G140" s="168"/>
      <c r="H140" s="1165" t="s">
        <v>779</v>
      </c>
      <c r="I140" s="1166"/>
      <c r="J140" s="1167"/>
      <c r="K140" s="1167"/>
      <c r="L140" s="1167"/>
      <c r="M140" s="1168"/>
      <c r="N140" s="1151"/>
    </row>
    <row r="141" spans="2:14" ht="15.75">
      <c r="B141" s="1171" t="s">
        <v>775</v>
      </c>
      <c r="C141" s="1172"/>
      <c r="D141" s="181"/>
      <c r="E141" s="167" t="s">
        <v>102</v>
      </c>
      <c r="F141" s="169"/>
      <c r="G141" s="1173" t="s">
        <v>777</v>
      </c>
      <c r="H141" s="1174"/>
      <c r="I141" s="177"/>
      <c r="J141" s="1167"/>
      <c r="K141" s="1167"/>
      <c r="L141" s="1167"/>
      <c r="M141" s="1168"/>
      <c r="N141" s="1151"/>
    </row>
    <row r="142" spans="2:14" ht="15.75" thickBot="1">
      <c r="B142" s="1175" t="s">
        <v>776</v>
      </c>
      <c r="C142" s="1176"/>
      <c r="D142" s="182"/>
      <c r="E142" s="165" t="s">
        <v>774</v>
      </c>
      <c r="F142" s="170"/>
      <c r="G142" s="1177" t="s">
        <v>778</v>
      </c>
      <c r="H142" s="1178"/>
      <c r="I142" s="178"/>
      <c r="J142" s="1169"/>
      <c r="K142" s="1169"/>
      <c r="L142" s="1169"/>
      <c r="M142" s="1170"/>
      <c r="N142" s="1151"/>
    </row>
    <row r="143" spans="2:14" ht="15.75" thickBot="1">
      <c r="B143" s="24"/>
      <c r="C143" s="24"/>
      <c r="D143" s="158"/>
      <c r="E143" s="39"/>
      <c r="F143" s="39"/>
      <c r="G143" s="159"/>
      <c r="H143" s="41"/>
      <c r="I143" s="41"/>
      <c r="J143" s="160"/>
      <c r="K143" s="39"/>
      <c r="L143" s="39"/>
      <c r="M143" s="161"/>
      <c r="N143" s="1151"/>
    </row>
    <row r="144" spans="2:14" ht="15">
      <c r="B144" s="1179" t="s">
        <v>780</v>
      </c>
      <c r="C144" s="1180"/>
      <c r="D144" s="1180"/>
      <c r="E144" s="1180"/>
      <c r="F144" s="1180"/>
      <c r="G144" s="1180"/>
      <c r="H144" s="1180"/>
      <c r="I144" s="1180"/>
      <c r="J144" s="1180"/>
      <c r="K144" s="1180"/>
      <c r="L144" s="1180"/>
      <c r="M144" s="1180"/>
      <c r="N144" s="1151"/>
    </row>
    <row r="145" spans="2:14" ht="25.5">
      <c r="B145" s="1145" t="s">
        <v>781</v>
      </c>
      <c r="C145" s="1146"/>
      <c r="D145" s="363" t="s">
        <v>771</v>
      </c>
      <c r="E145" s="363" t="s">
        <v>772</v>
      </c>
      <c r="F145" s="363" t="s">
        <v>773</v>
      </c>
      <c r="G145" s="363" t="s">
        <v>782</v>
      </c>
      <c r="H145" s="1181" t="s">
        <v>783</v>
      </c>
      <c r="I145" s="1181"/>
      <c r="J145" s="1181"/>
      <c r="K145" s="1181" t="s">
        <v>784</v>
      </c>
      <c r="L145" s="1181"/>
      <c r="M145" s="1147"/>
      <c r="N145" s="1151"/>
    </row>
    <row r="146" spans="2:14" ht="15">
      <c r="B146" s="171" t="str">
        <f>IF(ISBLANK(C146),"",1)</f>
        <v/>
      </c>
      <c r="C146" s="172"/>
      <c r="D146" s="179"/>
      <c r="E146" s="360"/>
      <c r="F146" s="360"/>
      <c r="G146" s="179"/>
      <c r="H146" s="1139"/>
      <c r="I146" s="1139"/>
      <c r="J146" s="1139"/>
      <c r="K146" s="1139"/>
      <c r="L146" s="1139"/>
      <c r="M146" s="1139"/>
      <c r="N146" s="1151"/>
    </row>
    <row r="147" spans="2:14" ht="15">
      <c r="B147" s="171" t="str">
        <f>IF(ISBLANK(C147),"",(COUNT(B146)+1))</f>
        <v/>
      </c>
      <c r="C147" s="172"/>
      <c r="D147" s="179"/>
      <c r="E147" s="360"/>
      <c r="F147" s="360"/>
      <c r="G147" s="179"/>
      <c r="H147" s="1138"/>
      <c r="I147" s="1138"/>
      <c r="J147" s="1138"/>
      <c r="K147" s="1139"/>
      <c r="L147" s="1139"/>
      <c r="M147" s="1139"/>
      <c r="N147" s="1151"/>
    </row>
    <row r="148" spans="2:14" ht="15">
      <c r="B148" s="171" t="str">
        <f>IF(ISBLANK(C148),"",(COUNT(B146:B147)+1))</f>
        <v/>
      </c>
      <c r="C148" s="173"/>
      <c r="D148" s="179"/>
      <c r="E148" s="360"/>
      <c r="F148" s="360"/>
      <c r="G148" s="179"/>
      <c r="H148" s="1138"/>
      <c r="I148" s="1138"/>
      <c r="J148" s="1138"/>
      <c r="K148" s="1139"/>
      <c r="L148" s="1139"/>
      <c r="M148" s="1139"/>
      <c r="N148" s="1151"/>
    </row>
    <row r="149" spans="2:14" ht="15">
      <c r="B149" s="171" t="str">
        <f>IF(ISBLANK(C149),"",(COUNT(B146:B148)+1))</f>
        <v/>
      </c>
      <c r="C149" s="173"/>
      <c r="D149" s="179"/>
      <c r="E149" s="360"/>
      <c r="F149" s="360"/>
      <c r="G149" s="179"/>
      <c r="H149" s="1138"/>
      <c r="I149" s="1138"/>
      <c r="J149" s="1138"/>
      <c r="K149" s="1139"/>
      <c r="L149" s="1139"/>
      <c r="M149" s="1139"/>
      <c r="N149" s="1151"/>
    </row>
    <row r="150" spans="2:14" ht="15">
      <c r="B150" s="171" t="str">
        <f>IF(ISBLANK(C150),"",(COUNT(B146:B149)+1))</f>
        <v/>
      </c>
      <c r="C150" s="173"/>
      <c r="D150" s="179"/>
      <c r="E150" s="360"/>
      <c r="F150" s="360"/>
      <c r="G150" s="179"/>
      <c r="H150" s="1138"/>
      <c r="I150" s="1138"/>
      <c r="J150" s="1138"/>
      <c r="K150" s="1139"/>
      <c r="L150" s="1139"/>
      <c r="M150" s="1139"/>
      <c r="N150" s="1151"/>
    </row>
    <row r="151" spans="2:14" ht="15">
      <c r="B151" s="171" t="str">
        <f>IF(ISBLANK(C151),"",(COUNT(B146:B150)+1))</f>
        <v/>
      </c>
      <c r="C151" s="172"/>
      <c r="D151" s="179"/>
      <c r="E151" s="360"/>
      <c r="F151" s="360"/>
      <c r="G151" s="179"/>
      <c r="H151" s="1138"/>
      <c r="I151" s="1138"/>
      <c r="J151" s="1138"/>
      <c r="K151" s="1138"/>
      <c r="L151" s="1138"/>
      <c r="M151" s="1138"/>
      <c r="N151" s="1151"/>
    </row>
    <row r="152" spans="2:14" ht="15">
      <c r="B152" s="171" t="str">
        <f>IF(ISBLANK(C152),"",(COUNT(B146:B151)+1))</f>
        <v/>
      </c>
      <c r="C152" s="172"/>
      <c r="D152" s="179"/>
      <c r="E152" s="360"/>
      <c r="F152" s="360"/>
      <c r="G152" s="179"/>
      <c r="H152" s="1138"/>
      <c r="I152" s="1138"/>
      <c r="J152" s="1138"/>
      <c r="K152" s="1138"/>
      <c r="L152" s="1138"/>
      <c r="M152" s="1138"/>
      <c r="N152" s="1151"/>
    </row>
    <row r="153" spans="2:14" ht="15">
      <c r="B153" s="171" t="str">
        <f>IF(ISBLANK(C153),"",(COUNT(B146:B152)+1))</f>
        <v/>
      </c>
      <c r="C153" s="172"/>
      <c r="D153" s="179"/>
      <c r="E153" s="360"/>
      <c r="F153" s="360"/>
      <c r="G153" s="179"/>
      <c r="H153" s="1138"/>
      <c r="I153" s="1138"/>
      <c r="J153" s="1138"/>
      <c r="K153" s="1138"/>
      <c r="L153" s="1138"/>
      <c r="M153" s="1138"/>
      <c r="N153" s="1151"/>
    </row>
    <row r="154" spans="2:14" ht="15">
      <c r="B154" s="171" t="str">
        <f>IF(ISBLANK(C154),"",(COUNT(B146:B153)+1))</f>
        <v/>
      </c>
      <c r="C154" s="175"/>
      <c r="D154" s="179"/>
      <c r="E154" s="360"/>
      <c r="F154" s="360"/>
      <c r="G154" s="179"/>
      <c r="H154" s="1138"/>
      <c r="I154" s="1138"/>
      <c r="J154" s="1138"/>
      <c r="K154" s="1139"/>
      <c r="L154" s="1139"/>
      <c r="M154" s="1139"/>
      <c r="N154" s="1151"/>
    </row>
    <row r="155" spans="2:14" ht="15">
      <c r="B155" s="171" t="str">
        <f>IF(ISBLANK(C155),"",(COUNT(B146:B154)+1))</f>
        <v/>
      </c>
      <c r="C155" s="175"/>
      <c r="D155" s="179"/>
      <c r="E155" s="360"/>
      <c r="F155" s="360"/>
      <c r="G155" s="179"/>
      <c r="H155" s="1138"/>
      <c r="I155" s="1138"/>
      <c r="J155" s="1138"/>
      <c r="K155" s="1139"/>
      <c r="L155" s="1139"/>
      <c r="M155" s="1139"/>
      <c r="N155" s="1151"/>
    </row>
    <row r="156" spans="2:14" ht="15.75" thickBot="1">
      <c r="B156" s="171" t="str">
        <f>IF(ISBLANK(C156),"",(COUNT(B146:B155)+1))</f>
        <v/>
      </c>
      <c r="C156" s="174"/>
      <c r="D156" s="180"/>
      <c r="E156" s="361"/>
      <c r="F156" s="361"/>
      <c r="G156" s="180"/>
      <c r="H156" s="1155"/>
      <c r="I156" s="1155"/>
      <c r="J156" s="1155"/>
      <c r="K156" s="1155"/>
      <c r="L156" s="1155"/>
      <c r="M156" s="1155"/>
      <c r="N156" s="1151"/>
    </row>
    <row r="157" spans="2:14" ht="15.75" thickBot="1">
      <c r="B157" s="24"/>
      <c r="C157" s="24"/>
      <c r="D157" s="158"/>
      <c r="E157" s="39"/>
      <c r="F157" s="39"/>
      <c r="G157" s="159"/>
      <c r="H157" s="41"/>
      <c r="I157" s="41"/>
      <c r="J157" s="160"/>
      <c r="K157" s="39"/>
      <c r="L157" s="39"/>
      <c r="M157" s="161"/>
      <c r="N157" s="1151"/>
    </row>
    <row r="158" spans="2:14" ht="15">
      <c r="B158" s="1142" t="s">
        <v>785</v>
      </c>
      <c r="C158" s="1143"/>
      <c r="D158" s="1143"/>
      <c r="E158" s="1143"/>
      <c r="F158" s="1143"/>
      <c r="G158" s="1143"/>
      <c r="H158" s="1143"/>
      <c r="I158" s="1143"/>
      <c r="J158" s="1143"/>
      <c r="K158" s="1143"/>
      <c r="L158" s="1143"/>
      <c r="M158" s="1144"/>
      <c r="N158" s="1151"/>
    </row>
    <row r="159" spans="2:14" ht="15">
      <c r="B159" s="1145" t="s">
        <v>772</v>
      </c>
      <c r="C159" s="1146"/>
      <c r="D159" s="363" t="s">
        <v>786</v>
      </c>
      <c r="E159" s="1147" t="s">
        <v>784</v>
      </c>
      <c r="F159" s="1148"/>
      <c r="G159" s="1148"/>
      <c r="H159" s="1148"/>
      <c r="I159" s="1148"/>
      <c r="J159" s="1148"/>
      <c r="K159" s="1148"/>
      <c r="L159" s="1148"/>
      <c r="M159" s="1148"/>
      <c r="N159" s="1151"/>
    </row>
    <row r="160" spans="2:14" ht="15">
      <c r="B160" s="171" t="str">
        <f>IF(ISBLANK(C160),"",1)</f>
        <v/>
      </c>
      <c r="C160" s="172"/>
      <c r="D160" s="179"/>
      <c r="E160" s="1149"/>
      <c r="F160" s="1149"/>
      <c r="G160" s="1149"/>
      <c r="H160" s="1149"/>
      <c r="I160" s="1149"/>
      <c r="J160" s="1149"/>
      <c r="K160" s="1149"/>
      <c r="L160" s="1149"/>
      <c r="M160" s="1149"/>
      <c r="N160" s="1151"/>
    </row>
    <row r="161" spans="2:14" ht="15">
      <c r="B161" s="171" t="str">
        <f>IF(ISBLANK(C161),"",2)</f>
        <v/>
      </c>
      <c r="C161" s="172"/>
      <c r="D161" s="179"/>
      <c r="E161" s="1139"/>
      <c r="F161" s="1139"/>
      <c r="G161" s="1139"/>
      <c r="H161" s="1139"/>
      <c r="I161" s="1139"/>
      <c r="J161" s="1139"/>
      <c r="K161" s="1139"/>
      <c r="L161" s="1139"/>
      <c r="M161" s="1139"/>
      <c r="N161" s="1151"/>
    </row>
    <row r="162" spans="2:14" ht="15">
      <c r="B162" s="171" t="str">
        <f>IF(ISBLANK(C162),"",3)</f>
        <v/>
      </c>
      <c r="C162" s="173"/>
      <c r="D162" s="179"/>
      <c r="E162" s="1139"/>
      <c r="F162" s="1139"/>
      <c r="G162" s="1139"/>
      <c r="H162" s="1139"/>
      <c r="I162" s="1139"/>
      <c r="J162" s="1139"/>
      <c r="K162" s="1139"/>
      <c r="L162" s="1139"/>
      <c r="M162" s="1139"/>
      <c r="N162" s="1151"/>
    </row>
    <row r="163" spans="2:14" ht="15">
      <c r="B163" s="171" t="str">
        <f>IF(ISBLANK(C163),"",4)</f>
        <v/>
      </c>
      <c r="C163" s="173"/>
      <c r="D163" s="179"/>
      <c r="E163" s="1139"/>
      <c r="F163" s="1139"/>
      <c r="G163" s="1139"/>
      <c r="H163" s="1139"/>
      <c r="I163" s="1139"/>
      <c r="J163" s="1139"/>
      <c r="K163" s="1139"/>
      <c r="L163" s="1139"/>
      <c r="M163" s="1139"/>
      <c r="N163" s="1151"/>
    </row>
    <row r="164" spans="2:14" ht="15">
      <c r="B164" s="171" t="str">
        <f>IF(ISBLANK(C164),"",5)</f>
        <v/>
      </c>
      <c r="C164" s="173"/>
      <c r="D164" s="179"/>
      <c r="E164" s="1139"/>
      <c r="F164" s="1139"/>
      <c r="G164" s="1139"/>
      <c r="H164" s="1139"/>
      <c r="I164" s="1139"/>
      <c r="J164" s="1139"/>
      <c r="K164" s="1139"/>
      <c r="L164" s="1139"/>
      <c r="M164" s="1139"/>
      <c r="N164" s="1151"/>
    </row>
    <row r="165" spans="2:14" ht="15">
      <c r="B165" s="171" t="str">
        <f>IF(ISBLANK(C165),"",6)</f>
        <v/>
      </c>
      <c r="C165" s="172"/>
      <c r="D165" s="179"/>
      <c r="E165" s="1139"/>
      <c r="F165" s="1139"/>
      <c r="G165" s="1139"/>
      <c r="H165" s="1139"/>
      <c r="I165" s="1139"/>
      <c r="J165" s="1139"/>
      <c r="K165" s="1139"/>
      <c r="L165" s="1139"/>
      <c r="M165" s="1139"/>
      <c r="N165" s="1151"/>
    </row>
    <row r="166" spans="2:14" ht="15">
      <c r="B166" s="171" t="str">
        <f>IF(ISBLANK(C166),"",7)</f>
        <v/>
      </c>
      <c r="C166" s="172"/>
      <c r="D166" s="179"/>
      <c r="E166" s="1139"/>
      <c r="F166" s="1139"/>
      <c r="G166" s="1139"/>
      <c r="H166" s="1139"/>
      <c r="I166" s="1139"/>
      <c r="J166" s="1139"/>
      <c r="K166" s="1139"/>
      <c r="L166" s="1139"/>
      <c r="M166" s="1139"/>
      <c r="N166" s="1151"/>
    </row>
    <row r="167" spans="2:14" ht="15">
      <c r="B167" s="171" t="str">
        <f>IF(ISBLANK(C167),"",8)</f>
        <v/>
      </c>
      <c r="C167" s="172"/>
      <c r="D167" s="179"/>
      <c r="E167" s="1139"/>
      <c r="F167" s="1139"/>
      <c r="G167" s="1139"/>
      <c r="H167" s="1139"/>
      <c r="I167" s="1139"/>
      <c r="J167" s="1139"/>
      <c r="K167" s="1139"/>
      <c r="L167" s="1139"/>
      <c r="M167" s="1139"/>
      <c r="N167" s="1151"/>
    </row>
    <row r="168" spans="2:14" ht="15">
      <c r="B168" s="171" t="str">
        <f>IF(ISBLANK(C168),"",9)</f>
        <v/>
      </c>
      <c r="C168" s="175"/>
      <c r="D168" s="179"/>
      <c r="E168" s="1139"/>
      <c r="F168" s="1139"/>
      <c r="G168" s="1139"/>
      <c r="H168" s="1139"/>
      <c r="I168" s="1139"/>
      <c r="J168" s="1139"/>
      <c r="K168" s="1139"/>
      <c r="L168" s="1139"/>
      <c r="M168" s="1139"/>
      <c r="N168" s="1151"/>
    </row>
    <row r="169" spans="2:14" ht="15">
      <c r="B169" s="171" t="str">
        <f>IF(ISBLANK(C169),"",10)</f>
        <v/>
      </c>
      <c r="C169" s="175"/>
      <c r="D169" s="179"/>
      <c r="E169" s="1139"/>
      <c r="F169" s="1139"/>
      <c r="G169" s="1139"/>
      <c r="H169" s="1139"/>
      <c r="I169" s="1139"/>
      <c r="J169" s="1139"/>
      <c r="K169" s="1139"/>
      <c r="L169" s="1139"/>
      <c r="M169" s="1139"/>
      <c r="N169" s="1151"/>
    </row>
    <row r="170" spans="2:14" ht="15.75" thickBot="1">
      <c r="B170" s="176" t="str">
        <f>IF(ISBLANK(C170),"",11)</f>
        <v/>
      </c>
      <c r="C170" s="174"/>
      <c r="D170" s="180"/>
      <c r="E170" s="1140"/>
      <c r="F170" s="1140"/>
      <c r="G170" s="1140"/>
      <c r="H170" s="1140"/>
      <c r="I170" s="1140"/>
      <c r="J170" s="1140"/>
      <c r="K170" s="1140"/>
      <c r="L170" s="1140"/>
      <c r="M170" s="1140"/>
      <c r="N170" s="1152"/>
    </row>
  </sheetData>
  <sheetProtection selectLockedCells="1"/>
  <mergeCells count="254">
    <mergeCell ref="H16:J16"/>
    <mergeCell ref="H15:J15"/>
    <mergeCell ref="H11:J11"/>
    <mergeCell ref="H18:J18"/>
    <mergeCell ref="H19:J19"/>
    <mergeCell ref="H12:J12"/>
    <mergeCell ref="H13:J13"/>
    <mergeCell ref="H14:J14"/>
    <mergeCell ref="K12:M12"/>
    <mergeCell ref="K13:M13"/>
    <mergeCell ref="K14:M14"/>
    <mergeCell ref="K17:M17"/>
    <mergeCell ref="K18:M18"/>
    <mergeCell ref="K19:M19"/>
    <mergeCell ref="H17:J17"/>
    <mergeCell ref="E33:M33"/>
    <mergeCell ref="E34:M34"/>
    <mergeCell ref="B22:M22"/>
    <mergeCell ref="B23:C23"/>
    <mergeCell ref="E31:M31"/>
    <mergeCell ref="E32:M32"/>
    <mergeCell ref="B5:C5"/>
    <mergeCell ref="B6:C6"/>
    <mergeCell ref="B2:M2"/>
    <mergeCell ref="B3:C3"/>
    <mergeCell ref="D3:M3"/>
    <mergeCell ref="J4:M6"/>
    <mergeCell ref="G5:H5"/>
    <mergeCell ref="H9:J9"/>
    <mergeCell ref="G6:H6"/>
    <mergeCell ref="B9:C9"/>
    <mergeCell ref="H10:J10"/>
    <mergeCell ref="B8:M8"/>
    <mergeCell ref="K9:M9"/>
    <mergeCell ref="K10:M10"/>
    <mergeCell ref="K11:M11"/>
    <mergeCell ref="K15:M15"/>
    <mergeCell ref="K16:M16"/>
    <mergeCell ref="H20:J20"/>
    <mergeCell ref="K20:M20"/>
    <mergeCell ref="E28:M28"/>
    <mergeCell ref="E29:M29"/>
    <mergeCell ref="E30:M30"/>
    <mergeCell ref="E23:M23"/>
    <mergeCell ref="E24:M24"/>
    <mergeCell ref="E25:M25"/>
    <mergeCell ref="E26:M26"/>
    <mergeCell ref="E27:M27"/>
    <mergeCell ref="B42:M42"/>
    <mergeCell ref="B43:C43"/>
    <mergeCell ref="H43:J43"/>
    <mergeCell ref="K43:M43"/>
    <mergeCell ref="H44:J44"/>
    <mergeCell ref="K44:M44"/>
    <mergeCell ref="B36:M36"/>
    <mergeCell ref="B37:C37"/>
    <mergeCell ref="D37:M37"/>
    <mergeCell ref="J38:M40"/>
    <mergeCell ref="B39:C39"/>
    <mergeCell ref="G39:H39"/>
    <mergeCell ref="B40:C40"/>
    <mergeCell ref="G40:H40"/>
    <mergeCell ref="K53:M53"/>
    <mergeCell ref="H48:J48"/>
    <mergeCell ref="K48:M48"/>
    <mergeCell ref="H49:J49"/>
    <mergeCell ref="K49:M49"/>
    <mergeCell ref="H50:J50"/>
    <mergeCell ref="K50:M50"/>
    <mergeCell ref="H47:J47"/>
    <mergeCell ref="K47:M47"/>
    <mergeCell ref="E68:M68"/>
    <mergeCell ref="N2:N34"/>
    <mergeCell ref="B35:N35"/>
    <mergeCell ref="N36:N68"/>
    <mergeCell ref="E63:M63"/>
    <mergeCell ref="E64:M64"/>
    <mergeCell ref="E65:M65"/>
    <mergeCell ref="E66:M66"/>
    <mergeCell ref="E67:M67"/>
    <mergeCell ref="E58:M58"/>
    <mergeCell ref="E59:M59"/>
    <mergeCell ref="E60:M60"/>
    <mergeCell ref="E61:M61"/>
    <mergeCell ref="E62:M62"/>
    <mergeCell ref="H54:J54"/>
    <mergeCell ref="K54:M54"/>
    <mergeCell ref="B56:M56"/>
    <mergeCell ref="B57:C57"/>
    <mergeCell ref="E57:M57"/>
    <mergeCell ref="H51:J51"/>
    <mergeCell ref="K51:M51"/>
    <mergeCell ref="H52:J52"/>
    <mergeCell ref="K52:M52"/>
    <mergeCell ref="H53:J53"/>
    <mergeCell ref="B70:M70"/>
    <mergeCell ref="N70:N102"/>
    <mergeCell ref="B71:C71"/>
    <mergeCell ref="D71:M71"/>
    <mergeCell ref="H72:I72"/>
    <mergeCell ref="J72:M74"/>
    <mergeCell ref="B73:C73"/>
    <mergeCell ref="G73:H73"/>
    <mergeCell ref="B74:C74"/>
    <mergeCell ref="G74:H74"/>
    <mergeCell ref="B76:M76"/>
    <mergeCell ref="B77:C77"/>
    <mergeCell ref="H77:J77"/>
    <mergeCell ref="K77:M77"/>
    <mergeCell ref="H78:J78"/>
    <mergeCell ref="K78:M78"/>
    <mergeCell ref="H85:J85"/>
    <mergeCell ref="K85:M85"/>
    <mergeCell ref="H82:J82"/>
    <mergeCell ref="K82:M82"/>
    <mergeCell ref="H83:J83"/>
    <mergeCell ref="K83:M83"/>
    <mergeCell ref="H84:J84"/>
    <mergeCell ref="K84:M84"/>
    <mergeCell ref="H79:J79"/>
    <mergeCell ref="K79:M79"/>
    <mergeCell ref="H80:J80"/>
    <mergeCell ref="K80:M80"/>
    <mergeCell ref="H81:J81"/>
    <mergeCell ref="K81:M81"/>
    <mergeCell ref="E96:M96"/>
    <mergeCell ref="H88:J88"/>
    <mergeCell ref="K88:M88"/>
    <mergeCell ref="B90:M90"/>
    <mergeCell ref="B91:C91"/>
    <mergeCell ref="E91:M91"/>
    <mergeCell ref="H86:J86"/>
    <mergeCell ref="K86:M86"/>
    <mergeCell ref="H87:J87"/>
    <mergeCell ref="K87:M87"/>
    <mergeCell ref="E102:M102"/>
    <mergeCell ref="B103:N103"/>
    <mergeCell ref="B69:N69"/>
    <mergeCell ref="B104:M104"/>
    <mergeCell ref="N104:N136"/>
    <mergeCell ref="B105:C105"/>
    <mergeCell ref="D105:M105"/>
    <mergeCell ref="H106:I106"/>
    <mergeCell ref="J106:M108"/>
    <mergeCell ref="B107:C107"/>
    <mergeCell ref="G107:H107"/>
    <mergeCell ref="B108:C108"/>
    <mergeCell ref="G108:H108"/>
    <mergeCell ref="B110:M110"/>
    <mergeCell ref="B111:C111"/>
    <mergeCell ref="E97:M97"/>
    <mergeCell ref="E98:M98"/>
    <mergeCell ref="E99:M99"/>
    <mergeCell ref="E100:M100"/>
    <mergeCell ref="E101:M101"/>
    <mergeCell ref="E92:M92"/>
    <mergeCell ref="E93:M93"/>
    <mergeCell ref="E94:M94"/>
    <mergeCell ref="E95:M95"/>
    <mergeCell ref="H114:J114"/>
    <mergeCell ref="K114:M114"/>
    <mergeCell ref="H115:J115"/>
    <mergeCell ref="K115:M115"/>
    <mergeCell ref="H116:J116"/>
    <mergeCell ref="K116:M116"/>
    <mergeCell ref="H111:J111"/>
    <mergeCell ref="K111:M111"/>
    <mergeCell ref="H112:J112"/>
    <mergeCell ref="K112:M112"/>
    <mergeCell ref="H113:J113"/>
    <mergeCell ref="K113:M113"/>
    <mergeCell ref="E170:M170"/>
    <mergeCell ref="H120:J120"/>
    <mergeCell ref="K120:M120"/>
    <mergeCell ref="H121:J121"/>
    <mergeCell ref="K121:M121"/>
    <mergeCell ref="H122:J122"/>
    <mergeCell ref="K122:M122"/>
    <mergeCell ref="H117:J117"/>
    <mergeCell ref="K117:M117"/>
    <mergeCell ref="H118:J118"/>
    <mergeCell ref="K118:M118"/>
    <mergeCell ref="H119:J119"/>
    <mergeCell ref="K119:M119"/>
    <mergeCell ref="B145:C145"/>
    <mergeCell ref="H145:J145"/>
    <mergeCell ref="K145:M145"/>
    <mergeCell ref="H146:J146"/>
    <mergeCell ref="K146:M146"/>
    <mergeCell ref="K150:M150"/>
    <mergeCell ref="H151:J151"/>
    <mergeCell ref="K151:M151"/>
    <mergeCell ref="H152:J152"/>
    <mergeCell ref="K152:M152"/>
    <mergeCell ref="H147:J147"/>
    <mergeCell ref="K147:M147"/>
    <mergeCell ref="H148:J148"/>
    <mergeCell ref="B139:C139"/>
    <mergeCell ref="D139:M139"/>
    <mergeCell ref="H140:I140"/>
    <mergeCell ref="J140:M142"/>
    <mergeCell ref="B141:C141"/>
    <mergeCell ref="G141:H141"/>
    <mergeCell ref="B142:C142"/>
    <mergeCell ref="G142:H142"/>
    <mergeCell ref="B144:M144"/>
    <mergeCell ref="B4:C4"/>
    <mergeCell ref="E165:M165"/>
    <mergeCell ref="E166:M166"/>
    <mergeCell ref="E167:M167"/>
    <mergeCell ref="E168:M168"/>
    <mergeCell ref="E169:M169"/>
    <mergeCell ref="E160:M160"/>
    <mergeCell ref="E161:M161"/>
    <mergeCell ref="E162:M162"/>
    <mergeCell ref="E163:M163"/>
    <mergeCell ref="E164:M164"/>
    <mergeCell ref="H156:J156"/>
    <mergeCell ref="K156:M156"/>
    <mergeCell ref="B158:M158"/>
    <mergeCell ref="B159:C159"/>
    <mergeCell ref="E159:M159"/>
    <mergeCell ref="H153:J153"/>
    <mergeCell ref="K153:M153"/>
    <mergeCell ref="H154:J154"/>
    <mergeCell ref="K154:M154"/>
    <mergeCell ref="B138:M138"/>
    <mergeCell ref="E133:M133"/>
    <mergeCell ref="E134:M134"/>
    <mergeCell ref="D45:D46"/>
    <mergeCell ref="E45:E46"/>
    <mergeCell ref="H45:J46"/>
    <mergeCell ref="K45:M46"/>
    <mergeCell ref="B13:E13"/>
    <mergeCell ref="H155:J155"/>
    <mergeCell ref="K155:M155"/>
    <mergeCell ref="H150:J150"/>
    <mergeCell ref="K148:M148"/>
    <mergeCell ref="H149:J149"/>
    <mergeCell ref="K149:M149"/>
    <mergeCell ref="E135:M135"/>
    <mergeCell ref="E136:M136"/>
    <mergeCell ref="B137:N137"/>
    <mergeCell ref="E128:M128"/>
    <mergeCell ref="E129:M129"/>
    <mergeCell ref="E130:M130"/>
    <mergeCell ref="E131:M131"/>
    <mergeCell ref="E132:M132"/>
    <mergeCell ref="B124:M124"/>
    <mergeCell ref="B125:C125"/>
    <mergeCell ref="E125:M125"/>
    <mergeCell ref="E126:M126"/>
    <mergeCell ref="E127:M127"/>
    <mergeCell ref="N138:N170"/>
  </mergeCells>
  <dataValidations count="7">
    <dataValidation type="date" operator="greaterThanOrEqual" allowBlank="1" showInputMessage="1" showErrorMessage="1" sqref="G10:G20 G146:G156 D47:D54 D24:D34 G44:G54 D92:D102 D78:D88 G78:G88 D58:D68 D126:D136 D112:D122 G112:G122 D160:D170 D146:D156 D44:D45 D10:D12 D14:D20">
      <formula1>36526</formula1>
    </dataValidation>
    <dataValidation type="list" allowBlank="1" showInputMessage="1" showErrorMessage="1" sqref="E160 E58 E92 E126">
      <formula1>#REF!</formula1>
    </dataValidation>
    <dataValidation type="list" allowBlank="1" showInputMessage="1" showErrorMessage="1" sqref="F44:F54">
      <formula1>$AO$7:$AO$8</formula1>
    </dataValidation>
    <dataValidation type="list" allowBlank="1" showInputMessage="1" showErrorMessage="1" sqref="F78:F88">
      <formula1>$AO$7:$AO$8</formula1>
    </dataValidation>
    <dataValidation type="list" allowBlank="1" showInputMessage="1" showErrorMessage="1" sqref="F112:F122">
      <formula1>$AO$7:$AO$8</formula1>
    </dataValidation>
    <dataValidation type="list" allowBlank="1" showInputMessage="1" showErrorMessage="1" sqref="F146:F156">
      <formula1>$AO$7:$AO$8</formula1>
    </dataValidation>
    <dataValidation type="list" allowBlank="1" showInputMessage="1" showErrorMessage="1" sqref="E24">
      <formula1>$X$7:$X$8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5" orientation="landscape" blackAndWhite="1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1" id="{6CC7B2D8-433B-4733-A09E-F4CFF695A124}">
            <xm:f>'1.PM'!$C$8=TRUE</xm:f>
            <x14:dxf>
              <font>
                <color auto="1"/>
              </font>
            </x14:dxf>
          </x14:cfRule>
          <xm:sqref>D4</xm:sqref>
        </x14:conditionalFormatting>
        <x14:conditionalFormatting xmlns:xm="http://schemas.microsoft.com/office/excel/2006/main">
          <x14:cfRule type="expression" priority="30" id="{DFE4A107-81EE-49C1-80C7-DE2CB32C75C3}">
            <xm:f>'1.PM'!$F$8=TRUE</xm:f>
            <x14:dxf>
              <font>
                <color auto="1"/>
              </font>
            </x14:dxf>
          </x14:cfRule>
          <xm:sqref>G4</xm:sqref>
        </x14:conditionalFormatting>
        <x14:conditionalFormatting xmlns:xm="http://schemas.microsoft.com/office/excel/2006/main">
          <x14:cfRule type="expression" priority="29" id="{C77DFCAC-DB24-416F-96BA-1B40177AD094}">
            <xm:f>'1.PM'!$D$8</xm:f>
            <x14:dxf>
              <font>
                <color auto="1"/>
              </font>
            </x14:dxf>
          </x14:cfRule>
          <xm:sqref>E4</xm:sqref>
        </x14:conditionalFormatting>
        <x14:conditionalFormatting xmlns:xm="http://schemas.microsoft.com/office/excel/2006/main">
          <x14:cfRule type="expression" priority="28" id="{94ACED75-590E-4D3C-97D9-AB8053F5D0F7}">
            <xm:f>'1.PM'!$F$8=TRUE</xm:f>
            <x14:dxf>
              <font>
                <color auto="1"/>
              </font>
            </x14:dxf>
          </x14:cfRule>
          <xm:sqref>H4</xm:sqref>
        </x14:conditionalFormatting>
        <x14:conditionalFormatting xmlns:xm="http://schemas.microsoft.com/office/excel/2006/main">
          <x14:cfRule type="expression" priority="25" id="{399DF94D-816F-4D3A-AD08-71FE5B1ED0CA}">
            <xm:f>'1.PM'!$D$8</xm:f>
            <x14:dxf>
              <font>
                <color auto="1"/>
              </font>
            </x14:dxf>
          </x14:cfRule>
          <xm:sqref>E38:H38</xm:sqref>
        </x14:conditionalFormatting>
        <x14:conditionalFormatting xmlns:xm="http://schemas.microsoft.com/office/excel/2006/main">
          <x14:cfRule type="expression" priority="22" id="{F0D83A11-6334-47E2-9ED5-2BF60AB79E9B}">
            <xm:f>'1.PM'!$E$8=TRUE</xm:f>
            <x14:dxf>
              <font>
                <color auto="1"/>
              </font>
            </x14:dxf>
          </x14:cfRule>
          <xm:sqref>E72:F72</xm:sqref>
        </x14:conditionalFormatting>
        <x14:conditionalFormatting xmlns:xm="http://schemas.microsoft.com/office/excel/2006/main">
          <x14:cfRule type="expression" priority="21" id="{AC8E6072-4BED-4E21-878A-EB59974D45E3}">
            <xm:f>'1.PM'!$E$8=TRUE</xm:f>
            <x14:dxf>
              <font>
                <b/>
                <i val="0"/>
                <color auto="1"/>
              </font>
            </x14:dxf>
          </x14:cfRule>
          <xm:sqref>D72</xm:sqref>
        </x14:conditionalFormatting>
        <x14:conditionalFormatting xmlns:xm="http://schemas.microsoft.com/office/excel/2006/main">
          <x14:cfRule type="expression" priority="20" id="{8683CB2E-CDAE-40BA-BEAE-993E38E568B1}">
            <xm:f>'1.PM'!$F$8=TRUE</xm:f>
            <x14:dxf>
              <font>
                <color auto="1"/>
              </font>
            </x14:dxf>
          </x14:cfRule>
          <xm:sqref>G72</xm:sqref>
        </x14:conditionalFormatting>
        <x14:conditionalFormatting xmlns:xm="http://schemas.microsoft.com/office/excel/2006/main">
          <x14:cfRule type="expression" priority="19" id="{E1C40A6B-66A3-490A-BE8A-06991703D3B9}">
            <xm:f>'1.PM'!$F$8=TRUE</xm:f>
            <x14:dxf>
              <font>
                <color auto="1"/>
              </font>
            </x14:dxf>
          </x14:cfRule>
          <xm:sqref>D106</xm:sqref>
        </x14:conditionalFormatting>
        <x14:conditionalFormatting xmlns:xm="http://schemas.microsoft.com/office/excel/2006/main">
          <x14:cfRule type="expression" priority="18" id="{302D8688-0C38-4BAC-910D-DF33F2EB6C58}">
            <xm:f>'1.PM'!$E$8=TRUE</xm:f>
            <x14:dxf>
              <font>
                <color auto="1"/>
              </font>
            </x14:dxf>
          </x14:cfRule>
          <xm:sqref>F106</xm:sqref>
        </x14:conditionalFormatting>
        <x14:conditionalFormatting xmlns:xm="http://schemas.microsoft.com/office/excel/2006/main">
          <x14:cfRule type="expression" priority="17" id="{E05B8680-4571-4040-B515-A454CD9C63D8}">
            <xm:f>'1.PM'!$D$8</xm:f>
            <x14:dxf>
              <font>
                <color auto="1"/>
              </font>
            </x14:dxf>
          </x14:cfRule>
          <xm:sqref>E106</xm:sqref>
        </x14:conditionalFormatting>
        <x14:conditionalFormatting xmlns:xm="http://schemas.microsoft.com/office/excel/2006/main">
          <x14:cfRule type="expression" priority="16" id="{4CA4AC0C-1FAA-4CD9-89D4-48E5FCC107B1}">
            <xm:f>'1.PM'!$F$8=TRUE</xm:f>
            <x14:dxf>
              <font>
                <color auto="1"/>
              </font>
            </x14:dxf>
          </x14:cfRule>
          <xm:sqref>G106</xm:sqref>
        </x14:conditionalFormatting>
        <x14:conditionalFormatting xmlns:xm="http://schemas.microsoft.com/office/excel/2006/main">
          <x14:cfRule type="expression" priority="15" id="{6990509D-7B2E-4BE3-B171-EE59CBF89D8E}">
            <xm:f>'1.PM'!$G$8=TRUE</xm:f>
            <x14:dxf>
              <font>
                <b/>
                <i val="0"/>
                <color auto="1"/>
              </font>
            </x14:dxf>
          </x14:cfRule>
          <xm:sqref>D140</xm:sqref>
        </x14:conditionalFormatting>
        <x14:conditionalFormatting xmlns:xm="http://schemas.microsoft.com/office/excel/2006/main">
          <x14:cfRule type="expression" priority="14" id="{083946E3-C6C4-48D2-B336-409D7B9CEED6}">
            <xm:f>'1.PM'!$E$8=TRUE</xm:f>
            <x14:dxf>
              <font>
                <color auto="1"/>
              </font>
            </x14:dxf>
          </x14:cfRule>
          <xm:sqref>F140</xm:sqref>
        </x14:conditionalFormatting>
        <x14:conditionalFormatting xmlns:xm="http://schemas.microsoft.com/office/excel/2006/main">
          <x14:cfRule type="expression" priority="13" id="{B2BED6D3-E128-4D50-B17B-1E5CD2BD2BE4}">
            <xm:f>'1.PM'!$D$8</xm:f>
            <x14:dxf>
              <font>
                <color auto="1"/>
              </font>
            </x14:dxf>
          </x14:cfRule>
          <xm:sqref>E140</xm:sqref>
        </x14:conditionalFormatting>
        <x14:conditionalFormatting xmlns:xm="http://schemas.microsoft.com/office/excel/2006/main">
          <x14:cfRule type="expression" priority="12" id="{0AE274C6-8EF7-40A0-B2A0-97D86C7CAFFC}">
            <xm:f>'1.PM'!$F$8=TRUE</xm:f>
            <x14:dxf>
              <font>
                <color auto="1"/>
              </font>
            </x14:dxf>
          </x14:cfRule>
          <xm:sqref>G140</xm:sqref>
        </x14:conditionalFormatting>
        <x14:conditionalFormatting xmlns:xm="http://schemas.microsoft.com/office/excel/2006/main">
          <x14:cfRule type="expression" priority="11" id="{B3B2A866-1854-4625-AB03-9A4165F31A16}">
            <xm:f>'1.PM'!$E$8</xm:f>
            <x14:dxf>
              <font>
                <color auto="1"/>
              </font>
            </x14:dxf>
          </x14:cfRule>
          <xm:sqref>F4</xm:sqref>
        </x14:conditionalFormatting>
        <x14:conditionalFormatting xmlns:xm="http://schemas.microsoft.com/office/excel/2006/main">
          <x14:cfRule type="expression" priority="10" id="{427DC731-BB19-4F87-9892-5A456F98BA4C}">
            <xm:f>'1.PM'!$D$8</xm:f>
            <x14:dxf>
              <font>
                <color auto="1"/>
              </font>
            </x14:dxf>
          </x14:cfRule>
          <xm:sqref>D38</xm:sqref>
        </x14:conditionalFormatting>
        <x14:conditionalFormatting xmlns:xm="http://schemas.microsoft.com/office/excel/2006/main">
          <x14:cfRule type="expression" priority="9" id="{32E886D6-F035-4D0A-8597-E594A95D563C}">
            <xm:f>'1.PM'!$D$8=TRUE</xm:f>
            <x14:dxf>
              <font>
                <b/>
                <i val="0"/>
                <color rgb="FFFFC000"/>
              </font>
            </x14:dxf>
          </x14:cfRule>
          <xm:sqref>N36:N68</xm:sqref>
        </x14:conditionalFormatting>
        <x14:conditionalFormatting xmlns:xm="http://schemas.microsoft.com/office/excel/2006/main">
          <x14:cfRule type="expression" priority="8" id="{CE7FEE34-9524-4061-872C-16B1223770D2}">
            <xm:f>'1.PM'!$D$8=TRUE</xm:f>
            <x14:dxf>
              <font>
                <b/>
                <i val="0"/>
                <color auto="1"/>
              </font>
            </x14:dxf>
          </x14:cfRule>
          <xm:sqref>D37:M37</xm:sqref>
        </x14:conditionalFormatting>
        <x14:conditionalFormatting xmlns:xm="http://schemas.microsoft.com/office/excel/2006/main">
          <x14:cfRule type="expression" priority="7" id="{2BF2236A-F5DB-4C95-B1D9-314D5D9A6B21}">
            <xm:f>'1.PM'!$E$8=TRUE</xm:f>
            <x14:dxf>
              <font>
                <b/>
                <i val="0"/>
                <color auto="1"/>
              </font>
            </x14:dxf>
          </x14:cfRule>
          <xm:sqref>D71:M71</xm:sqref>
        </x14:conditionalFormatting>
        <x14:conditionalFormatting xmlns:xm="http://schemas.microsoft.com/office/excel/2006/main">
          <x14:cfRule type="expression" priority="6" id="{5A2CBCC9-C16D-4F24-99DC-383FE6149EFC}">
            <xm:f>'1.PM'!$E$8=TRUE</xm:f>
            <x14:dxf>
              <font>
                <b/>
                <i val="0"/>
                <color rgb="FFFFC000"/>
              </font>
            </x14:dxf>
          </x14:cfRule>
          <xm:sqref>N70:N102</xm:sqref>
        </x14:conditionalFormatting>
        <x14:conditionalFormatting xmlns:xm="http://schemas.microsoft.com/office/excel/2006/main">
          <x14:cfRule type="expression" priority="5" id="{BCC08CBD-B620-49DF-AE65-189AE77D9A58}">
            <xm:f>'1.PM'!$F$8=TRUE</xm:f>
            <x14:dxf>
              <font>
                <color auto="1"/>
              </font>
            </x14:dxf>
          </x14:cfRule>
          <xm:sqref>D105:M105</xm:sqref>
        </x14:conditionalFormatting>
        <x14:conditionalFormatting xmlns:xm="http://schemas.microsoft.com/office/excel/2006/main">
          <x14:cfRule type="expression" priority="4" id="{B1F365E4-E1E7-4FEF-90FF-637570225F25}">
            <xm:f>'1.PM'!$F$8=TRUE</xm:f>
            <x14:dxf>
              <font>
                <b/>
                <i val="0"/>
                <color rgb="FFFFC000"/>
              </font>
            </x14:dxf>
          </x14:cfRule>
          <xm:sqref>N104:N136</xm:sqref>
        </x14:conditionalFormatting>
        <x14:conditionalFormatting xmlns:xm="http://schemas.microsoft.com/office/excel/2006/main">
          <x14:cfRule type="expression" priority="3" id="{47C73CB6-DF72-4F52-9A13-5392988F48F8}">
            <xm:f>'1.PM'!$C$8=TRUE</xm:f>
            <x14:dxf>
              <font>
                <b/>
                <i val="0"/>
                <color rgb="FFFFC000"/>
              </font>
            </x14:dxf>
          </x14:cfRule>
          <xm:sqref>N2:N34</xm:sqref>
        </x14:conditionalFormatting>
        <x14:conditionalFormatting xmlns:xm="http://schemas.microsoft.com/office/excel/2006/main">
          <x14:cfRule type="expression" priority="2" id="{EF3E9075-C457-41F9-9CC5-77A9F0B4B48D}">
            <xm:f>'1.PM'!$G$8=TRUE</xm:f>
            <x14:dxf>
              <font>
                <b/>
                <i val="0"/>
                <color rgb="FFFFC000"/>
              </font>
            </x14:dxf>
          </x14:cfRule>
          <xm:sqref>N138:N170</xm:sqref>
        </x14:conditionalFormatting>
        <x14:conditionalFormatting xmlns:xm="http://schemas.microsoft.com/office/excel/2006/main">
          <x14:cfRule type="expression" priority="1" id="{CA7B157F-C137-46E8-9DEB-25ADFFDF9170}">
            <xm:f>'1.PM'!$G$8=TRUE</xm:f>
            <x14:dxf>
              <font>
                <color theme="1"/>
              </font>
            </x14:dxf>
          </x14:cfRule>
          <xm:sqref>D139:M139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List!$AO$7:$AO$8</xm:f>
          </x14:formula1>
          <xm:sqref>F15:F20</xm:sqref>
        </x14:dataValidation>
        <x14:dataValidation type="list" allowBlank="1" showInputMessage="1" showErrorMessage="1">
          <x14:formula1>
            <xm:f>'\\ADCAHRND\Users\sumantsinh.girase\AppData\Local\Microsoft\Windows\Temporary Internet Files\Content.Outlook\VC1ZZQJA\[PIF of Macitentan Tablets.xlsx]List'!#REF!</xm:f>
          </x14:formula1>
          <xm:sqref>F13:F14</xm:sqref>
        </x14:dataValidation>
        <x14:dataValidation type="list" allowBlank="1" showInputMessage="1" showErrorMessage="1">
          <x14:formula1>
            <xm:f>'C:\Users\akanksha.pandit\AppData\Local\Microsoft\Windows\Temporary Internet Files\Content.Outlook\LOAT4WNF\Sent or pending For Approval\[Project Summary - Aminocaproic Acid Tabs- Pending for IPD Inputs.xlsx]List'!#REF!</xm:f>
          </x14:formula1>
          <xm:sqref>F10:F12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'1.PM'!I119+60</xm:f>
          </x14:formula1>
          <xm:sqref>I108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'1.PM'!I51+60</xm:f>
          </x14:formula1>
          <xm:sqref>I40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'1.PM'!I17+60</xm:f>
          </x14:formula1>
          <xm:sqref>I6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'1.PM'!I153+60</xm:f>
          </x14:formula1>
          <xm:sqref>I142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'1.PM'!O116+60</xm:f>
          </x14:formula1>
          <xm:sqref>I107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'1.PM'!O48+60</xm:f>
          </x14:formula1>
          <xm:sqref>I39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'1.PM'!O150+60</xm:f>
          </x14:formula1>
          <xm:sqref>I141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'1.PM'!I84+60</xm:f>
          </x14:formula1>
          <xm:sqref>I74</xm:sqref>
        </x14:dataValidation>
        <x14:dataValidation type="date" operator="lessThanOrEqual" allowBlank="1" showInputMessage="1" showErrorMessage="1" errorTitle="PLEASE NOTE" error="Budget and Timelines Submission date should not be later than 2 Months from the Project Start Date">
          <x14:formula1>
            <xm:f>'1.PM'!O81+60</xm:f>
          </x14:formula1>
          <xm:sqref>I73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 tint="-0.249977111117893"/>
    <pageSetUpPr fitToPage="1"/>
  </sheetPr>
  <dimension ref="B1:Y41"/>
  <sheetViews>
    <sheetView showGridLines="0" showZeros="0" topLeftCell="A13" zoomScale="85" zoomScaleNormal="85" zoomScaleSheetLayoutView="100" workbookViewId="0">
      <selection activeCell="O38" sqref="O38:R38"/>
    </sheetView>
  </sheetViews>
  <sheetFormatPr defaultColWidth="9.140625" defaultRowHeight="12.75"/>
  <cols>
    <col min="1" max="1" width="2.85546875" style="372" customWidth="1"/>
    <col min="2" max="2" width="3.7109375" style="372" customWidth="1"/>
    <col min="3" max="5" width="4.7109375" style="372" customWidth="1"/>
    <col min="6" max="6" width="17.28515625" style="372" customWidth="1"/>
    <col min="7" max="7" width="12.28515625" style="372" customWidth="1"/>
    <col min="8" max="8" width="11.42578125" style="372" customWidth="1"/>
    <col min="9" max="9" width="3.7109375" style="372" customWidth="1"/>
    <col min="10" max="10" width="7.85546875" style="372" customWidth="1"/>
    <col min="11" max="11" width="12.7109375" style="372" customWidth="1"/>
    <col min="12" max="12" width="10.28515625" style="372" customWidth="1"/>
    <col min="13" max="14" width="4.7109375" style="372" customWidth="1"/>
    <col min="15" max="15" width="12.7109375" style="372" customWidth="1"/>
    <col min="16" max="16" width="8.85546875" style="372" customWidth="1"/>
    <col min="17" max="18" width="3.7109375" style="372" customWidth="1"/>
    <col min="19" max="19" width="11" style="372" customWidth="1"/>
    <col min="20" max="20" width="11.42578125" style="372" customWidth="1"/>
    <col min="21" max="21" width="12.140625" style="372" customWidth="1"/>
    <col min="22" max="22" width="9.140625" style="372" customWidth="1"/>
    <col min="23" max="23" width="11.5703125" style="372" customWidth="1"/>
    <col min="24" max="24" width="3.7109375" style="372" customWidth="1"/>
    <col min="25" max="25" width="3.5703125" style="372" customWidth="1"/>
    <col min="26" max="16384" width="9.140625" style="372"/>
  </cols>
  <sheetData>
    <row r="1" spans="2:25" ht="13.5" thickBot="1"/>
    <row r="2" spans="2:25" ht="19.5" customHeight="1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9"/>
      <c r="Y2" s="120"/>
    </row>
    <row r="3" spans="2:25" ht="20.25">
      <c r="B3" s="121"/>
      <c r="C3" s="1332" t="s">
        <v>182</v>
      </c>
      <c r="D3" s="1333"/>
      <c r="E3" s="1333"/>
      <c r="F3" s="1333"/>
      <c r="G3" s="1333"/>
      <c r="H3" s="1333"/>
      <c r="I3" s="1333"/>
      <c r="J3" s="1333"/>
      <c r="K3" s="1333"/>
      <c r="L3" s="1333"/>
      <c r="M3" s="1333"/>
      <c r="N3" s="1333"/>
      <c r="O3" s="1333"/>
      <c r="P3" s="1333"/>
      <c r="Q3" s="1333"/>
      <c r="R3" s="1333"/>
      <c r="S3" s="1333"/>
      <c r="T3" s="1333"/>
      <c r="U3" s="1333"/>
      <c r="V3" s="1333"/>
      <c r="W3" s="1334"/>
      <c r="X3" s="122"/>
      <c r="Y3" s="120"/>
    </row>
    <row r="4" spans="2:25">
      <c r="B4" s="121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2"/>
      <c r="Y4" s="120"/>
    </row>
    <row r="5" spans="2:25" ht="28.5" customHeight="1">
      <c r="B5" s="121"/>
      <c r="C5" s="367" t="s">
        <v>132</v>
      </c>
      <c r="D5" s="367"/>
      <c r="E5" s="367"/>
      <c r="F5" s="1326" t="str">
        <f>'1.PM'!C3:C3</f>
        <v>Levetiracetam Tablets</v>
      </c>
      <c r="G5" s="1326"/>
      <c r="H5" s="1326"/>
      <c r="I5" s="1326"/>
      <c r="J5" s="1326"/>
      <c r="K5" s="1326"/>
      <c r="L5" s="1326"/>
      <c r="M5" s="1326"/>
      <c r="N5" s="1326"/>
      <c r="O5" s="1326"/>
      <c r="P5" s="154"/>
      <c r="Q5" s="1335" t="s">
        <v>133</v>
      </c>
      <c r="R5" s="1335"/>
      <c r="S5" s="1335"/>
      <c r="T5" s="1335"/>
      <c r="U5" s="1335"/>
      <c r="V5" s="1335"/>
      <c r="W5" s="1335"/>
      <c r="X5" s="122"/>
      <c r="Y5" s="120"/>
    </row>
    <row r="6" spans="2:25" ht="18.75" customHeight="1">
      <c r="B6" s="121"/>
      <c r="C6" s="509" t="s">
        <v>129</v>
      </c>
      <c r="D6" s="510"/>
      <c r="E6" s="510"/>
      <c r="F6" s="526" t="str">
        <f>IF(ISBLANK('1.PM'!C$4),"",'1.PM'!C$4 &amp;" " &amp; '1.PM'!$O$4)</f>
        <v>250 mg</v>
      </c>
      <c r="G6" s="526" t="str">
        <f>IF(ISBLANK('1.PM'!D$4),"",'1.PM'!D$4 &amp;" " &amp; '1.PM'!$O$4)</f>
        <v>500 mg</v>
      </c>
      <c r="H6" s="1327" t="str">
        <f>IF(ISBLANK('1.PM'!E$4),"",'1.PM'!E$4 &amp;" " &amp; '1.PM'!$O$4)</f>
        <v>750 mg</v>
      </c>
      <c r="I6" s="1327"/>
      <c r="J6" s="1327"/>
      <c r="K6" s="511" t="str">
        <f>IF(ISBLANK('1.PM'!F$4),"",'1.PM'!F$4 &amp;" " &amp; '1.PM'!$O$4)</f>
        <v>1000 mg</v>
      </c>
      <c r="L6" s="1327" t="str">
        <f>IF(ISBLANK('1.PM'!G$4),"",'1.PM'!G$4 &amp;" " &amp; '1.PM'!$O$4)</f>
        <v/>
      </c>
      <c r="M6" s="1327"/>
      <c r="N6" s="1327"/>
      <c r="O6" s="511" t="str">
        <f>IF(ISBLANK('1.PM'!H$4),"",'1.PM'!H$4 &amp;" " &amp; '1.PM'!$O$4)</f>
        <v/>
      </c>
      <c r="P6" s="512"/>
      <c r="Q6" s="1330">
        <f>'1.PM'!O14</f>
        <v>44404</v>
      </c>
      <c r="R6" s="1330"/>
      <c r="S6" s="1330"/>
      <c r="T6" s="1330"/>
      <c r="U6" s="1330"/>
      <c r="V6" s="1330"/>
      <c r="W6" s="1330"/>
      <c r="X6" s="122"/>
      <c r="Y6" s="120"/>
    </row>
    <row r="7" spans="2:25" ht="15">
      <c r="B7" s="121"/>
      <c r="C7" s="513"/>
      <c r="D7" s="514"/>
      <c r="E7" s="514"/>
      <c r="F7" s="511" t="str">
        <f>IF(ISBLANK('1.PM'!I$4),"",'1.PM'!I$4 &amp;" " &amp; '1.PM'!$O$4)</f>
        <v/>
      </c>
      <c r="G7" s="511" t="str">
        <f>IF(ISBLANK('1.PM'!J$4),"",'1.PM'!J$4 &amp;" " &amp; '1.PM'!$O$4)</f>
        <v/>
      </c>
      <c r="H7" s="1327" t="str">
        <f>IF(ISBLANK('1.PM'!K$4),"",'1.PM'!K$4 &amp;" " &amp; '1.PM'!$O$4)</f>
        <v/>
      </c>
      <c r="I7" s="1327"/>
      <c r="J7" s="1327"/>
      <c r="K7" s="511" t="str">
        <f>IF(ISBLANK('1.PM'!L$4),"",'1.PM'!L$4 &amp;" " &amp; '1.PM'!$O$4)</f>
        <v/>
      </c>
      <c r="L7" s="1327" t="str">
        <f>IF(ISBLANK('1.PM'!M$4),"",'1.PM'!M$4 &amp;" " &amp; '1.PM'!$O$4)</f>
        <v/>
      </c>
      <c r="M7" s="1327"/>
      <c r="N7" s="1327"/>
      <c r="O7" s="511" t="str">
        <f>IF(ISBLANK('1.PM'!N$4),"",'1.PM'!N$4 &amp;" " &amp; '1.PM'!$O$4)</f>
        <v/>
      </c>
      <c r="P7" s="515"/>
      <c r="Q7" s="1330"/>
      <c r="R7" s="1330"/>
      <c r="S7" s="1330"/>
      <c r="T7" s="1330"/>
      <c r="U7" s="1330"/>
      <c r="V7" s="1330"/>
      <c r="W7" s="1330"/>
      <c r="X7" s="122"/>
      <c r="Y7" s="120"/>
    </row>
    <row r="8" spans="2:25" ht="15.75" customHeight="1">
      <c r="B8" s="121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2"/>
      <c r="Y8" s="120"/>
    </row>
    <row r="9" spans="2:25">
      <c r="B9" s="121"/>
      <c r="C9" s="1306" t="s">
        <v>134</v>
      </c>
      <c r="D9" s="1306"/>
      <c r="E9" s="1306"/>
      <c r="F9" s="1306"/>
      <c r="G9" s="1306"/>
      <c r="H9" s="1306"/>
      <c r="I9" s="1306"/>
      <c r="J9" s="1306"/>
      <c r="K9" s="1306"/>
      <c r="L9" s="1306"/>
      <c r="M9" s="124"/>
      <c r="N9" s="1306" t="s">
        <v>135</v>
      </c>
      <c r="O9" s="1306"/>
      <c r="P9" s="1306"/>
      <c r="Q9" s="1306"/>
      <c r="R9" s="1306"/>
      <c r="S9" s="1337"/>
      <c r="T9" s="1337"/>
      <c r="U9" s="1337"/>
      <c r="V9" s="1337"/>
      <c r="W9" s="1337"/>
      <c r="X9" s="122"/>
      <c r="Y9" s="120"/>
    </row>
    <row r="10" spans="2:25">
      <c r="B10" s="121"/>
      <c r="C10" s="366">
        <v>1</v>
      </c>
      <c r="D10" s="1324" t="s">
        <v>101</v>
      </c>
      <c r="E10" s="1325"/>
      <c r="F10" s="1331"/>
      <c r="G10" s="1329" t="str">
        <f>'1.PM'!F16</f>
        <v>Emcure</v>
      </c>
      <c r="H10" s="1329"/>
      <c r="I10" s="1329"/>
      <c r="J10" s="1329"/>
      <c r="K10" s="1329"/>
      <c r="L10" s="1329"/>
      <c r="M10" s="124"/>
      <c r="N10" s="366">
        <v>1</v>
      </c>
      <c r="O10" s="1324" t="s">
        <v>98</v>
      </c>
      <c r="P10" s="1325"/>
      <c r="Q10" s="1325"/>
      <c r="R10" s="1325"/>
      <c r="S10" s="700" t="str">
        <f>'1.PM'!C$7</f>
        <v>US</v>
      </c>
      <c r="T10" s="700" t="str">
        <f>'1.PM'!D$7</f>
        <v>EU</v>
      </c>
      <c r="U10" s="700" t="str">
        <f>'1.PM'!E$7</f>
        <v>Canada</v>
      </c>
      <c r="V10" s="700" t="str">
        <f>'1.PM'!F$7</f>
        <v>ROW</v>
      </c>
      <c r="W10" s="700" t="str">
        <f>'1.PM'!G$7</f>
        <v>DOM</v>
      </c>
      <c r="X10" s="122"/>
      <c r="Y10" s="120"/>
    </row>
    <row r="11" spans="2:25">
      <c r="B11" s="121"/>
      <c r="C11" s="366">
        <v>3</v>
      </c>
      <c r="D11" s="1328" t="s">
        <v>108</v>
      </c>
      <c r="E11" s="1328"/>
      <c r="F11" s="1328"/>
      <c r="G11" s="1329" t="str">
        <f>'1.PM'!L14</f>
        <v>IR</v>
      </c>
      <c r="H11" s="1329"/>
      <c r="I11" s="1329"/>
      <c r="J11" s="1329" t="e">
        <f>#REF!</f>
        <v>#REF!</v>
      </c>
      <c r="K11" s="1329"/>
      <c r="L11" s="1329"/>
      <c r="M11" s="124"/>
      <c r="N11" s="366">
        <v>2</v>
      </c>
      <c r="O11" s="1324" t="s">
        <v>206</v>
      </c>
      <c r="P11" s="1325"/>
      <c r="Q11" s="1325"/>
      <c r="R11" s="1325"/>
      <c r="S11" s="716">
        <f>'1.PM'!O22</f>
        <v>16.899999999999999</v>
      </c>
      <c r="T11" s="716">
        <f>'1.PM'!O42</f>
        <v>0</v>
      </c>
      <c r="U11" s="716">
        <f>'1.PM'!O63</f>
        <v>0</v>
      </c>
      <c r="V11" s="716"/>
      <c r="W11" s="716"/>
      <c r="X11" s="122"/>
      <c r="Y11" s="120"/>
    </row>
    <row r="12" spans="2:25">
      <c r="B12" s="121"/>
      <c r="C12" s="366">
        <v>4</v>
      </c>
      <c r="D12" s="1328" t="s">
        <v>136</v>
      </c>
      <c r="E12" s="1328"/>
      <c r="F12" s="1328"/>
      <c r="G12" s="1329" t="str">
        <f>'1.PM'!O13</f>
        <v>EP20-AHD</v>
      </c>
      <c r="H12" s="1329"/>
      <c r="I12" s="1329"/>
      <c r="J12" s="1329" t="e">
        <f>#REF!</f>
        <v>#REF!</v>
      </c>
      <c r="K12" s="1329"/>
      <c r="L12" s="1329"/>
      <c r="M12" s="124"/>
      <c r="N12" s="366">
        <v>3</v>
      </c>
      <c r="O12" s="1324" t="s">
        <v>157</v>
      </c>
      <c r="P12" s="1325"/>
      <c r="Q12" s="1325"/>
      <c r="R12" s="1325"/>
      <c r="S12" s="1339">
        <f>'1.PM'!C15</f>
        <v>0</v>
      </c>
      <c r="T12" s="1339"/>
      <c r="U12" s="1339"/>
      <c r="V12" s="1339"/>
      <c r="W12" s="1339"/>
      <c r="X12" s="122"/>
      <c r="Y12" s="120"/>
    </row>
    <row r="13" spans="2:25">
      <c r="B13" s="121"/>
      <c r="C13" s="366">
        <v>5</v>
      </c>
      <c r="D13" s="1328" t="s">
        <v>137</v>
      </c>
      <c r="E13" s="1328"/>
      <c r="F13" s="1328"/>
      <c r="G13" s="1329" t="str">
        <f>'2.1.FDGL-US'!M8</f>
        <v>Dr. Rushil Shah</v>
      </c>
      <c r="H13" s="1329"/>
      <c r="I13" s="1329"/>
      <c r="J13" s="1329" t="e">
        <f>#REF!</f>
        <v>#REF!</v>
      </c>
      <c r="K13" s="1329"/>
      <c r="L13" s="1329"/>
      <c r="M13" s="124"/>
      <c r="N13" s="366">
        <v>4</v>
      </c>
      <c r="O13" s="1324" t="s">
        <v>158</v>
      </c>
      <c r="P13" s="1325"/>
      <c r="Q13" s="1325"/>
      <c r="R13" s="1325"/>
      <c r="S13" s="717">
        <f>S11/10</f>
        <v>1.69</v>
      </c>
      <c r="T13" s="716"/>
      <c r="U13" s="716"/>
      <c r="V13" s="716"/>
      <c r="W13" s="716"/>
      <c r="X13" s="122"/>
      <c r="Y13" s="120"/>
    </row>
    <row r="14" spans="2:25">
      <c r="B14" s="121"/>
      <c r="C14" s="366">
        <v>6</v>
      </c>
      <c r="D14" s="1328" t="s">
        <v>138</v>
      </c>
      <c r="E14" s="1328"/>
      <c r="F14" s="1328"/>
      <c r="G14" s="1329">
        <f>'2.1.FDGL-US'!D8</f>
        <v>3</v>
      </c>
      <c r="H14" s="1329"/>
      <c r="I14" s="1329"/>
      <c r="J14" s="1329" t="e">
        <f>#REF!</f>
        <v>#REF!</v>
      </c>
      <c r="K14" s="1329"/>
      <c r="L14" s="1329"/>
      <c r="M14" s="124"/>
      <c r="N14" s="366">
        <v>5</v>
      </c>
      <c r="O14" s="1324" t="s">
        <v>102</v>
      </c>
      <c r="P14" s="1325"/>
      <c r="Q14" s="1325"/>
      <c r="R14" s="1325"/>
      <c r="S14" s="1339">
        <f>'1.PM'!C16</f>
        <v>0</v>
      </c>
      <c r="T14" s="1339"/>
      <c r="U14" s="1339"/>
      <c r="V14" s="1339"/>
      <c r="W14" s="1339"/>
      <c r="X14" s="122"/>
      <c r="Y14" s="120"/>
    </row>
    <row r="15" spans="2:25">
      <c r="B15" s="121"/>
      <c r="C15" s="366">
        <v>7</v>
      </c>
      <c r="D15" s="1328" t="s">
        <v>139</v>
      </c>
      <c r="E15" s="1328"/>
      <c r="F15" s="1328"/>
      <c r="G15" s="1329" t="str">
        <f>'1.PM'!L16</f>
        <v>EP04-EOU(H)</v>
      </c>
      <c r="H15" s="1329"/>
      <c r="I15" s="1329"/>
      <c r="J15" s="1329" t="e">
        <f>#REF!</f>
        <v>#REF!</v>
      </c>
      <c r="K15" s="1329"/>
      <c r="L15" s="1329"/>
      <c r="M15" s="124"/>
      <c r="N15" s="366">
        <v>6</v>
      </c>
      <c r="O15" s="1324" t="s">
        <v>113</v>
      </c>
      <c r="P15" s="1325"/>
      <c r="Q15" s="1325"/>
      <c r="R15" s="1331"/>
      <c r="S15" s="1338">
        <f>'1.PM'!F15</f>
        <v>0</v>
      </c>
      <c r="T15" s="1338"/>
      <c r="U15" s="1338"/>
      <c r="V15" s="1338"/>
      <c r="W15" s="1338"/>
      <c r="X15" s="122"/>
      <c r="Y15" s="120"/>
    </row>
    <row r="16" spans="2:25" ht="12.75" customHeight="1">
      <c r="B16" s="121"/>
      <c r="C16" s="1317">
        <v>8</v>
      </c>
      <c r="D16" s="1308" t="s">
        <v>1020</v>
      </c>
      <c r="E16" s="1309"/>
      <c r="F16" s="705" t="s">
        <v>224</v>
      </c>
      <c r="G16" s="707" t="str">
        <f>'1.PM'!C7</f>
        <v>US</v>
      </c>
      <c r="H16" s="707" t="str">
        <f>'1.PM'!D7</f>
        <v>EU</v>
      </c>
      <c r="I16" s="1319" t="str">
        <f>'1.PM'!E7</f>
        <v>Canada</v>
      </c>
      <c r="J16" s="1320"/>
      <c r="K16" s="707" t="str">
        <f>'1.PM'!F7</f>
        <v>ROW</v>
      </c>
      <c r="L16" s="707" t="str">
        <f>'1.PM'!G7</f>
        <v>DOM</v>
      </c>
      <c r="M16" s="124"/>
      <c r="N16" s="703"/>
      <c r="O16" s="708"/>
      <c r="P16" s="708"/>
      <c r="Q16" s="708"/>
      <c r="R16" s="708"/>
      <c r="S16" s="709"/>
      <c r="T16" s="709"/>
      <c r="U16" s="709"/>
      <c r="V16" s="1300"/>
      <c r="W16" s="1300"/>
      <c r="X16" s="122"/>
      <c r="Y16" s="120"/>
    </row>
    <row r="17" spans="2:25" ht="12.75" customHeight="1">
      <c r="B17" s="121"/>
      <c r="C17" s="1318"/>
      <c r="D17" s="1310"/>
      <c r="E17" s="1311"/>
      <c r="F17" s="702" t="s">
        <v>222</v>
      </c>
      <c r="G17" s="704">
        <f>'1.PM'!H10</f>
        <v>0</v>
      </c>
      <c r="H17" s="704">
        <f>'1.PM'!I10</f>
        <v>0</v>
      </c>
      <c r="I17" s="1321"/>
      <c r="J17" s="1322"/>
      <c r="K17" s="704"/>
      <c r="L17" s="704"/>
      <c r="M17" s="124"/>
      <c r="N17" s="137"/>
      <c r="O17" s="1302"/>
      <c r="P17" s="1302"/>
      <c r="Q17" s="1302"/>
      <c r="R17" s="1302"/>
      <c r="S17" s="710"/>
      <c r="T17" s="710"/>
      <c r="U17" s="710"/>
      <c r="V17" s="1300"/>
      <c r="W17" s="1300"/>
      <c r="X17" s="122"/>
      <c r="Y17" s="120"/>
    </row>
    <row r="18" spans="2:25" ht="12.75" customHeight="1">
      <c r="B18" s="121"/>
      <c r="C18" s="1318"/>
      <c r="D18" s="1312"/>
      <c r="E18" s="1313"/>
      <c r="F18" s="706" t="s">
        <v>223</v>
      </c>
      <c r="G18" s="790">
        <f>'1.PM'!H11</f>
        <v>0</v>
      </c>
      <c r="H18" s="704"/>
      <c r="I18" s="1321"/>
      <c r="J18" s="1322"/>
      <c r="K18" s="704"/>
      <c r="L18" s="704"/>
      <c r="M18" s="124"/>
      <c r="N18" s="703"/>
      <c r="O18" s="1302"/>
      <c r="P18" s="1302"/>
      <c r="Q18" s="1302"/>
      <c r="R18" s="1302"/>
      <c r="S18" s="711"/>
      <c r="T18" s="711"/>
      <c r="U18" s="711"/>
      <c r="V18" s="1301"/>
      <c r="W18" s="1301"/>
      <c r="X18" s="122"/>
      <c r="Y18" s="120"/>
    </row>
    <row r="19" spans="2:25" ht="12.75" customHeight="1">
      <c r="B19" s="121"/>
      <c r="C19" s="364">
        <v>9</v>
      </c>
      <c r="D19" s="1314" t="s">
        <v>1018</v>
      </c>
      <c r="E19" s="1315"/>
      <c r="F19" s="1316"/>
      <c r="G19" s="1321">
        <f>'1.PM'!C14</f>
        <v>0</v>
      </c>
      <c r="H19" s="1323"/>
      <c r="I19" s="1323"/>
      <c r="J19" s="1323"/>
      <c r="K19" s="1323"/>
      <c r="L19" s="1322"/>
      <c r="M19" s="124"/>
      <c r="N19" s="712"/>
      <c r="O19" s="1348"/>
      <c r="P19" s="1348"/>
      <c r="Q19" s="1348"/>
      <c r="R19" s="1348"/>
      <c r="S19" s="713"/>
      <c r="T19" s="713"/>
      <c r="U19" s="713"/>
      <c r="V19" s="1307"/>
      <c r="W19" s="1307"/>
      <c r="X19" s="122"/>
      <c r="Y19" s="120"/>
    </row>
    <row r="20" spans="2:25">
      <c r="B20" s="121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2"/>
      <c r="Y20" s="120"/>
    </row>
    <row r="21" spans="2:25">
      <c r="B21" s="121"/>
      <c r="C21" s="1306" t="s">
        <v>140</v>
      </c>
      <c r="D21" s="1306"/>
      <c r="E21" s="1306"/>
      <c r="F21" s="1306"/>
      <c r="G21" s="1306"/>
      <c r="H21" s="1306"/>
      <c r="I21" s="1306"/>
      <c r="J21" s="1306"/>
      <c r="K21" s="1306"/>
      <c r="L21" s="1306"/>
      <c r="M21" s="1306"/>
      <c r="N21" s="1306"/>
      <c r="O21" s="1306"/>
      <c r="P21" s="1306"/>
      <c r="Q21" s="1306"/>
      <c r="R21" s="1306"/>
      <c r="S21" s="1306"/>
      <c r="T21" s="1306"/>
      <c r="U21" s="1306"/>
      <c r="V21" s="1306"/>
      <c r="W21" s="1306"/>
      <c r="X21" s="122"/>
      <c r="Y21" s="120"/>
    </row>
    <row r="22" spans="2:25" ht="33.75" customHeight="1">
      <c r="B22" s="121"/>
      <c r="C22" s="366">
        <v>1</v>
      </c>
      <c r="D22" s="1340" t="s">
        <v>141</v>
      </c>
      <c r="E22" s="1341"/>
      <c r="F22" s="1341"/>
      <c r="G22" s="1341"/>
      <c r="H22" s="1341"/>
      <c r="I22" s="516" t="s">
        <v>209</v>
      </c>
      <c r="J22" s="1342">
        <f>'1.PM'!C9</f>
        <v>0</v>
      </c>
      <c r="K22" s="1342"/>
      <c r="L22" s="1342"/>
      <c r="M22" s="1342"/>
      <c r="N22" s="1342"/>
      <c r="O22" s="1342"/>
      <c r="P22" s="1342"/>
      <c r="Q22" s="1342"/>
      <c r="R22" s="1342"/>
      <c r="S22" s="1342"/>
      <c r="T22" s="1342"/>
      <c r="U22" s="1342"/>
      <c r="V22" s="1343"/>
      <c r="W22" s="1344"/>
      <c r="X22" s="122"/>
      <c r="Y22" s="120"/>
    </row>
    <row r="23" spans="2:25" ht="33.75" customHeight="1">
      <c r="B23" s="121"/>
      <c r="C23" s="366">
        <v>2</v>
      </c>
      <c r="D23" s="1340" t="s">
        <v>142</v>
      </c>
      <c r="E23" s="1341"/>
      <c r="F23" s="1341"/>
      <c r="G23" s="1341"/>
      <c r="H23" s="1341"/>
      <c r="I23" s="516" t="s">
        <v>209</v>
      </c>
      <c r="J23" s="1342">
        <f>'1.PM'!C12</f>
        <v>0</v>
      </c>
      <c r="K23" s="1342"/>
      <c r="L23" s="1342"/>
      <c r="M23" s="1342"/>
      <c r="N23" s="1342"/>
      <c r="O23" s="1342"/>
      <c r="P23" s="1342"/>
      <c r="Q23" s="1342"/>
      <c r="R23" s="1342"/>
      <c r="S23" s="1342"/>
      <c r="T23" s="1342"/>
      <c r="U23" s="1342"/>
      <c r="V23" s="1343"/>
      <c r="W23" s="1344"/>
      <c r="X23" s="122"/>
      <c r="Y23" s="120"/>
    </row>
    <row r="24" spans="2:25" ht="33.75" customHeight="1">
      <c r="B24" s="121"/>
      <c r="C24" s="366">
        <v>3</v>
      </c>
      <c r="D24" s="1340" t="s">
        <v>143</v>
      </c>
      <c r="E24" s="1341"/>
      <c r="F24" s="1341"/>
      <c r="G24" s="1341"/>
      <c r="H24" s="1341"/>
      <c r="I24" s="516" t="s">
        <v>209</v>
      </c>
      <c r="J24" s="1345">
        <f>'2.1.FDGL-US'!J8</f>
        <v>44404</v>
      </c>
      <c r="K24" s="1346"/>
      <c r="L24" s="1346"/>
      <c r="M24" s="1346"/>
      <c r="N24" s="1346"/>
      <c r="O24" s="1346"/>
      <c r="P24" s="1346"/>
      <c r="Q24" s="1346"/>
      <c r="R24" s="1346"/>
      <c r="S24" s="1346"/>
      <c r="T24" s="1346"/>
      <c r="U24" s="1346"/>
      <c r="V24" s="1346"/>
      <c r="W24" s="1347"/>
      <c r="X24" s="122"/>
      <c r="Y24" s="120"/>
    </row>
    <row r="25" spans="2:25" ht="33.75" customHeight="1">
      <c r="B25" s="121"/>
      <c r="C25" s="366">
        <v>4</v>
      </c>
      <c r="D25" s="1340" t="s">
        <v>144</v>
      </c>
      <c r="E25" s="1341"/>
      <c r="F25" s="1341"/>
      <c r="G25" s="1341"/>
      <c r="H25" s="1341"/>
      <c r="I25" s="516" t="s">
        <v>209</v>
      </c>
      <c r="J25" s="1303" t="s">
        <v>1021</v>
      </c>
      <c r="K25" s="1303"/>
      <c r="L25" s="1303"/>
      <c r="M25" s="1303"/>
      <c r="N25" s="1303"/>
      <c r="O25" s="1303"/>
      <c r="P25" s="1303"/>
      <c r="Q25" s="1303"/>
      <c r="R25" s="1303"/>
      <c r="S25" s="1303"/>
      <c r="T25" s="1303"/>
      <c r="U25" s="1303"/>
      <c r="V25" s="1304"/>
      <c r="W25" s="1305"/>
      <c r="X25" s="122"/>
      <c r="Y25" s="120"/>
    </row>
    <row r="26" spans="2:25">
      <c r="B26" s="121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2"/>
      <c r="Y26" s="120"/>
    </row>
    <row r="27" spans="2:25">
      <c r="B27" s="121"/>
      <c r="C27" s="1336" t="s">
        <v>145</v>
      </c>
      <c r="D27" s="1336"/>
      <c r="E27" s="1336"/>
      <c r="F27" s="1336"/>
      <c r="G27" s="1336"/>
      <c r="H27" s="1336"/>
      <c r="I27" s="1336"/>
      <c r="J27" s="1336"/>
      <c r="K27" s="1336"/>
      <c r="L27" s="1336"/>
      <c r="M27" s="1336"/>
      <c r="N27" s="1336"/>
      <c r="O27" s="1336"/>
      <c r="P27" s="1336"/>
      <c r="Q27" s="1336"/>
      <c r="R27" s="1336"/>
      <c r="S27" s="1336"/>
      <c r="T27" s="365"/>
      <c r="U27" s="365"/>
      <c r="V27" s="365"/>
      <c r="W27" s="365"/>
      <c r="X27" s="122"/>
      <c r="Y27" s="120"/>
    </row>
    <row r="28" spans="2:25">
      <c r="B28" s="121"/>
      <c r="C28" s="125" t="s">
        <v>146</v>
      </c>
      <c r="D28" s="125"/>
      <c r="E28" s="125"/>
      <c r="F28" s="365"/>
      <c r="G28" s="365"/>
      <c r="H28" s="365"/>
      <c r="I28" s="365"/>
      <c r="J28" s="365"/>
      <c r="K28" s="365"/>
      <c r="L28" s="365"/>
      <c r="M28" s="365"/>
      <c r="N28" s="365"/>
      <c r="O28" s="365"/>
      <c r="P28" s="365"/>
      <c r="Q28" s="365"/>
      <c r="R28" s="365"/>
      <c r="S28" s="365"/>
      <c r="T28" s="365"/>
      <c r="U28" s="365"/>
      <c r="V28" s="365"/>
      <c r="W28" s="365"/>
      <c r="X28" s="122"/>
      <c r="Y28" s="120"/>
    </row>
    <row r="29" spans="2:25">
      <c r="B29" s="121"/>
      <c r="C29" s="126" t="s">
        <v>147</v>
      </c>
      <c r="D29" s="126"/>
      <c r="E29" s="126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24"/>
      <c r="T29" s="124"/>
      <c r="U29" s="124"/>
      <c r="V29" s="124"/>
      <c r="W29" s="124"/>
      <c r="X29" s="122"/>
      <c r="Y29" s="120"/>
    </row>
    <row r="30" spans="2:25">
      <c r="B30" s="121"/>
      <c r="C30" s="126" t="s">
        <v>1032</v>
      </c>
      <c r="D30" s="517"/>
      <c r="E30" s="517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2"/>
      <c r="Y30" s="120"/>
    </row>
    <row r="31" spans="2:25">
      <c r="B31" s="121"/>
      <c r="C31" s="517"/>
      <c r="D31" s="517"/>
      <c r="E31" s="517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2"/>
      <c r="Y31" s="120"/>
    </row>
    <row r="32" spans="2:25">
      <c r="B32" s="121"/>
      <c r="C32" s="517"/>
      <c r="D32" s="517"/>
      <c r="E32" s="517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2"/>
      <c r="Y32" s="120"/>
    </row>
    <row r="33" spans="2:25">
      <c r="B33" s="121"/>
      <c r="C33" s="517"/>
      <c r="D33" s="517"/>
      <c r="E33" s="517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2"/>
      <c r="Y33" s="120"/>
    </row>
    <row r="34" spans="2:25">
      <c r="B34" s="121"/>
      <c r="C34" s="517"/>
      <c r="D34" s="517"/>
      <c r="E34" s="517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2"/>
      <c r="Y34" s="120"/>
    </row>
    <row r="35" spans="2:25">
      <c r="B35" s="121"/>
      <c r="C35" s="517"/>
      <c r="D35" s="517"/>
      <c r="E35" s="517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2"/>
      <c r="Y35" s="120"/>
    </row>
    <row r="36" spans="2:25">
      <c r="B36" s="121"/>
      <c r="C36" s="517"/>
      <c r="D36" s="517"/>
      <c r="E36" s="517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2"/>
      <c r="Y36" s="120"/>
    </row>
    <row r="37" spans="2:25">
      <c r="B37" s="121"/>
      <c r="C37" s="517"/>
      <c r="D37" s="517"/>
      <c r="E37" s="517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2"/>
      <c r="Y37" s="120"/>
    </row>
    <row r="38" spans="2:25" ht="15">
      <c r="B38" s="121"/>
      <c r="C38" s="517"/>
      <c r="D38" s="517"/>
      <c r="E38" s="517"/>
      <c r="F38" s="696" t="str">
        <f>'2.1.FDGL-US'!M8</f>
        <v>Dr. Rushil Shah</v>
      </c>
      <c r="G38" s="517"/>
      <c r="H38" s="128"/>
      <c r="I38" s="1299" t="s">
        <v>998</v>
      </c>
      <c r="J38" s="1299"/>
      <c r="K38" s="1299"/>
      <c r="L38" s="124"/>
      <c r="M38" s="124"/>
      <c r="N38" s="124"/>
      <c r="O38" s="1299" t="str">
        <f>IF(ISBLANK(S38),"",INDEX(List!$AQ$2:$AQ$4,MATCH($S38,List!$AO$2:$AO$4,0)))</f>
        <v>Mr. Ramesh Pimple</v>
      </c>
      <c r="P38" s="1299" t="e">
        <f>IF(ISBLANK(Q38),"",INDEX(List!$AP$2:$AP$4,MATCH($C38,List!$AO$2:$AO$4,0)))</f>
        <v>#N/A</v>
      </c>
      <c r="Q38" s="1299" t="e">
        <f>IF(ISBLANK(R38),"",INDEX(List!$AP$2:$AP$4,MATCH($C38,List!$AO$2:$AO$4,0)))</f>
        <v>#N/A</v>
      </c>
      <c r="R38" s="1299" t="e">
        <f>IF(ISBLANK(S38),"",INDEX(List!$AP$2:$AP$4,MATCH($C38,List!$AO$2:$AO$4,0)))</f>
        <v>#N/A</v>
      </c>
      <c r="S38" s="701" t="s">
        <v>756</v>
      </c>
      <c r="T38" s="1299" t="s">
        <v>1016</v>
      </c>
      <c r="U38" s="1299"/>
      <c r="V38" s="1299"/>
      <c r="W38" s="124"/>
      <c r="X38" s="122"/>
      <c r="Y38" s="120"/>
    </row>
    <row r="39" spans="2:25">
      <c r="B39" s="121"/>
      <c r="C39" s="129"/>
      <c r="D39" s="129"/>
      <c r="E39" s="129"/>
      <c r="F39" s="697" t="s">
        <v>183</v>
      </c>
      <c r="G39" s="128"/>
      <c r="H39" s="128"/>
      <c r="I39" s="1299" t="s">
        <v>148</v>
      </c>
      <c r="J39" s="1299"/>
      <c r="K39" s="1299"/>
      <c r="L39" s="124"/>
      <c r="M39" s="124"/>
      <c r="N39" s="124"/>
      <c r="O39" s="1299" t="s">
        <v>1022</v>
      </c>
      <c r="P39" s="1299"/>
      <c r="Q39" s="1299"/>
      <c r="R39" s="1299"/>
      <c r="S39" s="124"/>
      <c r="T39" s="1299" t="s">
        <v>1023</v>
      </c>
      <c r="U39" s="1299"/>
      <c r="V39" s="1299"/>
      <c r="W39" s="124"/>
      <c r="X39" s="122"/>
      <c r="Y39" s="120"/>
    </row>
    <row r="40" spans="2:25" ht="13.5" thickBot="1">
      <c r="B40" s="130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2"/>
      <c r="Y40" s="120"/>
    </row>
    <row r="41" spans="2:25"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</row>
  </sheetData>
  <sheetProtection selectLockedCells="1"/>
  <mergeCells count="61">
    <mergeCell ref="C27:S27"/>
    <mergeCell ref="N9:W9"/>
    <mergeCell ref="S15:W15"/>
    <mergeCell ref="S14:W14"/>
    <mergeCell ref="S12:W12"/>
    <mergeCell ref="C9:L9"/>
    <mergeCell ref="D10:F10"/>
    <mergeCell ref="G10:L10"/>
    <mergeCell ref="D25:H25"/>
    <mergeCell ref="D24:H24"/>
    <mergeCell ref="D23:H23"/>
    <mergeCell ref="D22:H22"/>
    <mergeCell ref="J22:W22"/>
    <mergeCell ref="J23:W23"/>
    <mergeCell ref="J24:W24"/>
    <mergeCell ref="O19:R19"/>
    <mergeCell ref="O15:R15"/>
    <mergeCell ref="O14:R14"/>
    <mergeCell ref="O13:R13"/>
    <mergeCell ref="O12:R12"/>
    <mergeCell ref="C3:W3"/>
    <mergeCell ref="D15:F15"/>
    <mergeCell ref="D14:F14"/>
    <mergeCell ref="G14:L14"/>
    <mergeCell ref="G15:L15"/>
    <mergeCell ref="L7:N7"/>
    <mergeCell ref="L6:N6"/>
    <mergeCell ref="D13:F13"/>
    <mergeCell ref="H6:J6"/>
    <mergeCell ref="G12:L12"/>
    <mergeCell ref="G13:L13"/>
    <mergeCell ref="Q5:W5"/>
    <mergeCell ref="O11:R11"/>
    <mergeCell ref="O10:R10"/>
    <mergeCell ref="F5:O5"/>
    <mergeCell ref="H7:J7"/>
    <mergeCell ref="D12:F12"/>
    <mergeCell ref="D11:F11"/>
    <mergeCell ref="G11:L11"/>
    <mergeCell ref="Q6:W7"/>
    <mergeCell ref="V17:W17"/>
    <mergeCell ref="V18:W18"/>
    <mergeCell ref="O18:R18"/>
    <mergeCell ref="J25:W25"/>
    <mergeCell ref="O17:R17"/>
    <mergeCell ref="C21:W21"/>
    <mergeCell ref="V19:W19"/>
    <mergeCell ref="D16:E18"/>
    <mergeCell ref="D19:F19"/>
    <mergeCell ref="C16:C18"/>
    <mergeCell ref="I16:J16"/>
    <mergeCell ref="I17:J17"/>
    <mergeCell ref="I18:J18"/>
    <mergeCell ref="G19:L19"/>
    <mergeCell ref="V16:W16"/>
    <mergeCell ref="T39:V39"/>
    <mergeCell ref="I38:K38"/>
    <mergeCell ref="I39:K39"/>
    <mergeCell ref="T38:V38"/>
    <mergeCell ref="O39:R39"/>
    <mergeCell ref="O38:R38"/>
  </mergeCells>
  <printOptions horizontalCentered="1" verticalCentered="1"/>
  <pageMargins left="0.25" right="0.25" top="0.75" bottom="0.75" header="0.3" footer="0.3"/>
  <pageSetup paperSize="9" scale="76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4840306C-0291-4041-BACC-39919F36E4FE}">
            <xm:f>'1.PM'!$C$8=TRUE</xm:f>
            <x14:dxf>
              <font>
                <color auto="1"/>
              </font>
            </x14:dxf>
          </x14:cfRule>
          <xm:sqref>S10</xm:sqref>
        </x14:conditionalFormatting>
        <x14:conditionalFormatting xmlns:xm="http://schemas.microsoft.com/office/excel/2006/main">
          <x14:cfRule type="expression" priority="9" id="{6413FFF9-112A-4DFC-BADE-0F31440BE62F}">
            <xm:f>'1.PM'!$D$8=TRUE</xm:f>
            <x14:dxf>
              <font>
                <color auto="1"/>
              </font>
            </x14:dxf>
          </x14:cfRule>
          <xm:sqref>T10</xm:sqref>
        </x14:conditionalFormatting>
        <x14:conditionalFormatting xmlns:xm="http://schemas.microsoft.com/office/excel/2006/main">
          <x14:cfRule type="expression" priority="8" id="{A23CBE32-5716-4F17-9052-DE96E5CA387A}">
            <xm:f>'1.PM'!$E$8=TRUE</xm:f>
            <x14:dxf>
              <font>
                <color auto="1"/>
              </font>
            </x14:dxf>
          </x14:cfRule>
          <xm:sqref>U10</xm:sqref>
        </x14:conditionalFormatting>
        <x14:conditionalFormatting xmlns:xm="http://schemas.microsoft.com/office/excel/2006/main">
          <x14:cfRule type="expression" priority="7" id="{C5789E16-A13B-4043-9B87-379567B842E5}">
            <xm:f>'1.PM'!$F$8=TRUE</xm:f>
            <x14:dxf>
              <font>
                <color auto="1"/>
              </font>
            </x14:dxf>
          </x14:cfRule>
          <xm:sqref>V10</xm:sqref>
        </x14:conditionalFormatting>
        <x14:conditionalFormatting xmlns:xm="http://schemas.microsoft.com/office/excel/2006/main">
          <x14:cfRule type="expression" priority="6" id="{B5A100EC-9E0E-4411-9CCA-1C6E8B11C5C2}">
            <xm:f>'1.PM'!$G$8=TRUE</xm:f>
            <x14:dxf>
              <font>
                <color auto="1"/>
              </font>
            </x14:dxf>
          </x14:cfRule>
          <xm:sqref>W10</xm:sqref>
        </x14:conditionalFormatting>
        <x14:conditionalFormatting xmlns:xm="http://schemas.microsoft.com/office/excel/2006/main">
          <x14:cfRule type="expression" priority="5" id="{BB4A50E5-5B8D-4BA4-98ED-089C8A4EEC3C}">
            <xm:f>'1.PM'!$C$8=TRUE</xm:f>
            <x14:dxf>
              <font>
                <color auto="1"/>
              </font>
            </x14:dxf>
          </x14:cfRule>
          <xm:sqref>G16</xm:sqref>
        </x14:conditionalFormatting>
        <x14:conditionalFormatting xmlns:xm="http://schemas.microsoft.com/office/excel/2006/main">
          <x14:cfRule type="expression" priority="4" id="{2FE18507-7246-409A-980F-205785439C64}">
            <xm:f>'1.PM'!$D$8=TRUE</xm:f>
            <x14:dxf>
              <font>
                <color auto="1"/>
              </font>
            </x14:dxf>
          </x14:cfRule>
          <xm:sqref>H16</xm:sqref>
        </x14:conditionalFormatting>
        <x14:conditionalFormatting xmlns:xm="http://schemas.microsoft.com/office/excel/2006/main">
          <x14:cfRule type="expression" priority="3" id="{777B2722-A2D6-41B7-A674-AB07C479F5B4}">
            <xm:f>'1.PM'!$E$8=TRUE</xm:f>
            <x14:dxf>
              <font>
                <color auto="1"/>
              </font>
            </x14:dxf>
          </x14:cfRule>
          <xm:sqref>I16:J16</xm:sqref>
        </x14:conditionalFormatting>
        <x14:conditionalFormatting xmlns:xm="http://schemas.microsoft.com/office/excel/2006/main">
          <x14:cfRule type="expression" priority="2" id="{93576648-4CBA-487C-962F-79FECCE9F97F}">
            <xm:f>'1.PM'!$F$8=TRUE</xm:f>
            <x14:dxf>
              <font>
                <color auto="1"/>
              </font>
            </x14:dxf>
          </x14:cfRule>
          <xm:sqref>K16</xm:sqref>
        </x14:conditionalFormatting>
        <x14:conditionalFormatting xmlns:xm="http://schemas.microsoft.com/office/excel/2006/main">
          <x14:cfRule type="expression" priority="1" id="{75A3FCEA-73C0-4AF5-8446-E0DD30E35DAF}">
            <xm:f>'1.PM'!$G$8=TRUE</xm:f>
            <x14:dxf>
              <font>
                <color auto="1"/>
              </font>
            </x14:dxf>
          </x14:cfRule>
          <xm:sqref>L16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List!$AO$2:$AO$4</xm:f>
          </x14:formula1>
          <xm:sqref>S38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3" tint="0.39997558519241921"/>
    <pageSetUpPr fitToPage="1"/>
  </sheetPr>
  <dimension ref="B1:R64"/>
  <sheetViews>
    <sheetView showGridLines="0" showZeros="0" zoomScale="50" zoomScaleNormal="50" zoomScaleSheetLayoutView="100" workbookViewId="0">
      <selection activeCell="C13" sqref="C13"/>
    </sheetView>
  </sheetViews>
  <sheetFormatPr defaultColWidth="9.140625" defaultRowHeight="12.75"/>
  <cols>
    <col min="1" max="1" width="2.85546875" style="23" customWidth="1"/>
    <col min="2" max="2" width="3.7109375" style="23" customWidth="1"/>
    <col min="3" max="3" width="37.28515625" style="23" customWidth="1"/>
    <col min="4" max="4" width="16.28515625" style="23" customWidth="1"/>
    <col min="5" max="5" width="28.85546875" style="23" customWidth="1"/>
    <col min="6" max="6" width="22.5703125" style="23" customWidth="1"/>
    <col min="7" max="7" width="26" style="23" customWidth="1"/>
    <col min="8" max="8" width="30" style="23" customWidth="1"/>
    <col min="9" max="9" width="11.7109375" style="23" customWidth="1"/>
    <col min="10" max="10" width="37.42578125" style="23" bestFit="1" customWidth="1"/>
    <col min="11" max="11" width="12.7109375" style="23" customWidth="1"/>
    <col min="12" max="12" width="31.7109375" style="23" bestFit="1" customWidth="1"/>
    <col min="13" max="13" width="22" style="23" bestFit="1" customWidth="1"/>
    <col min="14" max="14" width="19.7109375" style="23" customWidth="1"/>
    <col min="15" max="15" width="20.42578125" style="23" customWidth="1"/>
    <col min="16" max="16" width="20.7109375" style="23" customWidth="1"/>
    <col min="17" max="17" width="3.7109375" style="23" customWidth="1"/>
    <col min="18" max="18" width="3.5703125" style="23" customWidth="1"/>
    <col min="19" max="16384" width="9.140625" style="23"/>
  </cols>
  <sheetData>
    <row r="1" spans="2:18" ht="13.5" thickBot="1"/>
    <row r="2" spans="2:18" ht="20.25">
      <c r="B2" s="117"/>
      <c r="C2" s="799"/>
      <c r="D2" s="799"/>
      <c r="E2" s="799"/>
      <c r="F2" s="799"/>
      <c r="G2" s="799"/>
      <c r="H2" s="799"/>
      <c r="I2" s="799"/>
      <c r="J2" s="799"/>
      <c r="K2" s="799"/>
      <c r="L2" s="799"/>
      <c r="M2" s="799"/>
      <c r="N2" s="799"/>
      <c r="O2" s="799"/>
      <c r="P2" s="799"/>
      <c r="Q2" s="800"/>
      <c r="R2" s="120"/>
    </row>
    <row r="3" spans="2:18" ht="20.25">
      <c r="B3" s="121"/>
      <c r="C3" s="1332" t="s">
        <v>1074</v>
      </c>
      <c r="D3" s="1333"/>
      <c r="E3" s="1333"/>
      <c r="F3" s="1333"/>
      <c r="G3" s="1333"/>
      <c r="H3" s="1333"/>
      <c r="I3" s="1333"/>
      <c r="J3" s="1333"/>
      <c r="K3" s="1333"/>
      <c r="L3" s="1333"/>
      <c r="M3" s="1333"/>
      <c r="N3" s="1333"/>
      <c r="O3" s="1333"/>
      <c r="P3" s="1333"/>
      <c r="Q3" s="801"/>
      <c r="R3" s="120"/>
    </row>
    <row r="4" spans="2:18" ht="21" thickBot="1">
      <c r="B4" s="121"/>
      <c r="C4" s="802"/>
      <c r="D4" s="802"/>
      <c r="E4" s="802"/>
      <c r="F4" s="802"/>
      <c r="G4" s="802"/>
      <c r="H4" s="802"/>
      <c r="I4" s="802"/>
      <c r="J4" s="802"/>
      <c r="K4" s="802"/>
      <c r="L4" s="802"/>
      <c r="M4" s="802"/>
      <c r="N4" s="802"/>
      <c r="O4" s="802"/>
      <c r="P4" s="802"/>
      <c r="Q4" s="801"/>
      <c r="R4" s="120"/>
    </row>
    <row r="5" spans="2:18" ht="20.25">
      <c r="B5" s="121"/>
      <c r="C5" s="803" t="s">
        <v>132</v>
      </c>
      <c r="D5" s="1416" t="str">
        <f>'1.PM'!C3</f>
        <v>Levetiracetam Tablets</v>
      </c>
      <c r="E5" s="1416"/>
      <c r="F5" s="1416"/>
      <c r="G5" s="1416"/>
      <c r="H5" s="1416"/>
      <c r="I5" s="1416"/>
      <c r="J5" s="1416"/>
      <c r="K5" s="1416"/>
      <c r="L5" s="1416"/>
      <c r="M5" s="1416"/>
      <c r="N5" s="1416"/>
      <c r="O5" s="1416"/>
      <c r="P5" s="1417"/>
      <c r="Q5" s="801"/>
      <c r="R5" s="120"/>
    </row>
    <row r="6" spans="2:18" ht="34.5" customHeight="1">
      <c r="B6" s="121"/>
      <c r="C6" s="804" t="s">
        <v>924</v>
      </c>
      <c r="D6" s="805" t="str">
        <f>'2.1.FDGL-US'!D4</f>
        <v>250 mg</v>
      </c>
      <c r="E6" s="806" t="str">
        <f>'2.1.FDGL-US'!E4</f>
        <v>500 mg</v>
      </c>
      <c r="F6" s="806" t="str">
        <f>'2.1.FDGL-US'!F4</f>
        <v>750 mg</v>
      </c>
      <c r="G6" s="806" t="str">
        <f>'2.1.FDGL-US'!G4</f>
        <v>1000 mg</v>
      </c>
      <c r="H6" s="806" t="str">
        <f>'2.1.FDGL-US'!H4</f>
        <v/>
      </c>
      <c r="I6" s="806" t="str">
        <f>'2.1.FDGL-US'!I4</f>
        <v/>
      </c>
      <c r="J6" s="806" t="str">
        <f>'2.1.FDGL-US'!J4</f>
        <v/>
      </c>
      <c r="K6" s="806" t="str">
        <f>'2.1.FDGL-US'!K4</f>
        <v/>
      </c>
      <c r="L6" s="806" t="str">
        <f>'2.1.FDGL-US'!L4</f>
        <v/>
      </c>
      <c r="M6" s="806" t="str">
        <f>'2.1.FDGL-US'!M4</f>
        <v/>
      </c>
      <c r="N6" s="806"/>
      <c r="O6" s="806" t="str">
        <f>'2.1.FDGL-US'!N4</f>
        <v/>
      </c>
      <c r="P6" s="807" t="str">
        <f>'2.1.FDGL-US'!O4</f>
        <v/>
      </c>
      <c r="Q6" s="801"/>
      <c r="R6" s="120"/>
    </row>
    <row r="7" spans="2:18" ht="29.25" customHeight="1" thickBot="1">
      <c r="B7" s="121"/>
      <c r="C7" s="808" t="s">
        <v>925</v>
      </c>
      <c r="D7" s="809" t="str">
        <f>'2.1.FDGL-US'!D5</f>
        <v/>
      </c>
      <c r="E7" s="809" t="str">
        <f>'2.1.FDGL-US'!E5</f>
        <v/>
      </c>
      <c r="F7" s="809" t="str">
        <f>'2.1.FDGL-US'!F5</f>
        <v/>
      </c>
      <c r="G7" s="809" t="str">
        <f>'2.1.FDGL-US'!G5</f>
        <v/>
      </c>
      <c r="H7" s="809" t="str">
        <f>'2.1.FDGL-US'!H5</f>
        <v/>
      </c>
      <c r="I7" s="809" t="str">
        <f>'2.1.FDGL-US'!I5</f>
        <v/>
      </c>
      <c r="J7" s="809" t="str">
        <f>'2.1.FDGL-US'!J5</f>
        <v/>
      </c>
      <c r="K7" s="809" t="str">
        <f>'2.1.FDGL-US'!K5</f>
        <v/>
      </c>
      <c r="L7" s="809" t="str">
        <f>'2.1.FDGL-US'!L5</f>
        <v/>
      </c>
      <c r="M7" s="809" t="str">
        <f>'2.1.FDGL-US'!M5</f>
        <v/>
      </c>
      <c r="N7" s="809"/>
      <c r="O7" s="809" t="str">
        <f>'2.1.FDGL-US'!N5</f>
        <v/>
      </c>
      <c r="P7" s="810" t="str">
        <f>'2.1.FDGL-US'!O5</f>
        <v/>
      </c>
      <c r="Q7" s="801"/>
      <c r="R7" s="120"/>
    </row>
    <row r="8" spans="2:18" ht="21" thickBot="1">
      <c r="B8" s="121"/>
      <c r="C8" s="811"/>
      <c r="D8" s="812"/>
      <c r="E8" s="812"/>
      <c r="F8" s="812"/>
      <c r="G8" s="812"/>
      <c r="H8" s="812"/>
      <c r="I8" s="812"/>
      <c r="J8" s="812"/>
      <c r="K8" s="812"/>
      <c r="L8" s="812"/>
      <c r="M8" s="812"/>
      <c r="N8" s="812"/>
      <c r="O8" s="812"/>
      <c r="P8" s="812"/>
      <c r="Q8" s="801"/>
      <c r="R8" s="120"/>
    </row>
    <row r="9" spans="2:18" ht="21" thickBot="1">
      <c r="B9" s="121"/>
      <c r="C9" s="1430" t="s">
        <v>175</v>
      </c>
      <c r="D9" s="1431"/>
      <c r="E9" s="1431"/>
      <c r="F9" s="1431"/>
      <c r="G9" s="1431"/>
      <c r="H9" s="1432"/>
      <c r="I9" s="812"/>
      <c r="J9" s="1368" t="s">
        <v>167</v>
      </c>
      <c r="K9" s="1369"/>
      <c r="L9" s="1369"/>
      <c r="M9" s="1369"/>
      <c r="N9" s="1369"/>
      <c r="O9" s="1369"/>
      <c r="P9" s="1370"/>
      <c r="Q9" s="801"/>
      <c r="R9" s="120"/>
    </row>
    <row r="10" spans="2:18" ht="20.25">
      <c r="B10" s="121"/>
      <c r="C10" s="813" t="s">
        <v>926</v>
      </c>
      <c r="D10" s="814"/>
      <c r="E10" s="815" t="s">
        <v>154</v>
      </c>
      <c r="F10" s="815" t="s">
        <v>414</v>
      </c>
      <c r="G10" s="815" t="s">
        <v>32</v>
      </c>
      <c r="H10" s="816" t="s">
        <v>205</v>
      </c>
      <c r="I10" s="812"/>
      <c r="J10" s="1420" t="s">
        <v>98</v>
      </c>
      <c r="K10" s="1421"/>
      <c r="L10" s="817" t="str">
        <f>'1.PM'!$C$7</f>
        <v>US</v>
      </c>
      <c r="M10" s="818" t="str">
        <f>'1.PM'!$D$7</f>
        <v>EU</v>
      </c>
      <c r="N10" s="818" t="str">
        <f>'1.PM'!$E$7</f>
        <v>Canada</v>
      </c>
      <c r="O10" s="818" t="str">
        <f>'1.PM'!$F$7</f>
        <v>ROW</v>
      </c>
      <c r="P10" s="819" t="str">
        <f>'1.PM'!$G$7</f>
        <v>DOM</v>
      </c>
      <c r="Q10" s="801"/>
      <c r="R10" s="120"/>
    </row>
    <row r="11" spans="2:18" ht="20.25">
      <c r="B11" s="121"/>
      <c r="C11" s="820" t="s">
        <v>159</v>
      </c>
      <c r="D11" s="821"/>
      <c r="E11" s="822">
        <f>'2.1.FDGL-US'!P370/100000</f>
        <v>10.605600000000001</v>
      </c>
      <c r="F11" s="822">
        <f>'2.1.FDGL-US'!P371/100000</f>
        <v>0.432</v>
      </c>
      <c r="G11" s="822">
        <f>'2.1.FDGL-US'!P372/100000</f>
        <v>30.888000000000002</v>
      </c>
      <c r="H11" s="823">
        <f t="shared" ref="H11:H20" si="0">SUM(E11:G11)</f>
        <v>41.925600000000003</v>
      </c>
      <c r="I11" s="812"/>
      <c r="J11" s="1399" t="s">
        <v>101</v>
      </c>
      <c r="K11" s="1400"/>
      <c r="L11" s="1427" t="str">
        <f>'1.PM'!F16</f>
        <v>Emcure</v>
      </c>
      <c r="M11" s="1428"/>
      <c r="N11" s="1428"/>
      <c r="O11" s="1428"/>
      <c r="P11" s="1429"/>
      <c r="Q11" s="801"/>
      <c r="R11" s="120"/>
    </row>
    <row r="12" spans="2:18" ht="20.25">
      <c r="B12" s="121"/>
      <c r="C12" s="820" t="s">
        <v>766</v>
      </c>
      <c r="D12" s="821"/>
      <c r="E12" s="822">
        <f>('2.1.FDGL-US'!P31+'2.1.FDGL-US'!P42+'2.1.FDGL-US'!P53+'2.1.FDGL-US'!P64+'2.1.FDGL-US'!P127+'2.1.FDGL-US'!P188+'2.1.FDGL-US'!P135)/100000</f>
        <v>4.8458253749999995</v>
      </c>
      <c r="F12" s="822">
        <f>('2.1.FDGL-US'!P32+'2.1.FDGL-US'!P43+'2.1.FDGL-US'!P54+'2.1.FDGL-US'!P65+'2.1.FDGL-US'!P128+'2.1.FDGL-US'!P189+'2.1.FDGL-US'!P136)/100000</f>
        <v>9.6622507500000001</v>
      </c>
      <c r="G12" s="822">
        <f>('2.1.FDGL-US'!P33+'2.1.FDGL-US'!P44+'2.1.FDGL-US'!P55+'2.1.FDGL-US'!P66+'2.1.FDGL-US'!P129+'2.1.FDGL-US'!P190+'2.1.FDGL-US'!P137)/100000</f>
        <v>33.907277325000003</v>
      </c>
      <c r="H12" s="823">
        <f t="shared" si="0"/>
        <v>48.415353449999998</v>
      </c>
      <c r="I12" s="802"/>
      <c r="J12" s="1399" t="s">
        <v>84</v>
      </c>
      <c r="K12" s="1400"/>
      <c r="L12" s="1424" t="str">
        <f>'2.1.FDGL-US'!M8</f>
        <v>Dr. Rushil Shah</v>
      </c>
      <c r="M12" s="1425"/>
      <c r="N12" s="1425"/>
      <c r="O12" s="1425"/>
      <c r="P12" s="1426"/>
      <c r="Q12" s="801"/>
      <c r="R12" s="120"/>
    </row>
    <row r="13" spans="2:18" ht="20.25">
      <c r="B13" s="121"/>
      <c r="C13" s="820" t="s">
        <v>160</v>
      </c>
      <c r="D13" s="821"/>
      <c r="E13" s="822">
        <v>0</v>
      </c>
      <c r="F13" s="822">
        <f>('2.1.FDGL-US'!P352*'2.1.FDGL-US'!O351)/100000</f>
        <v>6.72</v>
      </c>
      <c r="G13" s="822">
        <f>('2.1.FDGL-US'!P353*'2.1.FDGL-US'!O351)/100000</f>
        <v>20.16</v>
      </c>
      <c r="H13" s="823">
        <f t="shared" si="0"/>
        <v>26.88</v>
      </c>
      <c r="I13" s="802"/>
      <c r="J13" s="1399" t="s">
        <v>130</v>
      </c>
      <c r="K13" s="1400"/>
      <c r="L13" s="824">
        <f>'2.1.FDGL-US'!D8</f>
        <v>3</v>
      </c>
      <c r="M13" s="825" t="s">
        <v>765</v>
      </c>
      <c r="N13" s="825"/>
      <c r="O13" s="826"/>
      <c r="P13" s="827"/>
      <c r="Q13" s="801"/>
      <c r="R13" s="120"/>
    </row>
    <row r="14" spans="2:18" ht="21" thickBot="1">
      <c r="B14" s="121"/>
      <c r="C14" s="820" t="s">
        <v>917</v>
      </c>
      <c r="D14" s="821"/>
      <c r="E14" s="822">
        <f>('2.1.FDGL-US'!P277)/100000</f>
        <v>0</v>
      </c>
      <c r="F14" s="822">
        <v>0</v>
      </c>
      <c r="G14" s="822">
        <f>('2.1.FDGL-US'!P281)/100000</f>
        <v>3</v>
      </c>
      <c r="H14" s="823">
        <f>SUM(E14:G14)</f>
        <v>3</v>
      </c>
      <c r="I14" s="802"/>
      <c r="J14" s="1439" t="s">
        <v>173</v>
      </c>
      <c r="K14" s="1440"/>
      <c r="L14" s="828">
        <f>'2.1.FDGL-US'!Q370</f>
        <v>308</v>
      </c>
      <c r="M14" s="829"/>
      <c r="N14" s="829"/>
      <c r="O14" s="829"/>
      <c r="P14" s="830"/>
      <c r="Q14" s="801"/>
      <c r="R14" s="120"/>
    </row>
    <row r="15" spans="2:18" ht="20.25">
      <c r="B15" s="121"/>
      <c r="C15" s="820" t="s">
        <v>931</v>
      </c>
      <c r="D15" s="821"/>
      <c r="E15" s="822">
        <f>'2.1.FDGL-US'!P268/100000</f>
        <v>12.63</v>
      </c>
      <c r="F15" s="822">
        <f>'2.1.FDGL-US'!P269/100000</f>
        <v>7.15</v>
      </c>
      <c r="G15" s="822">
        <f>('2.1.FDGL-US'!P270)/100000+('2.1.FDGL-US'!P266)/100000</f>
        <v>31.03</v>
      </c>
      <c r="H15" s="823">
        <f t="shared" si="0"/>
        <v>50.81</v>
      </c>
      <c r="I15" s="802"/>
      <c r="J15" s="1448" t="s">
        <v>207</v>
      </c>
      <c r="K15" s="1449"/>
      <c r="L15" s="831" t="str">
        <f>'1.PM'!L10</f>
        <v>Levetiracetam Tablets</v>
      </c>
      <c r="M15" s="832"/>
      <c r="N15" s="833">
        <f>'1.PM'!N10</f>
        <v>0</v>
      </c>
      <c r="O15" s="1456">
        <f>'1.PM'!O10</f>
        <v>0</v>
      </c>
      <c r="P15" s="1457"/>
      <c r="Q15" s="801"/>
      <c r="R15" s="120"/>
    </row>
    <row r="16" spans="2:18" ht="20.25">
      <c r="B16" s="121"/>
      <c r="C16" s="820" t="s">
        <v>1073</v>
      </c>
      <c r="D16" s="821"/>
      <c r="E16" s="822">
        <f>('2.1.FDGL-US'!P301)/100000</f>
        <v>20</v>
      </c>
      <c r="F16" s="822">
        <v>0</v>
      </c>
      <c r="G16" s="822">
        <f>('2.1.FDGL-US'!P315)/100000</f>
        <v>0</v>
      </c>
      <c r="H16" s="823">
        <f t="shared" si="0"/>
        <v>20</v>
      </c>
      <c r="I16" s="802"/>
      <c r="J16" s="1450" t="s">
        <v>869</v>
      </c>
      <c r="K16" s="1451"/>
      <c r="L16" s="834" t="str">
        <f>'1.PM'!L11</f>
        <v>Outsourced</v>
      </c>
      <c r="M16" s="835">
        <f>'1.PM'!M11</f>
        <v>0</v>
      </c>
      <c r="N16" s="836">
        <f>'1.PM'!N11</f>
        <v>0</v>
      </c>
      <c r="O16" s="1454">
        <f>'1.PM'!O11</f>
        <v>0</v>
      </c>
      <c r="P16" s="1455"/>
      <c r="Q16" s="801"/>
      <c r="R16" s="120"/>
    </row>
    <row r="17" spans="2:18" ht="20.25">
      <c r="B17" s="121"/>
      <c r="C17" s="1433" t="s">
        <v>930</v>
      </c>
      <c r="D17" s="1434"/>
      <c r="E17" s="822">
        <f>'2.1.FDGL-US'!P328/100000</f>
        <v>0</v>
      </c>
      <c r="F17" s="822">
        <f>('2.1.FDGL-US'!P337)/100000</f>
        <v>5.64</v>
      </c>
      <c r="G17" s="822">
        <v>0</v>
      </c>
      <c r="H17" s="823">
        <f t="shared" si="0"/>
        <v>5.64</v>
      </c>
      <c r="I17" s="802"/>
      <c r="J17" s="1450" t="s">
        <v>208</v>
      </c>
      <c r="K17" s="1451"/>
      <c r="L17" s="837">
        <f>'1.PM'!O32</f>
        <v>0</v>
      </c>
      <c r="M17" s="835">
        <f>'1.PM'!O33</f>
        <v>0</v>
      </c>
      <c r="N17" s="836">
        <f>'1.PM'!O34</f>
        <v>0</v>
      </c>
      <c r="O17" s="1454">
        <f>'1.PM'!O35</f>
        <v>0</v>
      </c>
      <c r="P17" s="1455"/>
      <c r="Q17" s="801"/>
      <c r="R17" s="120"/>
    </row>
    <row r="18" spans="2:18" ht="20.25">
      <c r="B18" s="121"/>
      <c r="C18" s="1437" t="s">
        <v>929</v>
      </c>
      <c r="D18" s="1438"/>
      <c r="E18" s="822">
        <f>'2.1.FDGL-US'!P349/100000</f>
        <v>2</v>
      </c>
      <c r="F18" s="822">
        <v>0</v>
      </c>
      <c r="G18" s="822">
        <v>0</v>
      </c>
      <c r="H18" s="823">
        <f t="shared" si="0"/>
        <v>2</v>
      </c>
      <c r="I18" s="802"/>
      <c r="J18" s="1452" t="s">
        <v>1028</v>
      </c>
      <c r="K18" s="1453"/>
      <c r="L18" s="1458">
        <f>'2.1.FDGL-US'!O25</f>
        <v>3600</v>
      </c>
      <c r="M18" s="1459"/>
      <c r="N18" s="1459"/>
      <c r="O18" s="1459"/>
      <c r="P18" s="1460"/>
      <c r="Q18" s="801"/>
      <c r="R18" s="120"/>
    </row>
    <row r="19" spans="2:18" ht="20.25">
      <c r="B19" s="121"/>
      <c r="C19" s="1435" t="s">
        <v>162</v>
      </c>
      <c r="D19" s="1436"/>
      <c r="E19" s="838">
        <v>0</v>
      </c>
      <c r="F19" s="838">
        <v>0</v>
      </c>
      <c r="G19" s="838">
        <f>('2.1.FDGL-US'!P382)/100000</f>
        <v>0</v>
      </c>
      <c r="H19" s="839">
        <f t="shared" si="0"/>
        <v>0</v>
      </c>
      <c r="I19" s="802"/>
      <c r="J19" s="1418" t="s">
        <v>1029</v>
      </c>
      <c r="K19" s="1419"/>
      <c r="L19" s="840" t="str">
        <f>'1.PM'!L10</f>
        <v>Levetiracetam Tablets</v>
      </c>
      <c r="M19" s="841"/>
      <c r="N19" s="842">
        <f>'1.PM'!N10</f>
        <v>0</v>
      </c>
      <c r="O19" s="1422">
        <f>'1.PM'!O10</f>
        <v>0</v>
      </c>
      <c r="P19" s="1423"/>
      <c r="Q19" s="801"/>
      <c r="R19" s="120"/>
    </row>
    <row r="20" spans="2:18" ht="20.25">
      <c r="B20" s="121"/>
      <c r="C20" s="1371" t="s">
        <v>1017</v>
      </c>
      <c r="D20" s="1372"/>
      <c r="E20" s="1375">
        <f>SUM(E11:E19)</f>
        <v>50.081425375000002</v>
      </c>
      <c r="F20" s="1377">
        <f>SUM(F11:F19)</f>
        <v>29.604250749999999</v>
      </c>
      <c r="G20" s="1377">
        <f>SUM(G11:G19)</f>
        <v>118.985277325</v>
      </c>
      <c r="H20" s="1379">
        <f t="shared" si="0"/>
        <v>198.67095345000001</v>
      </c>
      <c r="I20" s="802"/>
      <c r="J20" s="1399" t="s">
        <v>154</v>
      </c>
      <c r="K20" s="1400"/>
      <c r="L20" s="843">
        <f>'2.1.FDGL-US'!P26</f>
        <v>125</v>
      </c>
      <c r="M20" s="844">
        <f>'2.1.FDGL-US'!P37</f>
        <v>0</v>
      </c>
      <c r="N20" s="844">
        <f>'2.1.FDGL-US'!P48</f>
        <v>0</v>
      </c>
      <c r="O20" s="1473">
        <f>'2.1.FDGL-US'!P59</f>
        <v>0</v>
      </c>
      <c r="P20" s="1474"/>
      <c r="Q20" s="801"/>
      <c r="R20" s="120"/>
    </row>
    <row r="21" spans="2:18" ht="21" thickBot="1">
      <c r="B21" s="121"/>
      <c r="C21" s="1373"/>
      <c r="D21" s="1374"/>
      <c r="E21" s="1376"/>
      <c r="F21" s="1378"/>
      <c r="G21" s="1378"/>
      <c r="H21" s="1380"/>
      <c r="I21" s="802"/>
      <c r="J21" s="1399" t="s">
        <v>155</v>
      </c>
      <c r="K21" s="1400"/>
      <c r="L21" s="843">
        <f>'2.1.FDGL-US'!P27</f>
        <v>250</v>
      </c>
      <c r="M21" s="835">
        <f>'2.1.FDGL-US'!P38</f>
        <v>0</v>
      </c>
      <c r="N21" s="835">
        <f>'2.1.FDGL-US'!P49</f>
        <v>0</v>
      </c>
      <c r="O21" s="1473">
        <f>'2.1.FDGL-US'!P60</f>
        <v>0</v>
      </c>
      <c r="P21" s="1474"/>
      <c r="Q21" s="801"/>
      <c r="R21" s="120"/>
    </row>
    <row r="22" spans="2:18" ht="21" thickBot="1">
      <c r="B22" s="121"/>
      <c r="C22" s="845"/>
      <c r="D22" s="845"/>
      <c r="E22" s="846"/>
      <c r="F22" s="846"/>
      <c r="G22" s="846"/>
      <c r="H22" s="846"/>
      <c r="I22" s="802"/>
      <c r="J22" s="1439" t="s">
        <v>32</v>
      </c>
      <c r="K22" s="1440"/>
      <c r="L22" s="847">
        <f>SUM('2.1.FDGL-US'!P28:P30)</f>
        <v>775</v>
      </c>
      <c r="M22" s="848">
        <f>SUM('2.1.FDGL-US'!P39:P41)</f>
        <v>0</v>
      </c>
      <c r="N22" s="848">
        <f>SUM('2.1.FDGL-US'!P50:P52)</f>
        <v>0</v>
      </c>
      <c r="O22" s="1475">
        <f>SUM('2.1.FDGL-US'!P61:P63)</f>
        <v>0</v>
      </c>
      <c r="P22" s="1476"/>
      <c r="Q22" s="801"/>
      <c r="R22" s="120"/>
    </row>
    <row r="23" spans="2:18" ht="21" thickBot="1">
      <c r="B23" s="121"/>
      <c r="C23" s="849"/>
      <c r="D23" s="849"/>
      <c r="E23" s="849"/>
      <c r="F23" s="849"/>
      <c r="G23" s="849"/>
      <c r="H23" s="849"/>
      <c r="I23" s="802"/>
      <c r="J23" s="850"/>
      <c r="K23" s="850"/>
      <c r="L23" s="850"/>
      <c r="M23" s="850"/>
      <c r="N23" s="850"/>
      <c r="O23" s="850"/>
      <c r="P23" s="850"/>
      <c r="Q23" s="801"/>
      <c r="R23" s="120"/>
    </row>
    <row r="24" spans="2:18" ht="21" thickBot="1">
      <c r="B24" s="121"/>
      <c r="C24" s="1368" t="s">
        <v>767</v>
      </c>
      <c r="D24" s="1369"/>
      <c r="E24" s="1369"/>
      <c r="F24" s="1369"/>
      <c r="G24" s="1369"/>
      <c r="H24" s="1370"/>
      <c r="I24" s="802"/>
      <c r="J24" s="1441" t="s">
        <v>769</v>
      </c>
      <c r="K24" s="1442"/>
      <c r="L24" s="1442"/>
      <c r="M24" s="1442"/>
      <c r="N24" s="1442"/>
      <c r="O24" s="1442"/>
      <c r="P24" s="1443"/>
      <c r="Q24" s="801"/>
      <c r="R24" s="120"/>
    </row>
    <row r="25" spans="2:18" ht="21" thickBot="1">
      <c r="B25" s="121"/>
      <c r="C25" s="1461" t="s">
        <v>1030</v>
      </c>
      <c r="D25" s="1462"/>
      <c r="E25" s="1368" t="s">
        <v>163</v>
      </c>
      <c r="F25" s="1370"/>
      <c r="G25" s="1368" t="s">
        <v>768</v>
      </c>
      <c r="H25" s="1370"/>
      <c r="I25" s="802"/>
      <c r="J25" s="1418" t="s">
        <v>170</v>
      </c>
      <c r="K25" s="1419"/>
      <c r="L25" s="1446" t="str">
        <f>'1.PM'!$C$7</f>
        <v>US</v>
      </c>
      <c r="M25" s="1446" t="str">
        <f>'1.PM'!$D$7</f>
        <v>EU</v>
      </c>
      <c r="N25" s="1446" t="str">
        <f>'1.PM'!$E$7</f>
        <v>Canada</v>
      </c>
      <c r="O25" s="1446" t="str">
        <f>'1.PM'!$F$7</f>
        <v>ROW</v>
      </c>
      <c r="P25" s="1444" t="str">
        <f>'1.PM'!$G$7</f>
        <v>DOM</v>
      </c>
      <c r="Q25" s="801"/>
      <c r="R25" s="120"/>
    </row>
    <row r="26" spans="2:18" ht="20.25">
      <c r="B26" s="121"/>
      <c r="C26" s="851" t="s">
        <v>164</v>
      </c>
      <c r="D26" s="852"/>
      <c r="E26" s="1385">
        <f>'2.1.FDGL-US'!R385</f>
        <v>2.549510259516797E-3</v>
      </c>
      <c r="F26" s="1386"/>
      <c r="G26" s="1381">
        <f>('2.1.FDGL-US'!Q385)/100000</f>
        <v>0.49679999999999991</v>
      </c>
      <c r="H26" s="1382"/>
      <c r="I26" s="802"/>
      <c r="J26" s="1418"/>
      <c r="K26" s="1419"/>
      <c r="L26" s="1447"/>
      <c r="M26" s="1447"/>
      <c r="N26" s="1447"/>
      <c r="O26" s="1447"/>
      <c r="P26" s="1445"/>
      <c r="Q26" s="801"/>
      <c r="R26" s="120"/>
    </row>
    <row r="27" spans="2:18" ht="20.25">
      <c r="B27" s="121"/>
      <c r="C27" s="820" t="s">
        <v>168</v>
      </c>
      <c r="D27" s="821"/>
      <c r="E27" s="1383">
        <f>'2.1.FDGL-US'!R386</f>
        <v>0.25701108656358163</v>
      </c>
      <c r="F27" s="1384"/>
      <c r="G27" s="1359">
        <f>'2.1.FDGL-US'!Q386/100000</f>
        <v>50.081425374999995</v>
      </c>
      <c r="H27" s="1361"/>
      <c r="I27" s="802"/>
      <c r="J27" s="853" t="s">
        <v>927</v>
      </c>
      <c r="K27" s="843"/>
      <c r="L27" s="854">
        <f>'2.1.FDGL-US'!P6</f>
        <v>194.86095344999998</v>
      </c>
      <c r="M27" s="854">
        <f>L37</f>
        <v>0</v>
      </c>
      <c r="N27" s="854">
        <f>L44</f>
        <v>0</v>
      </c>
      <c r="O27" s="854">
        <f>E40</f>
        <v>0</v>
      </c>
      <c r="P27" s="855"/>
      <c r="Q27" s="801"/>
      <c r="R27" s="120"/>
    </row>
    <row r="28" spans="2:18" ht="20.25">
      <c r="B28" s="121"/>
      <c r="C28" s="820" t="s">
        <v>169</v>
      </c>
      <c r="D28" s="821"/>
      <c r="E28" s="1383">
        <f>'2.1.FDGL-US'!R387</f>
        <v>0.40893608860148994</v>
      </c>
      <c r="F28" s="1384"/>
      <c r="G28" s="1359">
        <f>'2.1.FDGL-US'!Q387/100000</f>
        <v>79.685676125000001</v>
      </c>
      <c r="H28" s="1361"/>
      <c r="I28" s="802"/>
      <c r="J28" s="1469" t="s">
        <v>171</v>
      </c>
      <c r="K28" s="1470"/>
      <c r="L28" s="1463">
        <f>'1.PM'!O14+L14</f>
        <v>44712</v>
      </c>
      <c r="M28" s="1464"/>
      <c r="N28" s="1464"/>
      <c r="O28" s="1464"/>
      <c r="P28" s="1465"/>
      <c r="Q28" s="801"/>
      <c r="R28" s="120"/>
    </row>
    <row r="29" spans="2:18" ht="20.25">
      <c r="B29" s="121"/>
      <c r="C29" s="820" t="s">
        <v>165</v>
      </c>
      <c r="D29" s="821"/>
      <c r="E29" s="1383">
        <f>'2.1.FDGL-US'!R388</f>
        <v>0.45732957037935512</v>
      </c>
      <c r="F29" s="1384"/>
      <c r="G29" s="1359">
        <f>'2.1.FDGL-US'!Q388/100000</f>
        <v>89.115676125000007</v>
      </c>
      <c r="H29" s="1361"/>
      <c r="I29" s="802"/>
      <c r="J29" s="1471"/>
      <c r="K29" s="1472"/>
      <c r="L29" s="1466"/>
      <c r="M29" s="1467"/>
      <c r="N29" s="1467"/>
      <c r="O29" s="1467"/>
      <c r="P29" s="1468"/>
      <c r="Q29" s="801"/>
      <c r="R29" s="120"/>
    </row>
    <row r="30" spans="2:18" ht="21" thickBot="1">
      <c r="B30" s="121"/>
      <c r="C30" s="820" t="s">
        <v>166</v>
      </c>
      <c r="D30" s="821"/>
      <c r="E30" s="1383">
        <f>'2.1.FDGL-US'!R389</f>
        <v>0.99778303455694195</v>
      </c>
      <c r="F30" s="1384"/>
      <c r="G30" s="1359">
        <f>'2.1.FDGL-US'!Q389/100000</f>
        <v>194.42895344999999</v>
      </c>
      <c r="H30" s="1361"/>
      <c r="I30" s="802"/>
      <c r="J30" s="856" t="s">
        <v>161</v>
      </c>
      <c r="K30" s="857"/>
      <c r="L30" s="858" t="s">
        <v>172</v>
      </c>
      <c r="M30" s="859"/>
      <c r="N30" s="859"/>
      <c r="O30" s="859"/>
      <c r="P30" s="860"/>
      <c r="Q30" s="801"/>
      <c r="R30" s="120"/>
    </row>
    <row r="31" spans="2:18" ht="21" thickBot="1">
      <c r="B31" s="121"/>
      <c r="C31" s="861" t="s">
        <v>156</v>
      </c>
      <c r="D31" s="862"/>
      <c r="E31" s="1387">
        <f>'2.1.FDGL-US'!R390</f>
        <v>1</v>
      </c>
      <c r="F31" s="1388"/>
      <c r="G31" s="1389">
        <f>'2.1.FDGL-US'!Q390/100000</f>
        <v>194.86095344999998</v>
      </c>
      <c r="H31" s="1390"/>
      <c r="I31" s="802"/>
      <c r="J31" s="1414"/>
      <c r="K31" s="1414"/>
      <c r="L31" s="1415"/>
      <c r="M31" s="1415"/>
      <c r="N31" s="1415"/>
      <c r="O31" s="1415"/>
      <c r="P31" s="1415"/>
      <c r="Q31" s="801"/>
      <c r="R31" s="120"/>
    </row>
    <row r="32" spans="2:18" ht="21" thickBot="1">
      <c r="B32" s="121"/>
      <c r="C32" s="850"/>
      <c r="D32" s="850"/>
      <c r="E32" s="850"/>
      <c r="F32" s="850"/>
      <c r="G32" s="850"/>
      <c r="H32" s="850"/>
      <c r="I32" s="802"/>
      <c r="J32" s="1368" t="s">
        <v>923</v>
      </c>
      <c r="K32" s="1369"/>
      <c r="L32" s="1369"/>
      <c r="M32" s="1369"/>
      <c r="N32" s="1369"/>
      <c r="O32" s="1369"/>
      <c r="P32" s="1370"/>
      <c r="Q32" s="801"/>
      <c r="R32" s="120"/>
    </row>
    <row r="33" spans="2:18" ht="20.25">
      <c r="B33" s="121"/>
      <c r="C33" s="849"/>
      <c r="D33" s="849"/>
      <c r="E33" s="849"/>
      <c r="F33" s="849"/>
      <c r="G33" s="849"/>
      <c r="H33" s="849"/>
      <c r="I33" s="802"/>
      <c r="J33" s="1397" t="s">
        <v>917</v>
      </c>
      <c r="K33" s="1398"/>
      <c r="L33" s="1411">
        <f>'2.2.FDGL-EU'!P14/100000</f>
        <v>0</v>
      </c>
      <c r="M33" s="1412"/>
      <c r="N33" s="1412"/>
      <c r="O33" s="1412"/>
      <c r="P33" s="1413"/>
      <c r="Q33" s="801"/>
      <c r="R33" s="120"/>
    </row>
    <row r="34" spans="2:18" ht="21" thickBot="1">
      <c r="B34" s="121"/>
      <c r="C34" s="849"/>
      <c r="D34" s="849"/>
      <c r="E34" s="849"/>
      <c r="F34" s="849"/>
      <c r="G34" s="849"/>
      <c r="H34" s="849"/>
      <c r="I34" s="802"/>
      <c r="J34" s="1399" t="s">
        <v>225</v>
      </c>
      <c r="K34" s="1400"/>
      <c r="L34" s="1405">
        <f>'2.2.FDGL-EU'!P49/100000</f>
        <v>0</v>
      </c>
      <c r="M34" s="1406"/>
      <c r="N34" s="1406"/>
      <c r="O34" s="1406"/>
      <c r="P34" s="1407"/>
      <c r="Q34" s="801"/>
      <c r="R34" s="120"/>
    </row>
    <row r="35" spans="2:18" ht="21" thickBot="1">
      <c r="B35" s="121"/>
      <c r="C35" s="1368" t="s">
        <v>997</v>
      </c>
      <c r="D35" s="1369"/>
      <c r="E35" s="1369"/>
      <c r="F35" s="1369"/>
      <c r="G35" s="1369"/>
      <c r="H35" s="1370"/>
      <c r="I35" s="802"/>
      <c r="J35" s="863" t="s">
        <v>920</v>
      </c>
      <c r="K35" s="841"/>
      <c r="L35" s="1405">
        <f>'2.2.FDGL-EU'!P63/100000</f>
        <v>0</v>
      </c>
      <c r="M35" s="1406"/>
      <c r="N35" s="1406"/>
      <c r="O35" s="1406"/>
      <c r="P35" s="1407"/>
      <c r="Q35" s="801"/>
      <c r="R35" s="120"/>
    </row>
    <row r="36" spans="2:18" ht="20.25">
      <c r="B36" s="121"/>
      <c r="C36" s="864" t="s">
        <v>917</v>
      </c>
      <c r="D36" s="865"/>
      <c r="E36" s="1356">
        <f>('2.4.FDGL-ROW'!P14+'2.5.FDGL-Domestic'!P14)/100000</f>
        <v>0</v>
      </c>
      <c r="F36" s="1357"/>
      <c r="G36" s="1357"/>
      <c r="H36" s="1358"/>
      <c r="I36" s="802"/>
      <c r="J36" s="863" t="s">
        <v>921</v>
      </c>
      <c r="K36" s="841"/>
      <c r="L36" s="1405">
        <f>'2.2.FDGL-EU'!P72/100000</f>
        <v>0</v>
      </c>
      <c r="M36" s="1406"/>
      <c r="N36" s="1406"/>
      <c r="O36" s="1406"/>
      <c r="P36" s="1407"/>
      <c r="Q36" s="801"/>
      <c r="R36" s="120"/>
    </row>
    <row r="37" spans="2:18" ht="21" thickBot="1">
      <c r="B37" s="121"/>
      <c r="C37" s="820" t="s">
        <v>225</v>
      </c>
      <c r="D37" s="841"/>
      <c r="E37" s="1359">
        <f>('2.4.FDGL-ROW'!P49+'2.5.FDGL-Domestic'!P49)/100000</f>
        <v>0</v>
      </c>
      <c r="F37" s="1360"/>
      <c r="G37" s="1360"/>
      <c r="H37" s="1361"/>
      <c r="I37" s="802"/>
      <c r="J37" s="866" t="s">
        <v>205</v>
      </c>
      <c r="K37" s="867"/>
      <c r="L37" s="1408">
        <f>SUM(L33:P36)</f>
        <v>0</v>
      </c>
      <c r="M37" s="1409"/>
      <c r="N37" s="1409"/>
      <c r="O37" s="1409"/>
      <c r="P37" s="1410"/>
      <c r="Q37" s="801"/>
      <c r="R37" s="120"/>
    </row>
    <row r="38" spans="2:18" ht="21" thickBot="1">
      <c r="B38" s="121"/>
      <c r="C38" s="820" t="s">
        <v>920</v>
      </c>
      <c r="D38" s="841"/>
      <c r="E38" s="1359">
        <f>('2.4.FDGL-ROW'!P63+'2.5.FDGL-Domestic'!P63)/100000</f>
        <v>0</v>
      </c>
      <c r="F38" s="1360"/>
      <c r="G38" s="1360"/>
      <c r="H38" s="1361"/>
      <c r="I38" s="802"/>
      <c r="J38" s="1414"/>
      <c r="K38" s="1414"/>
      <c r="L38" s="1415"/>
      <c r="M38" s="1415"/>
      <c r="N38" s="1415"/>
      <c r="O38" s="1415"/>
      <c r="P38" s="1415"/>
      <c r="Q38" s="801"/>
      <c r="R38" s="120"/>
    </row>
    <row r="39" spans="2:18" ht="21" thickBot="1">
      <c r="B39" s="121"/>
      <c r="C39" s="868" t="s">
        <v>921</v>
      </c>
      <c r="D39" s="869"/>
      <c r="E39" s="1359">
        <f>('2.4.FDGL-ROW'!P72+'2.5.FDGL-Domestic'!P72)/100000</f>
        <v>0</v>
      </c>
      <c r="F39" s="1360"/>
      <c r="G39" s="1360"/>
      <c r="H39" s="1361"/>
      <c r="I39" s="802"/>
      <c r="J39" s="1368" t="s">
        <v>996</v>
      </c>
      <c r="K39" s="1369"/>
      <c r="L39" s="1369"/>
      <c r="M39" s="1369"/>
      <c r="N39" s="1369"/>
      <c r="O39" s="1369"/>
      <c r="P39" s="1370"/>
      <c r="Q39" s="801"/>
      <c r="R39" s="120"/>
    </row>
    <row r="40" spans="2:18" ht="20.25">
      <c r="B40" s="121"/>
      <c r="C40" s="1401" t="s">
        <v>1017</v>
      </c>
      <c r="D40" s="1402"/>
      <c r="E40" s="1362">
        <f>SUM(E36:H39)</f>
        <v>0</v>
      </c>
      <c r="F40" s="1363"/>
      <c r="G40" s="1363"/>
      <c r="H40" s="1364"/>
      <c r="I40" s="802"/>
      <c r="J40" s="1397" t="s">
        <v>917</v>
      </c>
      <c r="K40" s="1398"/>
      <c r="L40" s="1411">
        <f>'2.3.FDGL-Canada'!P14/100000</f>
        <v>0</v>
      </c>
      <c r="M40" s="1412"/>
      <c r="N40" s="1412"/>
      <c r="O40" s="1412"/>
      <c r="P40" s="1413"/>
      <c r="Q40" s="801"/>
      <c r="R40" s="120"/>
    </row>
    <row r="41" spans="2:18" ht="21" thickBot="1">
      <c r="B41" s="121"/>
      <c r="C41" s="1403"/>
      <c r="D41" s="1404"/>
      <c r="E41" s="1365"/>
      <c r="F41" s="1366"/>
      <c r="G41" s="1366"/>
      <c r="H41" s="1367"/>
      <c r="I41" s="802"/>
      <c r="J41" s="1399" t="s">
        <v>225</v>
      </c>
      <c r="K41" s="1400"/>
      <c r="L41" s="1405">
        <f>'2.3.FDGL-Canada'!P49/100000</f>
        <v>0</v>
      </c>
      <c r="M41" s="1406"/>
      <c r="N41" s="1406"/>
      <c r="O41" s="1406"/>
      <c r="P41" s="1407"/>
      <c r="Q41" s="801"/>
      <c r="R41" s="120"/>
    </row>
    <row r="42" spans="2:18" ht="20.25">
      <c r="B42" s="121"/>
      <c r="C42" s="850"/>
      <c r="D42" s="850"/>
      <c r="E42" s="850"/>
      <c r="F42" s="870"/>
      <c r="G42" s="870"/>
      <c r="H42" s="870"/>
      <c r="I42" s="802"/>
      <c r="J42" s="863" t="s">
        <v>920</v>
      </c>
      <c r="K42" s="841"/>
      <c r="L42" s="1405">
        <f>'2.3.FDGL-Canada'!P63/100000</f>
        <v>0</v>
      </c>
      <c r="M42" s="1406"/>
      <c r="N42" s="1406"/>
      <c r="O42" s="1406"/>
      <c r="P42" s="1407"/>
      <c r="Q42" s="801"/>
      <c r="R42" s="120"/>
    </row>
    <row r="43" spans="2:18" ht="21" thickBot="1">
      <c r="B43" s="121"/>
      <c r="C43" s="850"/>
      <c r="D43" s="850"/>
      <c r="E43" s="850"/>
      <c r="F43" s="870"/>
      <c r="G43" s="870"/>
      <c r="H43" s="870"/>
      <c r="I43" s="870"/>
      <c r="J43" s="863" t="s">
        <v>921</v>
      </c>
      <c r="K43" s="841"/>
      <c r="L43" s="1405">
        <f>'2.3.FDGL-Canada'!P72/100000</f>
        <v>0</v>
      </c>
      <c r="M43" s="1406"/>
      <c r="N43" s="1406"/>
      <c r="O43" s="1406"/>
      <c r="P43" s="1407"/>
      <c r="Q43" s="801"/>
      <c r="R43" s="120"/>
    </row>
    <row r="44" spans="2:18" ht="25.5" thickBot="1">
      <c r="B44" s="121"/>
      <c r="C44" s="1394" t="s">
        <v>961</v>
      </c>
      <c r="D44" s="1395"/>
      <c r="E44" s="1396"/>
      <c r="F44" s="1391">
        <f>L37+L27+E40+L44</f>
        <v>194.86095344999998</v>
      </c>
      <c r="G44" s="1392"/>
      <c r="H44" s="1393"/>
      <c r="I44" s="870"/>
      <c r="J44" s="866" t="s">
        <v>205</v>
      </c>
      <c r="K44" s="867"/>
      <c r="L44" s="1408">
        <f>SUM(L40:P43)</f>
        <v>0</v>
      </c>
      <c r="M44" s="1409"/>
      <c r="N44" s="1409"/>
      <c r="O44" s="1409"/>
      <c r="P44" s="1410"/>
      <c r="Q44" s="801"/>
      <c r="R44" s="120"/>
    </row>
    <row r="45" spans="2:18" ht="20.25">
      <c r="B45" s="121"/>
      <c r="C45" s="850"/>
      <c r="D45" s="850"/>
      <c r="E45" s="850"/>
      <c r="F45" s="870"/>
      <c r="G45" s="870"/>
      <c r="H45" s="870"/>
      <c r="I45" s="870"/>
      <c r="J45" s="870"/>
      <c r="K45" s="870"/>
      <c r="L45" s="870"/>
      <c r="M45" s="870"/>
      <c r="N45" s="870"/>
      <c r="O45" s="870"/>
      <c r="P45" s="870"/>
      <c r="Q45" s="801"/>
      <c r="R45" s="120"/>
    </row>
    <row r="46" spans="2:18" ht="20.25">
      <c r="B46" s="121"/>
      <c r="C46" s="798" t="s">
        <v>1084</v>
      </c>
      <c r="D46" s="850"/>
      <c r="E46" s="85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01"/>
      <c r="R46" s="120"/>
    </row>
    <row r="47" spans="2:18" ht="20.25">
      <c r="B47" s="121"/>
      <c r="C47" s="797" t="s">
        <v>1086</v>
      </c>
      <c r="D47" s="850"/>
      <c r="E47" s="850"/>
      <c r="F47" s="870"/>
      <c r="G47" s="870"/>
      <c r="H47" s="870"/>
      <c r="I47" s="870"/>
      <c r="J47" s="870"/>
      <c r="K47" s="870"/>
      <c r="L47" s="870"/>
      <c r="M47" s="870"/>
      <c r="N47" s="870"/>
      <c r="O47" s="870"/>
      <c r="P47" s="870"/>
      <c r="Q47" s="801"/>
      <c r="R47" s="120"/>
    </row>
    <row r="48" spans="2:18" ht="20.25">
      <c r="B48" s="121"/>
      <c r="C48" s="797" t="s">
        <v>1085</v>
      </c>
      <c r="D48" s="850"/>
      <c r="E48" s="850"/>
      <c r="F48" s="870"/>
      <c r="G48" s="870"/>
      <c r="H48" s="870"/>
      <c r="I48" s="870"/>
      <c r="J48" s="870"/>
      <c r="K48" s="870"/>
      <c r="L48" s="870"/>
      <c r="M48" s="870"/>
      <c r="N48" s="870"/>
      <c r="O48" s="870"/>
      <c r="P48" s="870"/>
      <c r="Q48" s="801"/>
      <c r="R48" s="120"/>
    </row>
    <row r="49" spans="2:18" ht="20.25">
      <c r="B49" s="121"/>
      <c r="C49" s="797"/>
      <c r="D49" s="850"/>
      <c r="E49" s="850"/>
      <c r="F49" s="870"/>
      <c r="G49" s="870"/>
      <c r="H49" s="870"/>
      <c r="I49" s="870"/>
      <c r="J49" s="870"/>
      <c r="K49" s="870"/>
      <c r="L49" s="870"/>
      <c r="M49" s="870"/>
      <c r="N49" s="870"/>
      <c r="O49" s="870"/>
      <c r="P49" s="870"/>
      <c r="Q49" s="801"/>
      <c r="R49" s="120"/>
    </row>
    <row r="50" spans="2:18" ht="20.25">
      <c r="B50" s="121"/>
      <c r="C50" s="797"/>
      <c r="D50" s="850"/>
      <c r="E50" s="850"/>
      <c r="F50" s="870"/>
      <c r="G50" s="870"/>
      <c r="H50" s="870"/>
      <c r="I50" s="870"/>
      <c r="J50" s="870"/>
      <c r="K50" s="870"/>
      <c r="L50" s="870"/>
      <c r="M50" s="870"/>
      <c r="N50" s="870"/>
      <c r="O50" s="870"/>
      <c r="P50" s="870"/>
      <c r="Q50" s="801"/>
      <c r="R50" s="120"/>
    </row>
    <row r="51" spans="2:18" ht="20.25">
      <c r="B51" s="121"/>
      <c r="C51" s="797"/>
      <c r="D51" s="850"/>
      <c r="E51" s="850"/>
      <c r="F51" s="870"/>
      <c r="G51" s="870"/>
      <c r="H51" s="870"/>
      <c r="I51" s="870"/>
      <c r="J51" s="870"/>
      <c r="K51" s="870"/>
      <c r="L51" s="870"/>
      <c r="M51" s="870"/>
      <c r="N51" s="870"/>
      <c r="O51" s="870"/>
      <c r="P51" s="870"/>
      <c r="Q51" s="801"/>
      <c r="R51" s="120"/>
    </row>
    <row r="52" spans="2:18" ht="20.25">
      <c r="B52" s="121"/>
      <c r="C52" s="797"/>
      <c r="D52" s="850"/>
      <c r="E52" s="850"/>
      <c r="F52" s="870"/>
      <c r="G52" s="870"/>
      <c r="H52" s="870"/>
      <c r="I52" s="870"/>
      <c r="J52" s="870"/>
      <c r="K52" s="870"/>
      <c r="L52" s="870"/>
      <c r="M52" s="870"/>
      <c r="N52" s="870"/>
      <c r="O52" s="870"/>
      <c r="P52" s="870"/>
      <c r="Q52" s="801"/>
      <c r="R52" s="120"/>
    </row>
    <row r="53" spans="2:18" ht="20.25">
      <c r="B53" s="121"/>
      <c r="C53" s="1351" t="s">
        <v>1071</v>
      </c>
      <c r="D53" s="1351"/>
      <c r="E53" s="850"/>
      <c r="F53" s="870"/>
      <c r="G53" s="870"/>
      <c r="H53" s="1352" t="s">
        <v>431</v>
      </c>
      <c r="I53" s="1352"/>
      <c r="J53" s="870"/>
      <c r="K53" s="870"/>
      <c r="L53" s="1353" t="s">
        <v>1087</v>
      </c>
      <c r="M53" s="1353"/>
      <c r="N53" s="1353"/>
      <c r="O53" s="870"/>
      <c r="P53" s="870"/>
      <c r="Q53" s="801"/>
      <c r="R53" s="120"/>
    </row>
    <row r="54" spans="2:18" ht="39.75" customHeight="1">
      <c r="B54" s="121"/>
      <c r="C54" s="1351" t="s">
        <v>1088</v>
      </c>
      <c r="D54" s="1351"/>
      <c r="E54" s="850"/>
      <c r="F54" s="870"/>
      <c r="G54" s="870"/>
      <c r="H54" s="1354" t="s">
        <v>1094</v>
      </c>
      <c r="I54" s="1354"/>
      <c r="J54" s="870"/>
      <c r="K54" s="870"/>
      <c r="L54" s="1355" t="s">
        <v>1089</v>
      </c>
      <c r="M54" s="1355"/>
      <c r="N54" s="1355"/>
      <c r="O54" s="870"/>
      <c r="P54" s="870"/>
      <c r="Q54" s="801"/>
      <c r="R54" s="120"/>
    </row>
    <row r="55" spans="2:18" ht="20.25">
      <c r="B55" s="121"/>
      <c r="C55" s="850"/>
      <c r="D55" s="850"/>
      <c r="E55" s="850"/>
      <c r="F55" s="870"/>
      <c r="G55" s="870"/>
      <c r="H55" s="870"/>
      <c r="I55" s="870"/>
      <c r="J55" s="870"/>
      <c r="K55" s="870"/>
      <c r="L55" s="870"/>
      <c r="M55" s="870"/>
      <c r="N55" s="870"/>
      <c r="O55" s="870"/>
      <c r="P55" s="870"/>
      <c r="Q55" s="801"/>
      <c r="R55" s="120"/>
    </row>
    <row r="56" spans="2:18" ht="20.25" customHeight="1">
      <c r="B56" s="121"/>
      <c r="C56" s="850"/>
      <c r="D56" s="850"/>
      <c r="E56" s="850"/>
      <c r="F56" s="870"/>
      <c r="G56" s="870"/>
      <c r="H56" s="870"/>
      <c r="I56" s="870"/>
      <c r="J56" s="870"/>
      <c r="K56" s="870"/>
      <c r="L56" s="870"/>
      <c r="M56" s="870"/>
      <c r="N56" s="870"/>
      <c r="O56" s="870"/>
      <c r="P56" s="870"/>
      <c r="Q56" s="801"/>
      <c r="R56" s="120"/>
    </row>
    <row r="57" spans="2:18" ht="20.25">
      <c r="B57" s="121"/>
      <c r="C57" s="850"/>
      <c r="D57" s="850"/>
      <c r="E57" s="850"/>
      <c r="F57" s="870"/>
      <c r="G57" s="870"/>
      <c r="H57" s="870"/>
      <c r="I57" s="870"/>
      <c r="J57" s="870"/>
      <c r="K57" s="870"/>
      <c r="L57" s="870"/>
      <c r="M57" s="870"/>
      <c r="N57" s="870"/>
      <c r="O57" s="870"/>
      <c r="P57" s="870"/>
      <c r="Q57" s="801"/>
      <c r="R57" s="120"/>
    </row>
    <row r="58" spans="2:18" ht="20.25">
      <c r="B58" s="121"/>
      <c r="C58" s="850"/>
      <c r="D58" s="850"/>
      <c r="E58" s="849"/>
      <c r="F58" s="871"/>
      <c r="G58" s="871"/>
      <c r="H58" s="871"/>
      <c r="I58" s="871"/>
      <c r="J58" s="871"/>
      <c r="K58" s="871"/>
      <c r="L58" s="871"/>
      <c r="M58" s="871"/>
      <c r="N58" s="871"/>
      <c r="O58" s="871"/>
      <c r="P58" s="871"/>
      <c r="Q58" s="801"/>
      <c r="R58" s="120"/>
    </row>
    <row r="59" spans="2:18" ht="20.25">
      <c r="B59" s="121"/>
      <c r="C59" s="1349" t="s">
        <v>1090</v>
      </c>
      <c r="D59" s="1349"/>
      <c r="E59" s="1350"/>
      <c r="F59" s="1350"/>
      <c r="G59" s="1351" t="s">
        <v>1091</v>
      </c>
      <c r="H59" s="1351"/>
      <c r="I59" s="1351"/>
      <c r="J59" s="1351" t="s">
        <v>999</v>
      </c>
      <c r="K59" s="1351"/>
      <c r="L59" s="1351"/>
      <c r="M59" s="1351"/>
      <c r="N59" s="1351"/>
      <c r="O59" s="1351"/>
      <c r="P59" s="1351"/>
      <c r="Q59" s="801"/>
      <c r="R59" s="120"/>
    </row>
    <row r="60" spans="2:18" ht="20.25">
      <c r="B60" s="121"/>
      <c r="C60" s="1349" t="s">
        <v>1092</v>
      </c>
      <c r="D60" s="1349"/>
      <c r="E60" s="1350"/>
      <c r="F60" s="1350"/>
      <c r="G60" s="1351" t="s">
        <v>148</v>
      </c>
      <c r="H60" s="1351"/>
      <c r="I60" s="1351"/>
      <c r="J60" s="1351" t="s">
        <v>1093</v>
      </c>
      <c r="K60" s="1351"/>
      <c r="L60" s="1351"/>
      <c r="M60" s="1351"/>
      <c r="N60" s="1351"/>
      <c r="O60" s="1351"/>
      <c r="P60" s="1351"/>
      <c r="Q60" s="801"/>
      <c r="R60" s="120"/>
    </row>
    <row r="61" spans="2:18" ht="21" thickBot="1">
      <c r="B61" s="130"/>
      <c r="C61" s="872"/>
      <c r="D61" s="872"/>
      <c r="E61" s="873"/>
      <c r="F61" s="873"/>
      <c r="G61" s="873"/>
      <c r="H61" s="873"/>
      <c r="I61" s="873"/>
      <c r="J61" s="873"/>
      <c r="K61" s="873"/>
      <c r="L61" s="873"/>
      <c r="M61" s="873"/>
      <c r="N61" s="873"/>
      <c r="O61" s="873"/>
      <c r="P61" s="873"/>
      <c r="Q61" s="874"/>
      <c r="R61" s="120"/>
    </row>
    <row r="62" spans="2:18">
      <c r="B62" s="120"/>
      <c r="M62" s="120"/>
      <c r="N62" s="120"/>
      <c r="O62" s="120"/>
      <c r="P62" s="120"/>
      <c r="Q62" s="120"/>
      <c r="R62" s="120"/>
    </row>
    <row r="64" spans="2:18">
      <c r="C64" s="120"/>
      <c r="D64" s="120"/>
      <c r="E64" s="120"/>
      <c r="F64" s="120"/>
      <c r="G64" s="120"/>
      <c r="H64" s="120"/>
      <c r="I64" s="120"/>
      <c r="J64" s="120"/>
      <c r="K64" s="120"/>
      <c r="L64" s="120"/>
    </row>
  </sheetData>
  <sheetProtection selectLockedCells="1" selectUnlockedCells="1"/>
  <mergeCells count="103">
    <mergeCell ref="J39:P39"/>
    <mergeCell ref="J32:P32"/>
    <mergeCell ref="J25:K26"/>
    <mergeCell ref="N25:N26"/>
    <mergeCell ref="J31:K31"/>
    <mergeCell ref="J15:K15"/>
    <mergeCell ref="J16:K16"/>
    <mergeCell ref="J17:K17"/>
    <mergeCell ref="J18:K18"/>
    <mergeCell ref="O17:P17"/>
    <mergeCell ref="O16:P16"/>
    <mergeCell ref="O15:P15"/>
    <mergeCell ref="L18:P18"/>
    <mergeCell ref="L28:P29"/>
    <mergeCell ref="J20:K20"/>
    <mergeCell ref="J21:K21"/>
    <mergeCell ref="J22:K22"/>
    <mergeCell ref="J28:K29"/>
    <mergeCell ref="O20:P20"/>
    <mergeCell ref="O21:P21"/>
    <mergeCell ref="O22:P22"/>
    <mergeCell ref="C3:P3"/>
    <mergeCell ref="J9:P9"/>
    <mergeCell ref="O19:P19"/>
    <mergeCell ref="J12:K12"/>
    <mergeCell ref="J11:K11"/>
    <mergeCell ref="L12:P12"/>
    <mergeCell ref="L11:P11"/>
    <mergeCell ref="C9:H9"/>
    <mergeCell ref="C17:D17"/>
    <mergeCell ref="C19:D19"/>
    <mergeCell ref="C18:D18"/>
    <mergeCell ref="J14:K14"/>
    <mergeCell ref="J13:K13"/>
    <mergeCell ref="L34:P34"/>
    <mergeCell ref="L37:P37"/>
    <mergeCell ref="J38:K38"/>
    <mergeCell ref="L38:P38"/>
    <mergeCell ref="L35:P35"/>
    <mergeCell ref="L36:P36"/>
    <mergeCell ref="D5:P5"/>
    <mergeCell ref="J19:K19"/>
    <mergeCell ref="J10:K10"/>
    <mergeCell ref="J24:P24"/>
    <mergeCell ref="L33:P33"/>
    <mergeCell ref="L31:P31"/>
    <mergeCell ref="J34:K34"/>
    <mergeCell ref="J33:K33"/>
    <mergeCell ref="P25:P26"/>
    <mergeCell ref="O25:O26"/>
    <mergeCell ref="M25:M26"/>
    <mergeCell ref="L25:L26"/>
    <mergeCell ref="E25:F25"/>
    <mergeCell ref="C25:D25"/>
    <mergeCell ref="G29:H29"/>
    <mergeCell ref="G28:H28"/>
    <mergeCell ref="C24:H24"/>
    <mergeCell ref="G25:H25"/>
    <mergeCell ref="F44:H44"/>
    <mergeCell ref="C44:E44"/>
    <mergeCell ref="J40:K40"/>
    <mergeCell ref="J41:K41"/>
    <mergeCell ref="C40:D41"/>
    <mergeCell ref="L42:P42"/>
    <mergeCell ref="L43:P43"/>
    <mergeCell ref="L44:P44"/>
    <mergeCell ref="L40:P40"/>
    <mergeCell ref="L41:P41"/>
    <mergeCell ref="E36:H36"/>
    <mergeCell ref="E37:H37"/>
    <mergeCell ref="E38:H38"/>
    <mergeCell ref="E39:H39"/>
    <mergeCell ref="E40:H41"/>
    <mergeCell ref="C35:H35"/>
    <mergeCell ref="C20:D21"/>
    <mergeCell ref="E20:E21"/>
    <mergeCell ref="F20:F21"/>
    <mergeCell ref="G20:G21"/>
    <mergeCell ref="H20:H21"/>
    <mergeCell ref="G26:H26"/>
    <mergeCell ref="G27:H27"/>
    <mergeCell ref="E27:F27"/>
    <mergeCell ref="E26:F26"/>
    <mergeCell ref="G30:H30"/>
    <mergeCell ref="E31:F31"/>
    <mergeCell ref="G31:H31"/>
    <mergeCell ref="E30:F30"/>
    <mergeCell ref="E29:F29"/>
    <mergeCell ref="E28:F28"/>
    <mergeCell ref="C59:D59"/>
    <mergeCell ref="E59:F59"/>
    <mergeCell ref="G59:I59"/>
    <mergeCell ref="J59:P59"/>
    <mergeCell ref="C60:D60"/>
    <mergeCell ref="E60:F60"/>
    <mergeCell ref="G60:I60"/>
    <mergeCell ref="J60:P60"/>
    <mergeCell ref="C53:D53"/>
    <mergeCell ref="H53:I53"/>
    <mergeCell ref="L53:N53"/>
    <mergeCell ref="C54:D54"/>
    <mergeCell ref="H54:I54"/>
    <mergeCell ref="L54:N54"/>
  </mergeCells>
  <printOptions horizontalCentered="1" verticalCentered="1"/>
  <pageMargins left="3.937007874015748E-2" right="3.937007874015748E-2" top="0" bottom="0" header="0.11811023622047245" footer="0.11811023622047245"/>
  <pageSetup paperSize="9" scale="42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2A69698B-8564-4730-8CD2-EE7187F621F8}">
            <xm:f>'1.PM'!$F$8=TRUE</xm:f>
            <x14:dxf>
              <font>
                <color auto="1"/>
              </font>
            </x14:dxf>
          </x14:cfRule>
          <xm:sqref>O14</xm:sqref>
        </x14:conditionalFormatting>
        <x14:conditionalFormatting xmlns:xm="http://schemas.microsoft.com/office/excel/2006/main">
          <x14:cfRule type="expression" priority="30" id="{19676EA8-9A6F-43FB-924F-CD9018DDC90C}">
            <xm:f>'1.PM'!$C$8=TRUE</xm:f>
            <x14:dxf>
              <font>
                <color auto="1"/>
              </font>
            </x14:dxf>
          </x14:cfRule>
          <xm:sqref>L25</xm:sqref>
        </x14:conditionalFormatting>
        <x14:conditionalFormatting xmlns:xm="http://schemas.microsoft.com/office/excel/2006/main">
          <x14:cfRule type="expression" priority="28" id="{0784CA35-EA4E-417F-A220-8DEB51B3C0EA}">
            <xm:f>'1.PM'!$D$8=TRUE</xm:f>
            <x14:dxf>
              <font>
                <color auto="1"/>
              </font>
            </x14:dxf>
          </x14:cfRule>
          <xm:sqref>M25</xm:sqref>
        </x14:conditionalFormatting>
        <x14:conditionalFormatting xmlns:xm="http://schemas.microsoft.com/office/excel/2006/main">
          <x14:cfRule type="expression" priority="27" id="{7793A5F1-041F-4032-922A-A50C979299E8}">
            <xm:f>'1.PM'!$G$8=TRUE</xm:f>
            <x14:dxf>
              <font>
                <color auto="1"/>
              </font>
            </x14:dxf>
          </x14:cfRule>
          <xm:sqref>P25</xm:sqref>
        </x14:conditionalFormatting>
        <x14:conditionalFormatting xmlns:xm="http://schemas.microsoft.com/office/excel/2006/main">
          <x14:cfRule type="expression" priority="25" id="{2D689DAE-969F-482E-B206-A8439E401D67}">
            <xm:f>'1.PM'!$D$8</xm:f>
            <x14:dxf>
              <font>
                <color auto="1"/>
              </font>
            </x14:dxf>
          </x14:cfRule>
          <xm:sqref>N14</xm:sqref>
        </x14:conditionalFormatting>
        <x14:conditionalFormatting xmlns:xm="http://schemas.microsoft.com/office/excel/2006/main">
          <x14:cfRule type="expression" priority="22" id="{685CDD62-794D-4BE0-9BB0-18193C677FDF}">
            <xm:f>'1.PM'!$D$8=TRUE</xm:f>
            <x14:dxf>
              <font>
                <color auto="1"/>
              </font>
            </x14:dxf>
          </x14:cfRule>
          <xm:sqref>M14</xm:sqref>
        </x14:conditionalFormatting>
        <x14:conditionalFormatting xmlns:xm="http://schemas.microsoft.com/office/excel/2006/main">
          <x14:cfRule type="expression" priority="13" id="{C0C1DAD0-58AD-421A-82D1-62C200986D66}">
            <xm:f>'1.PM'!$D$8=TRUE</xm:f>
            <x14:dxf>
              <font>
                <color auto="1"/>
              </font>
            </x14:dxf>
          </x14:cfRule>
          <xm:sqref>M9</xm:sqref>
        </x14:conditionalFormatting>
        <x14:conditionalFormatting xmlns:xm="http://schemas.microsoft.com/office/excel/2006/main">
          <x14:cfRule type="expression" priority="17" id="{52BEA094-4C0A-4BB9-83D2-AC01CCBCF202}">
            <xm:f>'1.PM'!$E$8=TRUE</xm:f>
            <x14:dxf>
              <font>
                <color auto="1"/>
              </font>
            </x14:dxf>
          </x14:cfRule>
          <xm:sqref>O9</xm:sqref>
        </x14:conditionalFormatting>
        <x14:conditionalFormatting xmlns:xm="http://schemas.microsoft.com/office/excel/2006/main">
          <x14:cfRule type="expression" priority="16" id="{0FCE150E-05FB-4A57-B3D0-F2FE2EA64E9A}">
            <xm:f>'1.PM'!$C$8</xm:f>
            <x14:dxf>
              <font>
                <color auto="1"/>
              </font>
            </x14:dxf>
          </x14:cfRule>
          <xm:sqref>L9</xm:sqref>
        </x14:conditionalFormatting>
        <x14:conditionalFormatting xmlns:xm="http://schemas.microsoft.com/office/excel/2006/main">
          <x14:cfRule type="expression" priority="15" id="{A159B40D-1FEF-4907-81BC-424D04B6477C}">
            <xm:f>'1.PM'!$F$8=TRUE</xm:f>
            <x14:dxf>
              <font>
                <color auto="1"/>
              </font>
            </x14:dxf>
          </x14:cfRule>
          <xm:sqref>P9</xm:sqref>
        </x14:conditionalFormatting>
        <x14:conditionalFormatting xmlns:xm="http://schemas.microsoft.com/office/excel/2006/main">
          <x14:cfRule type="expression" priority="14" id="{0A1787AF-9477-457A-ACC7-B0AF459E5C69}">
            <xm:f>'1.PM'!$D$8</xm:f>
            <x14:dxf>
              <font>
                <color auto="1"/>
              </font>
            </x14:dxf>
          </x14:cfRule>
          <xm:sqref>N9</xm:sqref>
        </x14:conditionalFormatting>
        <x14:conditionalFormatting xmlns:xm="http://schemas.microsoft.com/office/excel/2006/main">
          <x14:cfRule type="expression" priority="5" id="{C8B39989-0FC1-4511-8538-F34FC34A1631}">
            <xm:f>'1.PM'!$D$8=TRUE</xm:f>
            <x14:dxf>
              <font>
                <color auto="1"/>
              </font>
            </x14:dxf>
          </x14:cfRule>
          <xm:sqref>M10</xm:sqref>
        </x14:conditionalFormatting>
        <x14:conditionalFormatting xmlns:xm="http://schemas.microsoft.com/office/excel/2006/main">
          <x14:cfRule type="expression" priority="7" id="{F1518A40-7EA4-4123-B680-76531E9D9788}">
            <xm:f>'1.PM'!$G$8=TRUE</xm:f>
            <x14:dxf>
              <font>
                <color auto="1"/>
              </font>
            </x14:dxf>
          </x14:cfRule>
          <xm:sqref>P10</xm:sqref>
        </x14:conditionalFormatting>
        <x14:conditionalFormatting xmlns:xm="http://schemas.microsoft.com/office/excel/2006/main">
          <x14:cfRule type="expression" priority="6" id="{FA9C41A7-ABA2-4A3B-9E8F-590A7F1A7C7C}">
            <xm:f>'1.PM'!$E$8=TRUE</xm:f>
            <x14:dxf>
              <font>
                <color auto="1"/>
              </font>
            </x14:dxf>
          </x14:cfRule>
          <xm:sqref>N10</xm:sqref>
        </x14:conditionalFormatting>
        <x14:conditionalFormatting xmlns:xm="http://schemas.microsoft.com/office/excel/2006/main">
          <x14:cfRule type="expression" priority="4" id="{7F791422-4C69-4566-9B05-E4E29D2C0BF5}">
            <xm:f>'1.PM'!$F$8=TRUE</xm:f>
            <x14:dxf>
              <font>
                <color auto="1"/>
              </font>
            </x14:dxf>
          </x14:cfRule>
          <xm:sqref>O10</xm:sqref>
        </x14:conditionalFormatting>
        <x14:conditionalFormatting xmlns:xm="http://schemas.microsoft.com/office/excel/2006/main">
          <x14:cfRule type="expression" priority="3" id="{3E7C86E3-3CB2-42D9-A55C-E425FE32FE4F}">
            <xm:f>'1.PM'!$F$8=TRUE</xm:f>
            <x14:dxf>
              <font>
                <color auto="1"/>
              </font>
            </x14:dxf>
          </x14:cfRule>
          <xm:sqref>O25</xm:sqref>
        </x14:conditionalFormatting>
        <x14:conditionalFormatting xmlns:xm="http://schemas.microsoft.com/office/excel/2006/main">
          <x14:cfRule type="expression" priority="2" id="{DBBDD11A-933A-418C-9999-169EB1209C23}">
            <xm:f>'1.PM'!$C$8=TRUE</xm:f>
            <x14:dxf>
              <font>
                <color auto="1"/>
              </font>
            </x14:dxf>
          </x14:cfRule>
          <xm:sqref>L10</xm:sqref>
        </x14:conditionalFormatting>
        <x14:conditionalFormatting xmlns:xm="http://schemas.microsoft.com/office/excel/2006/main">
          <x14:cfRule type="expression" priority="1" id="{3C33E8A8-F759-41DB-AD00-5541B7CA18A6}">
            <xm:f>'1.PM'!$E$8=TRUE</xm:f>
            <x14:dxf>
              <font>
                <color auto="1"/>
              </font>
            </x14:dxf>
          </x14:cfRule>
          <xm:sqref>N25:N26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1.PM</vt:lpstr>
      <vt:lpstr>2.1.FDGL-US</vt:lpstr>
      <vt:lpstr>2.2.FDGL-EU</vt:lpstr>
      <vt:lpstr>2.3.FDGL-Canada</vt:lpstr>
      <vt:lpstr>2.4.FDGL-ROW</vt:lpstr>
      <vt:lpstr>2.5.FDGL-Domestic</vt:lpstr>
      <vt:lpstr>3.IPD</vt:lpstr>
      <vt:lpstr>PIF</vt:lpstr>
      <vt:lpstr>Project Charter.</vt:lpstr>
      <vt:lpstr>Activity Duration</vt:lpstr>
      <vt:lpstr>Graphs</vt:lpstr>
      <vt:lpstr>List</vt:lpstr>
      <vt:lpstr>RACI</vt:lpstr>
      <vt:lpstr>'1.PM'!Print_Area</vt:lpstr>
      <vt:lpstr>'2.1.FDGL-US'!Print_Area</vt:lpstr>
      <vt:lpstr>'2.2.FDGL-EU'!Print_Area</vt:lpstr>
      <vt:lpstr>'2.3.FDGL-Canada'!Print_Area</vt:lpstr>
      <vt:lpstr>'2.4.FDGL-ROW'!Print_Area</vt:lpstr>
      <vt:lpstr>'2.5.FDGL-Domestic'!Print_Area</vt:lpstr>
      <vt:lpstr>'3.IPD'!Print_Area</vt:lpstr>
      <vt:lpstr>Graphs!Print_Area</vt:lpstr>
      <vt:lpstr>PIF!Print_Area</vt:lpstr>
      <vt:lpstr>'Project Charter.'!Print_Area</vt:lpstr>
      <vt:lpstr>'2.1.FDGL-US'!Print_Titles</vt:lpstr>
      <vt:lpstr>'2.2.FDGL-EU'!Print_Titles</vt:lpstr>
      <vt:lpstr>'2.3.FDGL-Canada'!Print_Titles</vt:lpstr>
      <vt:lpstr>'2.4.FDGL-ROW'!Print_Titles</vt:lpstr>
      <vt:lpstr>'2.5.FDGL-Domestic'!Print_Titles</vt:lpstr>
      <vt:lpstr>Graphs!Print_Titles</vt:lpstr>
    </vt:vector>
  </TitlesOfParts>
  <Manager>Jins.Joseph@emcure.co.in</Manager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Strengthwise Budget sheet</dc:title>
  <dc:creator>Jins.Joseph@emcure.co.in</dc:creator>
  <cp:lastModifiedBy>Patil, Rahul A.</cp:lastModifiedBy>
  <cp:lastPrinted>2021-11-22T11:21:13Z</cp:lastPrinted>
  <dcterms:created xsi:type="dcterms:W3CDTF">2012-11-07T08:37:01Z</dcterms:created>
  <dcterms:modified xsi:type="dcterms:W3CDTF">2022-03-09T05:46:52Z</dcterms:modified>
</cp:coreProperties>
</file>