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MO\RiderProjects\DbsData\Goodreads\"/>
    </mc:Choice>
  </mc:AlternateContent>
  <xr:revisionPtr revIDLastSave="0" documentId="8_{54E1662E-D3B4-4B36-821E-688903D9E3C7}" xr6:coauthVersionLast="36" xr6:coauthVersionMax="36" xr10:uidLastSave="{00000000-0000-0000-0000-000000000000}"/>
  <bookViews>
    <workbookView xWindow="0" yWindow="0" windowWidth="21864" windowHeight="9648"/>
  </bookViews>
  <sheets>
    <sheet name="goodreads_library_export" sheetId="1" r:id="rId1"/>
  </sheets>
  <calcPr calcId="0"/>
</workbook>
</file>

<file path=xl/calcChain.xml><?xml version="1.0" encoding="utf-8"?>
<calcChain xmlns="http://schemas.openxmlformats.org/spreadsheetml/2006/main">
  <c r="F2" i="1" l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</calcChain>
</file>

<file path=xl/sharedStrings.xml><?xml version="1.0" encoding="utf-8"?>
<sst xmlns="http://schemas.openxmlformats.org/spreadsheetml/2006/main" count="3377" uniqueCount="1366">
  <si>
    <t>Book Id</t>
  </si>
  <si>
    <t>Title</t>
  </si>
  <si>
    <t>Author</t>
  </si>
  <si>
    <t>Author l-f</t>
  </si>
  <si>
    <t>Additional Authors</t>
  </si>
  <si>
    <t>ISBN</t>
  </si>
  <si>
    <t>ISBN13</t>
  </si>
  <si>
    <t>My Rating</t>
  </si>
  <si>
    <t>Average Rating</t>
  </si>
  <si>
    <t>Publisher</t>
  </si>
  <si>
    <t>Binding</t>
  </si>
  <si>
    <t>Number of Pages</t>
  </si>
  <si>
    <t>Year Published</t>
  </si>
  <si>
    <t>Original Publication Year</t>
  </si>
  <si>
    <t>Date Read</t>
  </si>
  <si>
    <t>Date Added</t>
  </si>
  <si>
    <t>Bookshelves</t>
  </si>
  <si>
    <t>Bookshelves with positions</t>
  </si>
  <si>
    <t>Exclusive Shelf</t>
  </si>
  <si>
    <t>My Review</t>
  </si>
  <si>
    <t>Spoiler</t>
  </si>
  <si>
    <t>Private Notes</t>
  </si>
  <si>
    <t>Read Count</t>
  </si>
  <si>
    <t>Recommended For</t>
  </si>
  <si>
    <t>Recommended By</t>
  </si>
  <si>
    <t>Owned Copies</t>
  </si>
  <si>
    <t>Original Purchase Date</t>
  </si>
  <si>
    <t>Original Purchase Location</t>
  </si>
  <si>
    <t>Condition</t>
  </si>
  <si>
    <t>Condition Description</t>
  </si>
  <si>
    <t>BCID</t>
  </si>
  <si>
    <t>Planetside (Planetside #1)</t>
  </si>
  <si>
    <t>Michael Mammay</t>
  </si>
  <si>
    <t>Mammay, Michael</t>
  </si>
  <si>
    <t>Harper Voyager</t>
  </si>
  <si>
    <t>ebook</t>
  </si>
  <si>
    <t>to-read</t>
  </si>
  <si>
    <t>to-read (#231)</t>
  </si>
  <si>
    <t>Project Hail Mary</t>
  </si>
  <si>
    <t>Andy Weir</t>
  </si>
  <si>
    <t>Weir, Andy</t>
  </si>
  <si>
    <t>Ballantine Books</t>
  </si>
  <si>
    <t>Hardcover</t>
  </si>
  <si>
    <t>read</t>
  </si>
  <si>
    <t>The Original</t>
  </si>
  <si>
    <t>Brandon Sanderson</t>
  </si>
  <si>
    <t>Sanderson, Brandon</t>
  </si>
  <si>
    <t>Mary Robinette Kowal, Julia Whelan</t>
  </si>
  <si>
    <t>Recorded Books</t>
  </si>
  <si>
    <t>Audible Audio</t>
  </si>
  <si>
    <t>Lux (Texas Reckoners, #1)</t>
  </si>
  <si>
    <t>Steven Bohls</t>
  </si>
  <si>
    <t>Audible Originals</t>
  </si>
  <si>
    <t>In the Shadow of Lightning (Glass Immortals #1)</t>
  </si>
  <si>
    <t>Brian  McClellan</t>
  </si>
  <si>
    <t>McClellan, Brian</t>
  </si>
  <si>
    <t>Tor Books</t>
  </si>
  <si>
    <t>Kindle Edition</t>
  </si>
  <si>
    <t>to-read (#230)</t>
  </si>
  <si>
    <t>Heaven's River (Bobiverse, #4)</t>
  </si>
  <si>
    <t>Dennis E. Taylor</t>
  </si>
  <si>
    <t>Taylor, Dennis E.</t>
  </si>
  <si>
    <t>Ray Porter</t>
  </si>
  <si>
    <t>Audible Studios</t>
  </si>
  <si>
    <t>Feedback</t>
  </si>
  <si>
    <t>to-read (#229)</t>
  </si>
  <si>
    <t>Outland</t>
  </si>
  <si>
    <t>to-read (#228)</t>
  </si>
  <si>
    <t>A Darker Magic (Starship's Mage, #10)</t>
  </si>
  <si>
    <t>Glynn Stewart</t>
  </si>
  <si>
    <t>Stewart, Glynn</t>
  </si>
  <si>
    <t>He Who Fights with Monsters (He Who Fights with Monsters, #1)</t>
  </si>
  <si>
    <t>Shirtaloon</t>
  </si>
  <si>
    <t>Shirtaloon, Shirtaloon</t>
  </si>
  <si>
    <t>to-read (#227)</t>
  </si>
  <si>
    <t>Algorithms to Live By: The Computer Science of Human Decisions</t>
  </si>
  <si>
    <t>Brian Christian</t>
  </si>
  <si>
    <t>Christian, Brian</t>
  </si>
  <si>
    <t>Tom  Griffiths</t>
  </si>
  <si>
    <t>Henry Holt and Co.</t>
  </si>
  <si>
    <t>Noble's Honor (Changeling Blood, #3)</t>
  </si>
  <si>
    <t>Faolan's Pen Publishing</t>
  </si>
  <si>
    <t>Shadow and Bone (The Shadow and Bone Trilogy, #1)</t>
  </si>
  <si>
    <t>Leigh Bardugo</t>
  </si>
  <si>
    <t>Bardugo, Leigh</t>
  </si>
  <si>
    <t>Henry Holt &amp; Company</t>
  </si>
  <si>
    <t>to-read (#226)</t>
  </si>
  <si>
    <t>Hunter's Oath (Changeling Blood, #2)</t>
  </si>
  <si>
    <t>Faolan's Pen Publishing Inc.</t>
  </si>
  <si>
    <t>The Choice of Magic (Art of the Adept, #1)</t>
  </si>
  <si>
    <t>Michael G. Manning</t>
  </si>
  <si>
    <t>Manning, Michael G.</t>
  </si>
  <si>
    <t>to-read (#225)</t>
  </si>
  <si>
    <t>Changeling's Fealty (Changeling Blood, #1)</t>
  </si>
  <si>
    <t>Orders of Battle (Frontlines #7)</t>
  </si>
  <si>
    <t>Marko Kloos</t>
  </si>
  <si>
    <t>Kloos, Marko</t>
  </si>
  <si>
    <t>47North</t>
  </si>
  <si>
    <t>Dead or Alive (Skulduggery Pleasant #14)</t>
  </si>
  <si>
    <t>Derek Landy</t>
  </si>
  <si>
    <t>Landy, Derek</t>
  </si>
  <si>
    <t>HarperCollinsChildrenâ€™sBooks</t>
  </si>
  <si>
    <t>Paperback</t>
  </si>
  <si>
    <t>to-read (#224)</t>
  </si>
  <si>
    <t>The Alpha Protocol (Alpha Protocol #1)</t>
  </si>
  <si>
    <t>Duncan M. Hamilton</t>
  </si>
  <si>
    <t>Hamilton, Duncan M.</t>
  </si>
  <si>
    <t>to-read (#223)</t>
  </si>
  <si>
    <t>Unsouled (Cradle, #1)</t>
  </si>
  <si>
    <t>Will Wight</t>
  </si>
  <si>
    <t>Wight, Will</t>
  </si>
  <si>
    <t>Hidden Gnome Publishing</t>
  </si>
  <si>
    <t>to-read (#222)</t>
  </si>
  <si>
    <t>Icerigger (Icerigger, #1)</t>
  </si>
  <si>
    <t>Alan Dean Foster</t>
  </si>
  <si>
    <t>Foster, Alan Dean</t>
  </si>
  <si>
    <t>Tim          White</t>
  </si>
  <si>
    <t>New English Library Ltd</t>
  </si>
  <si>
    <t>to-read (#221)</t>
  </si>
  <si>
    <t>The Damned Trilogy: A Call to Arms, The False Mirror, and The Spoils of War</t>
  </si>
  <si>
    <t>Open Road Media Sci-Fi &amp; Fantasy</t>
  </si>
  <si>
    <t>to-read (#220)</t>
  </si>
  <si>
    <t>The Old Guard: Tales Through Time #1</t>
  </si>
  <si>
    <t>Greg Rucka</t>
  </si>
  <si>
    <t>Rucka, Greg</t>
  </si>
  <si>
    <t>Andrew Wheeler, Leandro FernÃ¡ndez, Jacopo Camagni</t>
  </si>
  <si>
    <t>Image Comics</t>
  </si>
  <si>
    <t>to-read (#219)</t>
  </si>
  <si>
    <t>Tiamat's Wrath (The Expanse, #8)</t>
  </si>
  <si>
    <t>James S.A. Corey</t>
  </si>
  <si>
    <t>Corey, James S.A.</t>
  </si>
  <si>
    <t>Orbit Books</t>
  </si>
  <si>
    <t>Leviathan Falls (The Expanse, #9)</t>
  </si>
  <si>
    <t xml:space="preserve">Orbit </t>
  </si>
  <si>
    <t>to-read (#218)</t>
  </si>
  <si>
    <t>to-read (#217)</t>
  </si>
  <si>
    <t>Seasons of War (Skulduggery Pleasant, #13)</t>
  </si>
  <si>
    <t>HarperCollins Publishers</t>
  </si>
  <si>
    <t>Father-ish: Laugh Out-Loud  Tales from a Dad Trying Not to Ruin His Kids' Lives</t>
  </si>
  <si>
    <t>Clint Edwards</t>
  </si>
  <si>
    <t>Edwards, Clint</t>
  </si>
  <si>
    <t>Page Street Publishing</t>
  </si>
  <si>
    <t>currently-reading</t>
  </si>
  <si>
    <t>currently-reading (#1)</t>
  </si>
  <si>
    <t>Rhythm of War (The Stormlight Archive, #4)</t>
  </si>
  <si>
    <t>Finnikin of the Rock (Lumatere Chronicles, #1)</t>
  </si>
  <si>
    <t>Melina Marchetta</t>
  </si>
  <si>
    <t>Marchetta, Melina</t>
  </si>
  <si>
    <t>Viking Australia</t>
  </si>
  <si>
    <t>to-read (#216)</t>
  </si>
  <si>
    <t>The Queen's Poisoner (Kingfountain, #1)</t>
  </si>
  <si>
    <t>Jeff Wheeler</t>
  </si>
  <si>
    <t>Wheeler, Jeff</t>
  </si>
  <si>
    <t>to-read (#215)</t>
  </si>
  <si>
    <t>Trail of Lightning (The Sixth World, #1)</t>
  </si>
  <si>
    <t>Rebecca Roanhorse</t>
  </si>
  <si>
    <t>Roanhorse, Rebecca</t>
  </si>
  <si>
    <t>Saga Press</t>
  </si>
  <si>
    <t>to-read (#214)</t>
  </si>
  <si>
    <t>Foundryside (The Founders Trilogy, #1)</t>
  </si>
  <si>
    <t>Robert Jackson Bennett</t>
  </si>
  <si>
    <t>Bennett, Robert Jackson</t>
  </si>
  <si>
    <t>Crown</t>
  </si>
  <si>
    <t>Curse Of The Daemon Beast (Bulletproof Witch, #2)</t>
  </si>
  <si>
    <t>Francis James Blair</t>
  </si>
  <si>
    <t>Blair, Francis James</t>
  </si>
  <si>
    <t>Lily &amp; Rose Publishing LLC</t>
  </si>
  <si>
    <t>to-read (#213)</t>
  </si>
  <si>
    <t>Dark One</t>
  </si>
  <si>
    <t>Jackson Lanzing, Collin Kelly, Nathan C. Gooden, Kurt Michael Russell</t>
  </si>
  <si>
    <t>Vault Comics</t>
  </si>
  <si>
    <t>to-read (#212)</t>
  </si>
  <si>
    <t>Battle Ground (The Dresden Files, #17)</t>
  </si>
  <si>
    <t>Jim Butcher</t>
  </si>
  <si>
    <t>Butcher, Jim</t>
  </si>
  <si>
    <t>Ace</t>
  </si>
  <si>
    <t>The Subtle Art of Not Giving a F*ck: A Counterintuitive Approach to Living a Good Life</t>
  </si>
  <si>
    <t>Mark Manson</t>
  </si>
  <si>
    <t>Manson, Mark</t>
  </si>
  <si>
    <t>Harper</t>
  </si>
  <si>
    <t>The Terran Privateer (Duchy of Terra, #1)</t>
  </si>
  <si>
    <t>The Service of Mars (Starship's Mage,  #9)</t>
  </si>
  <si>
    <t>False Alarm: How Climate Change Panic Costs Us Trillions, Hurts the Poor, and Fails to Fix the Planet</t>
  </si>
  <si>
    <t>BjÃ¸rn Lomborg</t>
  </si>
  <si>
    <t>Lomborg, BjÃ¸rn</t>
  </si>
  <si>
    <t>Basic Books</t>
  </si>
  <si>
    <t>Dune (Dune, #1)</t>
  </si>
  <si>
    <t>Frank Herbert</t>
  </si>
  <si>
    <t>Herbert, Frank</t>
  </si>
  <si>
    <t>Ace Books</t>
  </si>
  <si>
    <t>Rise of Gods (The Paternus Trilogy, #1)</t>
  </si>
  <si>
    <t>Dyrk Ashton</t>
  </si>
  <si>
    <t>Ashton, Dyrk</t>
  </si>
  <si>
    <t>Paternus Books Media</t>
  </si>
  <si>
    <t>to-read (#211)</t>
  </si>
  <si>
    <t>Junkyard Druid (Colin McCool, #1)</t>
  </si>
  <si>
    <t>M.D. Massey</t>
  </si>
  <si>
    <t>Massey, M.D.</t>
  </si>
  <si>
    <t>Modern Digital Publishing</t>
  </si>
  <si>
    <t>Ink &amp; Sigil (Ink &amp; Sigil, #1)</t>
  </si>
  <si>
    <t>Kevin Hearne</t>
  </si>
  <si>
    <t>Hearne, Kevin</t>
  </si>
  <si>
    <t>Del Rey Books</t>
  </si>
  <si>
    <t>to-read (#210)</t>
  </si>
  <si>
    <t>Peace Talks (The Dresden Files, #16)</t>
  </si>
  <si>
    <t>Orbit</t>
  </si>
  <si>
    <t>Boneshaker (The Clockwork Century, #1)</t>
  </si>
  <si>
    <t>Cherie Priest</t>
  </si>
  <si>
    <t>Priest, Cherie</t>
  </si>
  <si>
    <t>to-read (#209)</t>
  </si>
  <si>
    <t>The Tripods Trilogy (The Tripods, #1-3)</t>
  </si>
  <si>
    <t>John Christopher</t>
  </si>
  <si>
    <t>Christopher, John</t>
  </si>
  <si>
    <t>Collier Books</t>
  </si>
  <si>
    <t>to-read (#208)</t>
  </si>
  <si>
    <t>Flesh and Spirit (Lighthouse, #1)</t>
  </si>
  <si>
    <t>Carol Berg</t>
  </si>
  <si>
    <t>Berg, Carol</t>
  </si>
  <si>
    <t>Roc</t>
  </si>
  <si>
    <t>to-read (#207)</t>
  </si>
  <si>
    <t>Red Rising (Red Rising Saga, #1)</t>
  </si>
  <si>
    <t>Pierce Brown</t>
  </si>
  <si>
    <t>Brown, Pierce</t>
  </si>
  <si>
    <t>Del Rey</t>
  </si>
  <si>
    <t>to-read (#206)</t>
  </si>
  <si>
    <t>Dancing With Eternity</t>
  </si>
  <si>
    <t>John Patrick Lowrie</t>
  </si>
  <si>
    <t>Lowrie, John Patrick</t>
  </si>
  <si>
    <t>Camel Press</t>
  </si>
  <si>
    <t>to-read (#205)</t>
  </si>
  <si>
    <t>The Merchant of Death (Pendragon, #1)</t>
  </si>
  <si>
    <t>D.J. MacHale</t>
  </si>
  <si>
    <t>MacHale, D.J.</t>
  </si>
  <si>
    <t>Aladdin Paperbacks</t>
  </si>
  <si>
    <t>to-read (#204)</t>
  </si>
  <si>
    <t>Opening Fire (The Old Guard #1)</t>
  </si>
  <si>
    <t>Leandro FernÃ¡ndez</t>
  </si>
  <si>
    <t>Homo Deus: A History of Tomorrow</t>
  </si>
  <si>
    <t>Yuval Noah Harari</t>
  </si>
  <si>
    <t>Harari, Yuval Noah</t>
  </si>
  <si>
    <t>Hereticus (Eisenhorn #3)</t>
  </si>
  <si>
    <t>Dan Abnett</t>
  </si>
  <si>
    <t>Abnett, Dan</t>
  </si>
  <si>
    <t>Black Library</t>
  </si>
  <si>
    <t>to-read (#203)</t>
  </si>
  <si>
    <t>Xenos (Eisenhorn #1)</t>
  </si>
  <si>
    <t>Games Workshop(uk)</t>
  </si>
  <si>
    <t>White Sand, Volume 1 (White Sand, #1)</t>
  </si>
  <si>
    <t>Rik Hoskin, Julius Gopez</t>
  </si>
  <si>
    <t>Dynamite</t>
  </si>
  <si>
    <t>The Emperor's Soul</t>
  </si>
  <si>
    <t>Dragonsteel Entertainment</t>
  </si>
  <si>
    <t>Lift</t>
  </si>
  <si>
    <t>tor.com</t>
  </si>
  <si>
    <t>to-read (#202)</t>
  </si>
  <si>
    <t>Elantris (Elantris, #1)</t>
  </si>
  <si>
    <t>Tor Fantasy</t>
  </si>
  <si>
    <t>Mass Market Paperback</t>
  </si>
  <si>
    <t>Mountain of Mars (Starship's Mage, #8)</t>
  </si>
  <si>
    <t>The Shadow of What Was Lost (The Licanius Trilogy, #1)</t>
  </si>
  <si>
    <t>James Islington</t>
  </si>
  <si>
    <t>Islington, James</t>
  </si>
  <si>
    <t>Aslaradis Publishing</t>
  </si>
  <si>
    <t>Blood Tally (Valkyrie Collections, #2)</t>
  </si>
  <si>
    <t>Brian McClellan</t>
  </si>
  <si>
    <t>to-read (#199)</t>
  </si>
  <si>
    <t>Three Parts Dead (Craft Sequence, #1)</t>
  </si>
  <si>
    <t>Max Gladstone</t>
  </si>
  <si>
    <t>Gladstone, Max</t>
  </si>
  <si>
    <t>to-read (#201)</t>
  </si>
  <si>
    <t>Child of Fire (Twenty Palaces, #1)</t>
  </si>
  <si>
    <t>Harry Connolly</t>
  </si>
  <si>
    <t>Connolly, Harry</t>
  </si>
  <si>
    <t>to-read (#200)</t>
  </si>
  <si>
    <t>Blood of Empire (Gods of Blood and Powder, #3)</t>
  </si>
  <si>
    <t>Stay of Execution (ONSET, #4)</t>
  </si>
  <si>
    <t>Starsight (Skyward, #2)</t>
  </si>
  <si>
    <t>Orion Publishing Co</t>
  </si>
  <si>
    <t>Blood of the Innocent (ONSET, #3)</t>
  </si>
  <si>
    <t>Faolan's Pen Publishing Inc</t>
  </si>
  <si>
    <t>To Serve and Protect (ONSET, #1)</t>
  </si>
  <si>
    <t>My Enemy's Enemy (ONSET, #2)</t>
  </si>
  <si>
    <t>On The Use Of Shape-Shifters In Warfare</t>
  </si>
  <si>
    <t>Frostbite Publishing</t>
  </si>
  <si>
    <t>21 Lessons for the 21st Century</t>
  </si>
  <si>
    <t>Vintage Digital</t>
  </si>
  <si>
    <t>Hero Forged (Ethereal Earth #1)</t>
  </si>
  <si>
    <t>Josh Erikson</t>
  </si>
  <si>
    <t>Erikson, Josh</t>
  </si>
  <si>
    <t>to-read (#198)</t>
  </si>
  <si>
    <t>Sword of Mars (Starship's Mage, #7)</t>
  </si>
  <si>
    <t>War Cry</t>
  </si>
  <si>
    <t>Tor.com</t>
  </si>
  <si>
    <t>Bedlam (Skulduggery Pleasant, #12)</t>
  </si>
  <si>
    <t>The Forbidden Library (The Forbidden Library, #1)</t>
  </si>
  <si>
    <t>Django Wexler</t>
  </si>
  <si>
    <t>Wexler, Django</t>
  </si>
  <si>
    <t>Alexander Jansson</t>
  </si>
  <si>
    <t>Kathy Dawson Books</t>
  </si>
  <si>
    <t>to-read (#197)</t>
  </si>
  <si>
    <t>Ship of Smoke and Steel (The Wells of Sorcery, #1)</t>
  </si>
  <si>
    <t>Tor Teen</t>
  </si>
  <si>
    <t>to-read (#196)</t>
  </si>
  <si>
    <t>Uncanny Collateral (Valkyrie Collections, #1)</t>
  </si>
  <si>
    <t>Green-Eyed Vipers (Powder Mage, #0.6)</t>
  </si>
  <si>
    <t>to-read (#195)</t>
  </si>
  <si>
    <t>Skyward (Skyward, #1)</t>
  </si>
  <si>
    <t>Gollancz</t>
  </si>
  <si>
    <t>Lies of the Beholder (Legion, #3)</t>
  </si>
  <si>
    <t>Subterranean Press</t>
  </si>
  <si>
    <t>Wolves (Hell Divers, #4)</t>
  </si>
  <si>
    <t>Nicholas Sansbury Smith</t>
  </si>
  <si>
    <t>Smith, Nicholas Sansbury</t>
  </si>
  <si>
    <t>Blackstone Publishing</t>
  </si>
  <si>
    <t>The Delivery of Flesh (Bulletproof Witch, #1)</t>
  </si>
  <si>
    <t>UnArcana Stars (Starship's Mage, #6)</t>
  </si>
  <si>
    <t>Extinction Horizon (Extinction Cycle, #1)</t>
  </si>
  <si>
    <t>to-read (#194)</t>
  </si>
  <si>
    <t>Aftershocks (The Palladium Wars #1)</t>
  </si>
  <si>
    <t>to-read (#193)</t>
  </si>
  <si>
    <t>Deliverance (Hell Divers, #3)</t>
  </si>
  <si>
    <t>Spellslinger (Spellslinger, #1)</t>
  </si>
  <si>
    <t>Sebastien de Castell</t>
  </si>
  <si>
    <t>Castell, Sebastien de</t>
  </si>
  <si>
    <t>Hot Key Books</t>
  </si>
  <si>
    <t>to-read (#192)</t>
  </si>
  <si>
    <t>Mortal Engines (The Hungry City Chronicles, #1)</t>
  </si>
  <si>
    <t>Philip Reeve</t>
  </si>
  <si>
    <t>Reeve, Philip</t>
  </si>
  <si>
    <t>Harper Collins US UK</t>
  </si>
  <si>
    <t>to-read (#191)</t>
  </si>
  <si>
    <t>Ghosts (Hell Divers, #2)</t>
  </si>
  <si>
    <t>Go Nitro: Rise of the Blades (Go Nitro, #1)</t>
  </si>
  <si>
    <t>Jeremy N. Dooley</t>
  </si>
  <si>
    <t>Dooley, Jeremy N.</t>
  </si>
  <si>
    <t>CreateSpace Independent Publishing Platform</t>
  </si>
  <si>
    <t>to-read (#190)</t>
  </si>
  <si>
    <t>Hell Divers (Hell Divers #1)</t>
  </si>
  <si>
    <t>Blackstone Audiobooks</t>
  </si>
  <si>
    <t>Audiobook</t>
  </si>
  <si>
    <t>Exit Strategy (The Murderbot Diaries, #4)</t>
  </si>
  <si>
    <t>Martha Wells</t>
  </si>
  <si>
    <t>Wells, Martha</t>
  </si>
  <si>
    <t>to-read (#189)</t>
  </si>
  <si>
    <t>Big Damn Hero (Firefly #1)</t>
  </si>
  <si>
    <t>James Lovegrove</t>
  </si>
  <si>
    <t>Lovegrove, James</t>
  </si>
  <si>
    <t>Nancy Holder</t>
  </si>
  <si>
    <t>Titan Books</t>
  </si>
  <si>
    <t>to-read (#188)</t>
  </si>
  <si>
    <t>Wrath of Empire (Gods of Blood and Powder, #2)</t>
  </si>
  <si>
    <t>You Die When You Die (West of West #1)</t>
  </si>
  <si>
    <t>Angus Watson</t>
  </si>
  <si>
    <t>Watson, Angus</t>
  </si>
  <si>
    <t>to-read (#187)</t>
  </si>
  <si>
    <t>Permutation City (Subjective Cosmology #2)</t>
  </si>
  <si>
    <t>Greg Egan</t>
  </si>
  <si>
    <t>Egan, Greg</t>
  </si>
  <si>
    <t>HarperPrism</t>
  </si>
  <si>
    <t>to-read (#186)</t>
  </si>
  <si>
    <t>Sins of Empire (Gods of Blood and Powder, #1)</t>
  </si>
  <si>
    <t>The Mad Lancers (Gods of Blood and Powder, #0.1)</t>
  </si>
  <si>
    <t>to-read (#185)</t>
  </si>
  <si>
    <t>The Empire of Ashes (The Draconis Memoria, #3)</t>
  </si>
  <si>
    <t>Anthony Ryan</t>
  </si>
  <si>
    <t>Ryan, Anthony</t>
  </si>
  <si>
    <t>to-read (#184)</t>
  </si>
  <si>
    <t>Empire of Silence (Sun Eater, #1)</t>
  </si>
  <si>
    <t>Christopher Ruocchio</t>
  </si>
  <si>
    <t>Ruocchio, Christopher</t>
  </si>
  <si>
    <t>DAW</t>
  </si>
  <si>
    <t>to-read (#183)</t>
  </si>
  <si>
    <t>Persepolis Rising (The Expanse, #7)</t>
  </si>
  <si>
    <t>Shadow Prowler (Chronicles of Siala #1)</t>
  </si>
  <si>
    <t>Alexey Pehov</t>
  </si>
  <si>
    <t>Pehov, Alexey</t>
  </si>
  <si>
    <t>ÐÐ»ÐµÐºÑÐµÐ¹ ÐŸÐµÑ…Ð¾Ð², Andrew Bloomfield</t>
  </si>
  <si>
    <t>Simon &amp; Schuster</t>
  </si>
  <si>
    <t>to-read (#182)</t>
  </si>
  <si>
    <t>The Innocent Mage (Kingmaker, Kingbreaker, #1)</t>
  </si>
  <si>
    <t>Karen Miller</t>
  </si>
  <si>
    <t>Miller, Karen</t>
  </si>
  <si>
    <t>to-read (#181)</t>
  </si>
  <si>
    <t>The Eyre Affair (Thursday Next, #1)</t>
  </si>
  <si>
    <t>Jasper Fforde</t>
  </si>
  <si>
    <t>Fforde, Jasper</t>
  </si>
  <si>
    <t>Penguin Books</t>
  </si>
  <si>
    <t>to-read (#180)</t>
  </si>
  <si>
    <t>Dirk Gently's Holistic Detective Agency (Dirk Gently, #1)</t>
  </si>
  <si>
    <t>Douglas Adams</t>
  </si>
  <si>
    <t>Adams, Douglas</t>
  </si>
  <si>
    <t>Pocket Books</t>
  </si>
  <si>
    <t>to-read (#179)</t>
  </si>
  <si>
    <t>Points of Impact (Frontlines #6)</t>
  </si>
  <si>
    <t>Midnight (Skulduggery Pleasant, #11)</t>
  </si>
  <si>
    <t>HarperCollins Childrenâ€™s Books</t>
  </si>
  <si>
    <t>Scorched Shadows (Hellequin Chronicles, #7)</t>
  </si>
  <si>
    <t>Steve McHugh</t>
  </si>
  <si>
    <t>McHugh, Steve</t>
  </si>
  <si>
    <t>47 North</t>
  </si>
  <si>
    <t>Heart of Vengeance (Vigilante, #1)</t>
  </si>
  <si>
    <t>Terry Mixon</t>
  </si>
  <si>
    <t>to-read (#178)</t>
  </si>
  <si>
    <t>A Glimmer of Hope (The Avalon Chronicles #1)</t>
  </si>
  <si>
    <t>to-read (#177)</t>
  </si>
  <si>
    <t>Oathbringer (The Stormlight Archive, #3)</t>
  </si>
  <si>
    <t>Master Assassins (The Fire Sacraments, #1)</t>
  </si>
  <si>
    <t>Robert V.S. Redick</t>
  </si>
  <si>
    <t>Redick, Robert V.S.</t>
  </si>
  <si>
    <t>Talos</t>
  </si>
  <si>
    <t>to-read (#176)</t>
  </si>
  <si>
    <t>Artemis</t>
  </si>
  <si>
    <t>to-read (#175)</t>
  </si>
  <si>
    <t>Altered Carbon (Takeshi Kovacs, #1)</t>
  </si>
  <si>
    <t>Richard K. Morgan</t>
  </si>
  <si>
    <t>Morgan, Richard K.</t>
  </si>
  <si>
    <t>Del Rey / Ballantine Books</t>
  </si>
  <si>
    <t>to-read (#174)</t>
  </si>
  <si>
    <t>Blood of Elves (The Witcher, #1)</t>
  </si>
  <si>
    <t>Andrzej Sapkowski</t>
  </si>
  <si>
    <t>Sapkowski, Andrzej</t>
  </si>
  <si>
    <t>Danusia Stok</t>
  </si>
  <si>
    <t>Hachette Book Group</t>
  </si>
  <si>
    <t>to-read (#173)</t>
  </si>
  <si>
    <t>Interstellar Mage (Starship's Mage: Red Falcon, #1)</t>
  </si>
  <si>
    <t>Obsidian Son (The Temple Chronicles, #1)</t>
  </si>
  <si>
    <t>Shayne Silvers</t>
  </si>
  <si>
    <t>Silvers, Shayne</t>
  </si>
  <si>
    <t>Argento Publishing</t>
  </si>
  <si>
    <t>to-read (#172)</t>
  </si>
  <si>
    <t>The Black Shriving (Chronicles of the Black Gate #2)</t>
  </si>
  <si>
    <t>Phil Tucker</t>
  </si>
  <si>
    <t>Tucker, Phil</t>
  </si>
  <si>
    <t>Guns of the Dawn</t>
  </si>
  <si>
    <t>Adrian Tchaikovsky</t>
  </si>
  <si>
    <t>Tchaikovsky, Adrian</t>
  </si>
  <si>
    <t>Tor UK/Panmacmillan</t>
  </si>
  <si>
    <t>to-read (#171)</t>
  </si>
  <si>
    <t>Gemini Cell (Reawakening Trilogy #1)</t>
  </si>
  <si>
    <t>Myke Cole</t>
  </si>
  <si>
    <t>Cole, Myke</t>
  </si>
  <si>
    <t>to-read (#170)</t>
  </si>
  <si>
    <t>Survival Quest (The Way of the Shaman, #1)</t>
  </si>
  <si>
    <t>Vasily Mahanenko</t>
  </si>
  <si>
    <t>Mahanenko, Vasily</t>
  </si>
  <si>
    <t>Ð’Ð°ÑÐ¸Ð»Ð¸Ð¹ ÐœÐ°Ñ…Ð°Ð½ÐµÐ½ÐºÐ¾, Natalia Nikitin</t>
  </si>
  <si>
    <t>Magic Dome Books</t>
  </si>
  <si>
    <t>to-read (#169)</t>
  </si>
  <si>
    <t>Fimbulwinter (Daniel Black, #1)</t>
  </si>
  <si>
    <t>E. William Brown</t>
  </si>
  <si>
    <t>Brown, E. William</t>
  </si>
  <si>
    <t>to-read (#168)</t>
  </si>
  <si>
    <t>Free the Darkness (King's Dark Tidings #1)</t>
  </si>
  <si>
    <t>Kel Kade</t>
  </si>
  <si>
    <t>Kade, Kel</t>
  </si>
  <si>
    <t>to-read (#167)</t>
  </si>
  <si>
    <t>Child of the Daystar (The Wings of War, #1)</t>
  </si>
  <si>
    <t>Bryce O'Connor</t>
  </si>
  <si>
    <t>O'Connor, Bryce</t>
  </si>
  <si>
    <t>Wraithmarked Creative, LLC</t>
  </si>
  <si>
    <t>to-read (#166)</t>
  </si>
  <si>
    <t>The Amber Spyglass (His Dark Materials, #3)</t>
  </si>
  <si>
    <t>Philip Pullman</t>
  </si>
  <si>
    <t>Pullman, Philip</t>
  </si>
  <si>
    <t>Laurel Leaf</t>
  </si>
  <si>
    <t>The Subtle Knife (His Dark Materials, #2)</t>
  </si>
  <si>
    <t>Alfred A. Knopf Books for Young Readers</t>
  </si>
  <si>
    <t>Origin (Robert Langdon, #5)</t>
  </si>
  <si>
    <t>Dan Brown</t>
  </si>
  <si>
    <t>Brown, Dan</t>
  </si>
  <si>
    <t>Doubleday</t>
  </si>
  <si>
    <t>to-read (#165)</t>
  </si>
  <si>
    <t>The Path of Flames (Chronicles of the Black Gate #1)</t>
  </si>
  <si>
    <t>Blood Honor (The Day After Never, #1)</t>
  </si>
  <si>
    <t>Russell Blake</t>
  </si>
  <si>
    <t>Blake, Russell</t>
  </si>
  <si>
    <t>Reprobatio Ltd.</t>
  </si>
  <si>
    <t>to-read (#164)</t>
  </si>
  <si>
    <t>Senlin Ascends (The Books of Babel, #1)</t>
  </si>
  <si>
    <t>Josiah Bancroft</t>
  </si>
  <si>
    <t>Bancroft, Josiah</t>
  </si>
  <si>
    <t>to-read (#163)</t>
  </si>
  <si>
    <t>The Black Prism (Lightbringer, #1)</t>
  </si>
  <si>
    <t>Brent Weeks</t>
  </si>
  <si>
    <t>Weeks, Brent</t>
  </si>
  <si>
    <t>to-read (#162)</t>
  </si>
  <si>
    <t>All These Worlds (Bobiverse, #3)</t>
  </si>
  <si>
    <t>Worldbuilders Press</t>
  </si>
  <si>
    <t>For We Are Many (Bobiverse, #2)</t>
  </si>
  <si>
    <t>The Maleficent Seven (Skulduggery Pleasant, #7.5)</t>
  </si>
  <si>
    <t>HarperCollinsChildren'sBooks</t>
  </si>
  <si>
    <t>American Monsters (Demon Road, #3)</t>
  </si>
  <si>
    <t>Desolation (Demon Road, #2)</t>
  </si>
  <si>
    <t>Harper Collins</t>
  </si>
  <si>
    <t>Demon Road (Demon Road, #1)</t>
  </si>
  <si>
    <t>HarperCollins Children's Books</t>
  </si>
  <si>
    <t>Armageddon Outta Here (Skulduggery Pleasant, #8.5)</t>
  </si>
  <si>
    <t>Resurrection (Skulduggery Pleasant, #10)</t>
  </si>
  <si>
    <t>Harper Collins Children's Books</t>
  </si>
  <si>
    <t>The Dying of the Light (Skulduggery Pleasant, #9)</t>
  </si>
  <si>
    <t>Last Stand of Dead Men (Skulduggery Pleasant, #8)</t>
  </si>
  <si>
    <t>Kingdom of the Wicked (Skulduggery Pleasant, #7)</t>
  </si>
  <si>
    <t>Death Bringer (Skulduggery Pleasant, #6)</t>
  </si>
  <si>
    <t>HarperCollins Children's</t>
  </si>
  <si>
    <t>Audio CD</t>
  </si>
  <si>
    <t>Mortal Coil (Skulduggery Pleasant, #5)</t>
  </si>
  <si>
    <t>Tower Lord (Raven's Shadow, #2)</t>
  </si>
  <si>
    <t>Ace Hardcover</t>
  </si>
  <si>
    <t>Slab City Blues: The Collected Stories (Slab City Blues #1-5)</t>
  </si>
  <si>
    <t>to-read (#161)</t>
  </si>
  <si>
    <t>Dark Days (Skulduggery Pleasant, #4)</t>
  </si>
  <si>
    <t>Harper Collins Children's</t>
  </si>
  <si>
    <t>Besieged (The Iron Druid Chronicles #4.1-4.2, 4.4, 4.6, 8.1-8.2, 8.5-8.6, 8.9)</t>
  </si>
  <si>
    <t>to-read (#160)</t>
  </si>
  <si>
    <t>The Legion of Flame (The Draconis Memoria #2)</t>
  </si>
  <si>
    <t>to-read (#159)</t>
  </si>
  <si>
    <t>The Faceless Ones (Skulduggery Pleasant, #3)</t>
  </si>
  <si>
    <t>Playing with Fire (Skulduggery Pleasant, #2)</t>
  </si>
  <si>
    <t>HarperCollins</t>
  </si>
  <si>
    <t>Skulduggery Pleasant (Skulduggery Pleasant, #1)</t>
  </si>
  <si>
    <t>Tom Percival</t>
  </si>
  <si>
    <t>City in the Sky</t>
  </si>
  <si>
    <t>to-read (#158)</t>
  </si>
  <si>
    <t>Judgment of Mars (Starship's Mage, #5)</t>
  </si>
  <si>
    <t>Alien Arcana (Starship's Mage, #4)</t>
  </si>
  <si>
    <t>Voice of Mars (Starship's Mage, #3)</t>
  </si>
  <si>
    <t>Hand of Mars (Starship's Mage, #2)</t>
  </si>
  <si>
    <t>Faolan''s Pen Publishing Inc.</t>
  </si>
  <si>
    <t>Edgedancer (The Stormlight Archive, #2.5)</t>
  </si>
  <si>
    <t>to-read (#157)</t>
  </si>
  <si>
    <t>Assassin's Fate (The Fitz and the Fool, #3)</t>
  </si>
  <si>
    <t>Robin Hobb</t>
  </si>
  <si>
    <t>Hobb, Robin</t>
  </si>
  <si>
    <t>The Rogue Prince (Sky Full of Stars, #1)</t>
  </si>
  <si>
    <t>Lindsay Buroker</t>
  </si>
  <si>
    <t>Buroker, Lindsay</t>
  </si>
  <si>
    <t>to-read (#156)</t>
  </si>
  <si>
    <t>The Wolf of the North (Wolf of the North #1)</t>
  </si>
  <si>
    <t>to-read (#155)</t>
  </si>
  <si>
    <t>The Last War (The Last War, #1)</t>
  </si>
  <si>
    <t>Peter Bostrom</t>
  </si>
  <si>
    <t>Bostrom, Peter</t>
  </si>
  <si>
    <t>Hyperspace Press</t>
  </si>
  <si>
    <t>to-read (#154)</t>
  </si>
  <si>
    <t>Bunker: Born to Fight (Bunker #1)</t>
  </si>
  <si>
    <t>Jay J. Falconer</t>
  </si>
  <si>
    <t>Falconer, Jay J.</t>
  </si>
  <si>
    <t>to-read (#153)</t>
  </si>
  <si>
    <t>The Last Girl (The Dominion Trilogy, #1)</t>
  </si>
  <si>
    <t>Joe Hart</t>
  </si>
  <si>
    <t>Hart, Joe</t>
  </si>
  <si>
    <t>Thomas &amp; Mercer</t>
  </si>
  <si>
    <t>to-read (#152)</t>
  </si>
  <si>
    <t>Eye of the Tiger (Star Justice #1)</t>
  </si>
  <si>
    <t>Michael-Scott Earle</t>
  </si>
  <si>
    <t>Earle, Michael-Scott</t>
  </si>
  <si>
    <t>to-read (#151)</t>
  </si>
  <si>
    <t>The Ember War (The Ember War Saga, #1)</t>
  </si>
  <si>
    <t>Richard Fox</t>
  </si>
  <si>
    <t>Fox, Richard</t>
  </si>
  <si>
    <t>Triplane Press</t>
  </si>
  <si>
    <t>to-read (#150)</t>
  </si>
  <si>
    <t>We Are The Wolf (Wolf Pack Book 1)</t>
  </si>
  <si>
    <t>Toby Neighbors</t>
  </si>
  <si>
    <t>Neighbors, Toby</t>
  </si>
  <si>
    <t>Mythic Adventure Publishing, LLC</t>
  </si>
  <si>
    <t>to-read (#149)</t>
  </si>
  <si>
    <t>Iron Dragoons (Terran Armor Corps #1)</t>
  </si>
  <si>
    <t>to-read (#148)</t>
  </si>
  <si>
    <t>Space Carrier Avalon (Castle Federation, #1)</t>
  </si>
  <si>
    <t>to-read (#147)</t>
  </si>
  <si>
    <t>Starship's Mage: Omnibus (Starship's Mage, #1)</t>
  </si>
  <si>
    <t>Dead Things (Eric Carter #1)</t>
  </si>
  <si>
    <t>Stephen Blackmoore</t>
  </si>
  <si>
    <t>Blackmoore, Stephen</t>
  </si>
  <si>
    <t>to-read (#146)</t>
  </si>
  <si>
    <t>The Black Book (Billy Varney, #1)</t>
  </si>
  <si>
    <t>James Patterson</t>
  </si>
  <si>
    <t>Patterson, James</t>
  </si>
  <si>
    <t>David Ellis</t>
  </si>
  <si>
    <t>Century</t>
  </si>
  <si>
    <t>to-read (#145)</t>
  </si>
  <si>
    <t>A Plague of Giants (Seven Kennings, #1)</t>
  </si>
  <si>
    <t>to-read (#144)</t>
  </si>
  <si>
    <t>Sufficiently Advanced Magic (Arcane Ascension, #1)</t>
  </si>
  <si>
    <t>Andrew Rowe</t>
  </si>
  <si>
    <t>Rowe, Andrew</t>
  </si>
  <si>
    <t>to-read (#143)</t>
  </si>
  <si>
    <t>We Are Legion (We Are Bob) (Bobiverse, #1)</t>
  </si>
  <si>
    <t>Change Agent</t>
  </si>
  <si>
    <t>Daniel Suarez</t>
  </si>
  <si>
    <t>Suarez, Daniel</t>
  </si>
  <si>
    <t>Dutton Books</t>
  </si>
  <si>
    <t>to-read (#142)</t>
  </si>
  <si>
    <t>The World Walker (The World Walker, #1)</t>
  </si>
  <si>
    <t>Ian W. Sainsbury</t>
  </si>
  <si>
    <t>Sainsbury, Ian W.</t>
  </si>
  <si>
    <t>to-read (#139)</t>
  </si>
  <si>
    <t>The Vagrant (The Vagrant, #1)</t>
  </si>
  <si>
    <t>Peter  Newman</t>
  </si>
  <si>
    <t>Newman, Peter</t>
  </si>
  <si>
    <t>HarperVoyager</t>
  </si>
  <si>
    <t>to-read (#141)</t>
  </si>
  <si>
    <t>The Collapsing Empire (The Interdependency, #1)</t>
  </si>
  <si>
    <t>John Scalzi</t>
  </si>
  <si>
    <t>Scalzi, John</t>
  </si>
  <si>
    <t>to-read (#140)</t>
  </si>
  <si>
    <t>Nightside the Long Sun (The Book of the Long Sun #1)</t>
  </si>
  <si>
    <t>Gene Wolfe</t>
  </si>
  <si>
    <t>Wolfe, Gene</t>
  </si>
  <si>
    <t>to-read (#138)</t>
  </si>
  <si>
    <t>Ghosts of Tomorrow</t>
  </si>
  <si>
    <t>Michael R. Fletcher</t>
  </si>
  <si>
    <t>Fletcher, Michael R.</t>
  </si>
  <si>
    <t>to-read (#137)</t>
  </si>
  <si>
    <t>Fields of Fire (Frontlines, #5)</t>
  </si>
  <si>
    <t>Sixth of the Dusk</t>
  </si>
  <si>
    <t>Dragonsteel Entertainment, LLC</t>
  </si>
  <si>
    <t>Snapshot</t>
  </si>
  <si>
    <t>Vault Books</t>
  </si>
  <si>
    <t>Leather Bound</t>
  </si>
  <si>
    <t>Awakening (Infinity Blade, #1)</t>
  </si>
  <si>
    <t>ChAIR Entertainment Group</t>
  </si>
  <si>
    <t>to-read (#136)</t>
  </si>
  <si>
    <t>Firstborn</t>
  </si>
  <si>
    <t>to-read (#135)</t>
  </si>
  <si>
    <t>Monster Hunter Vendetta (Monster Hunter International, #2)</t>
  </si>
  <si>
    <t>Larry Correia</t>
  </si>
  <si>
    <t>Correia, Larry</t>
  </si>
  <si>
    <t>Baen</t>
  </si>
  <si>
    <t>The Dragonbone Chair (Memory, Sorrow, and Thorn, #1)</t>
  </si>
  <si>
    <t>Tad Williams</t>
  </si>
  <si>
    <t>Williams, Tad</t>
  </si>
  <si>
    <t>to-read (#134)</t>
  </si>
  <si>
    <t>Monster Hunter International (Monster Hunter International, #1)</t>
  </si>
  <si>
    <t>Infinity Publishing</t>
  </si>
  <si>
    <t>Babylon's Ashes (The Expanse, #6)</t>
  </si>
  <si>
    <t>Last Argument of Kings (The First Law, #3)</t>
  </si>
  <si>
    <t>Joe Abercrombie</t>
  </si>
  <si>
    <t>Abercrombie, Joe</t>
  </si>
  <si>
    <t>Trade Paperback</t>
  </si>
  <si>
    <t>Best Served Cold</t>
  </si>
  <si>
    <t>to-read (#133)</t>
  </si>
  <si>
    <t>Before They Are Hanged (The First Law, #2)</t>
  </si>
  <si>
    <t>The Shards of Heaven (The Shards of Heaven #1)</t>
  </si>
  <si>
    <t>Michael Livingston</t>
  </si>
  <si>
    <t>Livingston, Michael</t>
  </si>
  <si>
    <t>to-read (#132)</t>
  </si>
  <si>
    <t>The Blade Itself (The First Law, #1)</t>
  </si>
  <si>
    <t>Promise of Wrath</t>
  </si>
  <si>
    <t>Promise of Wrath (Hellequin Chronicles, #6)</t>
  </si>
  <si>
    <t>Fool's Quest  (The Fitz and The Fool, #2)</t>
  </si>
  <si>
    <t>Six of Crows (Six of Crows, #1)</t>
  </si>
  <si>
    <t>to-read (#131)</t>
  </si>
  <si>
    <t>Age of Myth (The Legends of the First Empire, #1)</t>
  </si>
  <si>
    <t>Michael J. Sullivan</t>
  </si>
  <si>
    <t>Sullivan, Michael J.</t>
  </si>
  <si>
    <t>to-read (#130)</t>
  </si>
  <si>
    <t>Fool's Assassin (The Fitz and the Fool, #1)</t>
  </si>
  <si>
    <t>Fool's Fate (Tawny Man, #3)</t>
  </si>
  <si>
    <t>Spectra</t>
  </si>
  <si>
    <t>Golden Fool (Tawny Man, #2)</t>
  </si>
  <si>
    <t>The Apocalypse Guard (Apocalypse Guard, #1)</t>
  </si>
  <si>
    <t>Delacorte</t>
  </si>
  <si>
    <t>to-read (#129)</t>
  </si>
  <si>
    <t>The Summer Dragon (The Evertide, #1)</t>
  </si>
  <si>
    <t>Todd Lockwood</t>
  </si>
  <si>
    <t>Lockwood, Todd</t>
  </si>
  <si>
    <t>to-read (#128)</t>
  </si>
  <si>
    <t>Fool's Errand (Tawny Man, #1)</t>
  </si>
  <si>
    <t>Voyager</t>
  </si>
  <si>
    <t>Scrappy Little Nobody</t>
  </si>
  <si>
    <t>Anna Kendrick</t>
  </si>
  <si>
    <t>Kendrick, Anna</t>
  </si>
  <si>
    <t>Gallery Books</t>
  </si>
  <si>
    <t>to-read (#127)</t>
  </si>
  <si>
    <t>Shaman's Crossing (Soldier Son, #1)</t>
  </si>
  <si>
    <t>to-read (#126)</t>
  </si>
  <si>
    <t>American Gods (American Gods, #1)</t>
  </si>
  <si>
    <t>Neil Gaiman</t>
  </si>
  <si>
    <t>Gaiman, Neil</t>
  </si>
  <si>
    <t>Headline Review</t>
  </si>
  <si>
    <t>Ship of Destiny (Liveship Traders, #3)</t>
  </si>
  <si>
    <t>Spectra Books</t>
  </si>
  <si>
    <t>The Mad Ship (Liveship Traders, #2)</t>
  </si>
  <si>
    <t>Ship of Magic (Liveship Traders, #1)</t>
  </si>
  <si>
    <t>Assassin's Quest (Farseer Trilogy, #3)</t>
  </si>
  <si>
    <t>Flashforward</t>
  </si>
  <si>
    <t>Robert J. Sawyer</t>
  </si>
  <si>
    <t>Sawyer, Robert J.</t>
  </si>
  <si>
    <t>to-read (#125)</t>
  </si>
  <si>
    <t>Royal Assassin (Farseer Trilogy, #2)</t>
  </si>
  <si>
    <t>The Dragon Keeper (Rain Wild Chronicles, #1)</t>
  </si>
  <si>
    <t>to-read (#124)</t>
  </si>
  <si>
    <t>Assassin's Apprentice (Farseer Trilogy, #1)</t>
  </si>
  <si>
    <t>William Morrow</t>
  </si>
  <si>
    <t>The Martian</t>
  </si>
  <si>
    <t>Nemesis Games (The Expanse, #5)</t>
  </si>
  <si>
    <t>The Waking Fire (The Draconis Memoria, #1)</t>
  </si>
  <si>
    <t>to-read (#123)</t>
  </si>
  <si>
    <t>Consider Phlebas (Culture, #1)</t>
  </si>
  <si>
    <t>Iain M. Banks</t>
  </si>
  <si>
    <t>Banks, Iain M.</t>
  </si>
  <si>
    <t>to-read (#122)</t>
  </si>
  <si>
    <t>Revelation Space (Revelation Space, #1)</t>
  </si>
  <si>
    <t>Alastair Reynolds</t>
  </si>
  <si>
    <t>Reynolds, Alastair</t>
  </si>
  <si>
    <t>to-read (#121)</t>
  </si>
  <si>
    <t>Beacon 23 (Beacon 23, #1-5)</t>
  </si>
  <si>
    <t>Hugh Howey</t>
  </si>
  <si>
    <t>Howey, Hugh</t>
  </si>
  <si>
    <t>Createspace</t>
  </si>
  <si>
    <t>to-read (#120)</t>
  </si>
  <si>
    <t>Sand (Sand, #1-5)</t>
  </si>
  <si>
    <t>Arrow</t>
  </si>
  <si>
    <t>to-read (#119)</t>
  </si>
  <si>
    <t>Fear the Sky (The Fear Saga, #1)</t>
  </si>
  <si>
    <t>Stephen     Moss</t>
  </si>
  <si>
    <t>Moss, Stephen</t>
  </si>
  <si>
    <t>Stephen Moss</t>
  </si>
  <si>
    <t>to-read (#118)</t>
  </si>
  <si>
    <t>Hyperion (Hyperion Cantos, #1)</t>
  </si>
  <si>
    <t>Dan Simmons</t>
  </si>
  <si>
    <t>Simmons, Dan</t>
  </si>
  <si>
    <t>Gary Ruddell</t>
  </si>
  <si>
    <t>Bantam Spectra</t>
  </si>
  <si>
    <t>to-read (#117)</t>
  </si>
  <si>
    <t>West of Eden (West of Eden, #1)</t>
  </si>
  <si>
    <t>Harry Harrison</t>
  </si>
  <si>
    <t>Harrison, Harry</t>
  </si>
  <si>
    <t>Bill Sanderson</t>
  </si>
  <si>
    <t>iBooks</t>
  </si>
  <si>
    <t>to-read (#116)</t>
  </si>
  <si>
    <t>Wild Cards (Wild Cards, #1)</t>
  </si>
  <si>
    <t>George R.R. Martin</t>
  </si>
  <si>
    <t>Martin, George R.R.</t>
  </si>
  <si>
    <t>Walter Jon Williams, Melinda M. Snodgrass, Lewis Shiner, Victor MilÃ¡n, Stephen Leigh, John J.  Miller, Edward Bryant, Brian Bolland, Mike Zeck, Howard Waldrop, Roger Zelazny, Leanne C. Harper</t>
  </si>
  <si>
    <t>to-read (#115)</t>
  </si>
  <si>
    <t>Cibola Burn (The Expanse, #4)</t>
  </si>
  <si>
    <t>Chains of Command (Frontlines, #4)</t>
  </si>
  <si>
    <t>Sleeping Giants (Themis Files, #1)</t>
  </si>
  <si>
    <t>Sylvain Neuvel</t>
  </si>
  <si>
    <t>Neuvel, Sylvain</t>
  </si>
  <si>
    <t>to-read (#114)</t>
  </si>
  <si>
    <t>The Vital Abyss (The Expanse, #5.5)</t>
  </si>
  <si>
    <t>to-read (#113)</t>
  </si>
  <si>
    <t>Abaddon's Gate (The Expanse, #3)</t>
  </si>
  <si>
    <t>Gods of Risk (The Expanse, #2.5)</t>
  </si>
  <si>
    <t>Words of Radiance (The Stormlight Archive, #2)</t>
  </si>
  <si>
    <t>Skin Deep (Legion, #2)</t>
  </si>
  <si>
    <t>Jon Foster</t>
  </si>
  <si>
    <t xml:space="preserve">Subterranean Press </t>
  </si>
  <si>
    <t>The Way of Kings (The Stormlight Archive, #1)</t>
  </si>
  <si>
    <t>Lamb: The Gospel According to Biff, Christ's Childhood Pal</t>
  </si>
  <si>
    <t>Christopher Moore</t>
  </si>
  <si>
    <t>Moore, Christopher</t>
  </si>
  <si>
    <t>William Morrow / HarperCollins / Harper Perennial</t>
  </si>
  <si>
    <t>to-read (#112)</t>
  </si>
  <si>
    <t>Legion (Legion, #1)</t>
  </si>
  <si>
    <t>Deniz Evliyagil</t>
  </si>
  <si>
    <t>Shadows for Silence in the Forests of Hell</t>
  </si>
  <si>
    <t>to-read (#111)</t>
  </si>
  <si>
    <t>Perfect State</t>
  </si>
  <si>
    <t>to-read (#110)</t>
  </si>
  <si>
    <t>Alcatraz Versus the Evil Librarians (Alcatraz, #1)</t>
  </si>
  <si>
    <t>Scholastic Press</t>
  </si>
  <si>
    <t>to-read (#109)</t>
  </si>
  <si>
    <t>Staked (The Iron Druid Chronicles, #8)</t>
  </si>
  <si>
    <t>The Rithmatist (The Rithmatist, #1)</t>
  </si>
  <si>
    <t>Tor UK</t>
  </si>
  <si>
    <t>The Three-Body Problem (Remembrance of Earthâ€™s Past #1)</t>
  </si>
  <si>
    <t>Liu Cixin</t>
  </si>
  <si>
    <t>Cixin, Liu</t>
  </si>
  <si>
    <t>Ken Liu</t>
  </si>
  <si>
    <t>to-read (#108)</t>
  </si>
  <si>
    <t>Dawn of Wonder (The Wakening, #1)</t>
  </si>
  <si>
    <t>Jonathan Renshaw</t>
  </si>
  <si>
    <t>Renshaw, Jonathan</t>
  </si>
  <si>
    <t>to-read (#107)</t>
  </si>
  <si>
    <t>Calamity (Reckoners, #3)</t>
  </si>
  <si>
    <t>Delacorte Press</t>
  </si>
  <si>
    <t>The Winds of Winter (A Song of Ice and Fire, #6)</t>
  </si>
  <si>
    <t>to-read (#106)</t>
  </si>
  <si>
    <t>Harry Potter and the Cursed Child: Parts One and Two (Harry Potter, #8)</t>
  </si>
  <si>
    <t>John Tiffany</t>
  </si>
  <si>
    <t>Tiffany, John</t>
  </si>
  <si>
    <t>Jack Thorne, J.K. Rowling</t>
  </si>
  <si>
    <t>Little, Brown</t>
  </si>
  <si>
    <t>to-read (#105)</t>
  </si>
  <si>
    <t>The Bands of Mourning (Mistborn, #6)</t>
  </si>
  <si>
    <t>Tor</t>
  </si>
  <si>
    <t>Secret History (Mistborn, #3.5)</t>
  </si>
  <si>
    <t>Forged in Mist (Mistborn Chronicles, #2)</t>
  </si>
  <si>
    <t>Janine Donoho</t>
  </si>
  <si>
    <t>Donoho, Janine</t>
  </si>
  <si>
    <t>Amazon Digital Services, Inc.</t>
  </si>
  <si>
    <t>to-read (#104)</t>
  </si>
  <si>
    <t>A Devil in the Details (Jesse James Dawson, #1)</t>
  </si>
  <si>
    <t>K.A. Stewart</t>
  </si>
  <si>
    <t>Stewart, K.A.</t>
  </si>
  <si>
    <t>to-read (#103)</t>
  </si>
  <si>
    <t>A Line in the Sand (Jesse James Dawson, #5)</t>
  </si>
  <si>
    <t>Smashwords Edition</t>
  </si>
  <si>
    <t>to-read (#102)</t>
  </si>
  <si>
    <t>Caliban's War (The Expanse, #2)</t>
  </si>
  <si>
    <t>Imperium (Caulborn #1)</t>
  </si>
  <si>
    <t>Nicholas Olivo</t>
  </si>
  <si>
    <t>Olivo, Nicholas</t>
  </si>
  <si>
    <t>to-read (#101)</t>
  </si>
  <si>
    <t>Leviathan Wakes (The Expanse, #1)</t>
  </si>
  <si>
    <t>Gardens of the Moon (Malazan Book of the Fallen, #1)</t>
  </si>
  <si>
    <t>Steven Erikson</t>
  </si>
  <si>
    <t>Erikson, Steven</t>
  </si>
  <si>
    <t>to-read (#100)</t>
  </si>
  <si>
    <t>Nightlife (Cal Leandros #1)</t>
  </si>
  <si>
    <t>Rob Thurman</t>
  </si>
  <si>
    <t>Thurman, Rob</t>
  </si>
  <si>
    <t>Penguin</t>
  </si>
  <si>
    <t>to-read (#99)</t>
  </si>
  <si>
    <t>Eden's Ore: Secrets (Eden's Ore, #1)</t>
  </si>
  <si>
    <t>B.V. Bayly</t>
  </si>
  <si>
    <t>Bayly, B.V.</t>
  </si>
  <si>
    <t xml:space="preserve"> Promontory Press; 1ST edition (2014)</t>
  </si>
  <si>
    <t>to-read (#98)</t>
  </si>
  <si>
    <t>The Sword of Shannara (The Original Shannara Trilogy, #1)</t>
  </si>
  <si>
    <t>Terry Brooks</t>
  </si>
  <si>
    <t>Brooks, Terry</t>
  </si>
  <si>
    <t>to-read (#97)</t>
  </si>
  <si>
    <t>The Fifth Season (The Broken Earth, #1)</t>
  </si>
  <si>
    <t>N.K. Jemisin</t>
  </si>
  <si>
    <t>Jemisin, N.K.</t>
  </si>
  <si>
    <t>to-read (#96)</t>
  </si>
  <si>
    <t>The Aeronaut's Windlass (The Cinder Spires, #1)</t>
  </si>
  <si>
    <t>Guards! Guards! (Discworld, #8; City Watch #1)</t>
  </si>
  <si>
    <t>Terry Pratchett</t>
  </si>
  <si>
    <t>Pratchett, Terry</t>
  </si>
  <si>
    <t>HarperTorch</t>
  </si>
  <si>
    <t>Gone to Texas (Preacher, #1)</t>
  </si>
  <si>
    <t>Garth Ennis</t>
  </si>
  <si>
    <t>Ennis, Garth</t>
  </si>
  <si>
    <t>Steve Dillon, Joe R. Lansdale</t>
  </si>
  <si>
    <t>Vertigo</t>
  </si>
  <si>
    <t>Comics</t>
  </si>
  <si>
    <t>to-read (#95)</t>
  </si>
  <si>
    <t>A Kiss Before the Apocalypse (Remy Chandler, #1)</t>
  </si>
  <si>
    <t>Thomas E. Sniegoski</t>
  </si>
  <si>
    <t>Sniegoski, Thomas E.</t>
  </si>
  <si>
    <t>Roc Trade</t>
  </si>
  <si>
    <t>to-read (#94)</t>
  </si>
  <si>
    <t>The Lion, the Witch and the Wardrobe (Chronicles of Narnia, #2)</t>
  </si>
  <si>
    <t>C.S. Lewis</t>
  </si>
  <si>
    <t>Lewis, C.S.</t>
  </si>
  <si>
    <t>Pauline Baynes</t>
  </si>
  <si>
    <t>Guards! Guards!: The Play</t>
  </si>
  <si>
    <t>Stephen Briggs</t>
  </si>
  <si>
    <t>Briggs, Stephen</t>
  </si>
  <si>
    <t>Corgi</t>
  </si>
  <si>
    <t>Firefall (Firefall #1-2)</t>
  </si>
  <si>
    <t>Peter Watts</t>
  </si>
  <si>
    <t>Watts, Peter</t>
  </si>
  <si>
    <t>Head of Zeus</t>
  </si>
  <si>
    <t>to-read (#93)</t>
  </si>
  <si>
    <t>Shadows of Self (Mistborn, #5)</t>
  </si>
  <si>
    <t>The Color of Magic (Discworld, #1; Rincewind, #1)</t>
  </si>
  <si>
    <t>to-read (#92)</t>
  </si>
  <si>
    <t>Lies Ripped Open (Hellequin Chronicles #5)</t>
  </si>
  <si>
    <t>Prison of Hope  (Hellequin Chronicles, #4)</t>
  </si>
  <si>
    <t xml:space="preserve">Hidden Realms Publishing </t>
  </si>
  <si>
    <t>Changes (The Dresden Files, #12)</t>
  </si>
  <si>
    <t>Grave Peril (The Dresden Files, #3)</t>
  </si>
  <si>
    <t>The Autumn Republic (Powder Mage, #3)</t>
  </si>
  <si>
    <t>Final Empire (The Arena Mode Saga, #3)</t>
  </si>
  <si>
    <t>Blake Northcott</t>
  </si>
  <si>
    <t>Northcott, Blake</t>
  </si>
  <si>
    <t>NoÃ¶sphere Publishing</t>
  </si>
  <si>
    <t>Assault or Attrition (The Arena Mode Saga, #2)</t>
  </si>
  <si>
    <t>The Manticore Ascension (The Arena Mode Saga #1.5)</t>
  </si>
  <si>
    <t>to-read (#91)</t>
  </si>
  <si>
    <t>Arena Mode (The Arena Mode Saga, #1)</t>
  </si>
  <si>
    <t>Angles of Attack (Frontlines, #3)</t>
  </si>
  <si>
    <t>The Red Knight (The Traitor Son Cycle, #1)</t>
  </si>
  <si>
    <t>Miles  Cameron</t>
  </si>
  <si>
    <t>Cameron, Miles</t>
  </si>
  <si>
    <t>The Stand</t>
  </si>
  <si>
    <t>Stephen King</t>
  </si>
  <si>
    <t>King, Stephen</t>
  </si>
  <si>
    <t>Bernie Wrightson</t>
  </si>
  <si>
    <t>Doubleday Books</t>
  </si>
  <si>
    <t>to-read (#90)</t>
  </si>
  <si>
    <t>Swan Song</t>
  </si>
  <si>
    <t>Robert R. McCammon</t>
  </si>
  <si>
    <t>McCammon, Robert R.</t>
  </si>
  <si>
    <t>to-read (#89)</t>
  </si>
  <si>
    <t>Fight Club 2 #1</t>
  </si>
  <si>
    <t>Chuck Palahniuk</t>
  </si>
  <si>
    <t>Palahniuk, Chuck</t>
  </si>
  <si>
    <t>Dark Horse</t>
  </si>
  <si>
    <t>to-read (#88)</t>
  </si>
  <si>
    <t>The Mountains Rise (Embers of Illeniel, #1)</t>
  </si>
  <si>
    <t>to-read (#87)</t>
  </si>
  <si>
    <t>The Grim Company (The Grim Company, #1)</t>
  </si>
  <si>
    <t>Luke Scull</t>
  </si>
  <si>
    <t>Scull, Luke</t>
  </si>
  <si>
    <t>to-read (#86)</t>
  </si>
  <si>
    <t>Traitor's Blade (Greatcoats, #1)</t>
  </si>
  <si>
    <t>Jo Fletcher Books</t>
  </si>
  <si>
    <t>to-read (#85)</t>
  </si>
  <si>
    <t>Dead Harvest (The Collector, #1)</t>
  </si>
  <si>
    <t>Chris F. Holm</t>
  </si>
  <si>
    <t>Holm, Chris F.</t>
  </si>
  <si>
    <t>Angry Robot</t>
  </si>
  <si>
    <t>to-read (#84)</t>
  </si>
  <si>
    <t>Soul Hunter (Night Lords #1)</t>
  </si>
  <si>
    <t>Aaron Dembski-Bowden</t>
  </si>
  <si>
    <t>Dembski-Bowden, Aaron</t>
  </si>
  <si>
    <t>Games Workshop</t>
  </si>
  <si>
    <t>to-read (#83)</t>
  </si>
  <si>
    <t>ATLAS (Atlas #1)</t>
  </si>
  <si>
    <t>Isaac Hooke</t>
  </si>
  <si>
    <t>Hooke, Isaac</t>
  </si>
  <si>
    <t>to-read (#82)</t>
  </si>
  <si>
    <t>Return to Honor (Powder Mage, #1.5)</t>
  </si>
  <si>
    <t>to-read (#81)</t>
  </si>
  <si>
    <t>The Crimson Campaign (Powder Mage, #2)</t>
  </si>
  <si>
    <t>The Face in the Window (Powder Mage, #0.7)</t>
  </si>
  <si>
    <t>Beneath Ceaseless Skies</t>
  </si>
  <si>
    <t>The Girl of Hrusch Avenue (Powder Mage, #0.5)</t>
  </si>
  <si>
    <t>Hope's End (Powder Mage, #0.4)</t>
  </si>
  <si>
    <t>Servant of the Crown (Powder Mage, #0.2)</t>
  </si>
  <si>
    <t>Moon Over Soho (Peter Grant, #2)</t>
  </si>
  <si>
    <t>Ben Aaronovitch</t>
  </si>
  <si>
    <t>Aaronovitch, Ben</t>
  </si>
  <si>
    <t xml:space="preserve">Random House Ballantine </t>
  </si>
  <si>
    <t>Midnight Riot (Peter Grant, #1)</t>
  </si>
  <si>
    <t>Firefight (The Reckoners, #2)</t>
  </si>
  <si>
    <t>Lines of Departure (Frontlines, #2)</t>
  </si>
  <si>
    <t>Measures of Absolution (Frontlines, #2.2)</t>
  </si>
  <si>
    <t>to-read (#80)</t>
  </si>
  <si>
    <t>Lucky Thirteen (Frontlines, #2.1)</t>
  </si>
  <si>
    <t>to-read (#79)</t>
  </si>
  <si>
    <t>City of Stairs (The Divine Cities, #1)</t>
  </si>
  <si>
    <t>Broadway Books</t>
  </si>
  <si>
    <t>to-read (#78)</t>
  </si>
  <si>
    <t>The Flight of the Silvers (Silvers, #1)</t>
  </si>
  <si>
    <t>Daniel Price</t>
  </si>
  <si>
    <t>Price, Daniel</t>
  </si>
  <si>
    <t>Blue Rider Press</t>
  </si>
  <si>
    <t>to-read (#77)</t>
  </si>
  <si>
    <t>The Slow Regard of Silent Things (The Kingkiller Chronicle, #2.5)</t>
  </si>
  <si>
    <t>Patrick Rothfuss</t>
  </si>
  <si>
    <t>Rothfuss, Patrick</t>
  </si>
  <si>
    <t>Nate  Taylor</t>
  </si>
  <si>
    <t>DAW Books</t>
  </si>
  <si>
    <t>to-read (#76)</t>
  </si>
  <si>
    <t>The Eleventh Metal (Mistborn, #0.5)</t>
  </si>
  <si>
    <t>Crafty Games</t>
  </si>
  <si>
    <t>to-read (#75)</t>
  </si>
  <si>
    <t>The Lost Metal (Mistborn, #7)</t>
  </si>
  <si>
    <t>to-read (#74)</t>
  </si>
  <si>
    <t>The Wise Man's Fear (The Kingkiller Chronicle, #2)</t>
  </si>
  <si>
    <t>The Name of the Wind (The Kingkiller Chronicle, #1)</t>
  </si>
  <si>
    <t>Penguin Group DAW</t>
  </si>
  <si>
    <t>Nightblood (Warbreaker, #2)</t>
  </si>
  <si>
    <t>to-read (#73)</t>
  </si>
  <si>
    <t>Steelheart (The Reckoners, #1)</t>
  </si>
  <si>
    <t>Warbreaker (Warbreaker, #1)</t>
  </si>
  <si>
    <t>Self-published</t>
  </si>
  <si>
    <t>The Doors of Stone (The Kingkiller Chronicle, #3)</t>
  </si>
  <si>
    <t>to-read (#72)</t>
  </si>
  <si>
    <t>Murder at the Kinnen Hotel (Powder Mage, #0.3)</t>
  </si>
  <si>
    <t>to-read (#71)</t>
  </si>
  <si>
    <t>Forsworn (Powder Mage, #0.1)</t>
  </si>
  <si>
    <t>All You Need Is Kill</t>
  </si>
  <si>
    <t>Hiroshi Sakurazaka</t>
  </si>
  <si>
    <t>Sakurazaka, Hiroshi</t>
  </si>
  <si>
    <t>Alexander O. Smith</t>
  </si>
  <si>
    <t>Haikasoru</t>
  </si>
  <si>
    <t>The Emperor's Blades (Chronicle of the Unhewn Throne, #1)</t>
  </si>
  <si>
    <t>Brian Staveley</t>
  </si>
  <si>
    <t>Staveley, Brian</t>
  </si>
  <si>
    <t>to-read (#70)</t>
  </si>
  <si>
    <t>Promise of Blood (Powder Mage, #1)</t>
  </si>
  <si>
    <t>Fated (Alex Verus, #1)</t>
  </si>
  <si>
    <t>Benedict Jacka</t>
  </si>
  <si>
    <t>Jacka, Benedict</t>
  </si>
  <si>
    <t>to-read (#69)</t>
  </si>
  <si>
    <t>The Ace of Skulls (Tales of the Ketty Jay, #4)</t>
  </si>
  <si>
    <t>Chris Wooding</t>
  </si>
  <si>
    <t>Wooding, Chris</t>
  </si>
  <si>
    <t xml:space="preserve">Gollancz </t>
  </si>
  <si>
    <t>Wild cards 3: Jokers salvajes</t>
  </si>
  <si>
    <t>Oceano</t>
  </si>
  <si>
    <t>to-read (#53)</t>
  </si>
  <si>
    <t>The Iron Jackal (Tales of the Ketty Jay, #3)</t>
  </si>
  <si>
    <t>Digital Fortress</t>
  </si>
  <si>
    <t>Corgi books</t>
  </si>
  <si>
    <t>Deception Point</t>
  </si>
  <si>
    <t>Inferno (Robert Langdon, #4)</t>
  </si>
  <si>
    <t>The Lost Symbol (Robert Langdon, #3)</t>
  </si>
  <si>
    <t>The Da Vinci Code (Robert Langdon, #2)</t>
  </si>
  <si>
    <t>Anchor</t>
  </si>
  <si>
    <t>Angels &amp; Demons (Robert Langdon, #1)</t>
  </si>
  <si>
    <t>Kiss Me, Judas</t>
  </si>
  <si>
    <t>Will Christopher Baer</t>
  </si>
  <si>
    <t>Baer, Will Christopher</t>
  </si>
  <si>
    <t>MacAdam/Cage Publishing</t>
  </si>
  <si>
    <t>to-read (#68)</t>
  </si>
  <si>
    <t>The Running Man</t>
  </si>
  <si>
    <t>Richard Bachman</t>
  </si>
  <si>
    <t>Bachman, Richard</t>
  </si>
  <si>
    <t>Signet</t>
  </si>
  <si>
    <t>The Golden Compass (His Dark Materials, #1)</t>
  </si>
  <si>
    <t>Terms of Enlistment</t>
  </si>
  <si>
    <t>Survivor</t>
  </si>
  <si>
    <t>Vintage</t>
  </si>
  <si>
    <t>I Am Legend</t>
  </si>
  <si>
    <t>Richard Matheson</t>
  </si>
  <si>
    <t>Matheson, Richard</t>
  </si>
  <si>
    <t>Millennium</t>
  </si>
  <si>
    <t>The Gunslinger (The Dark Tower, #1)</t>
  </si>
  <si>
    <t>Viking</t>
  </si>
  <si>
    <t>Storm Front (The Dresden Files, #1)</t>
  </si>
  <si>
    <t>Penguin ROC</t>
  </si>
  <si>
    <t>Fool Moon (The Dresden Files, #2)</t>
  </si>
  <si>
    <t>The Long Walk</t>
  </si>
  <si>
    <t>to-read (#67)</t>
  </si>
  <si>
    <t>Relic (Pendergast, #1)</t>
  </si>
  <si>
    <t>Douglas Preston</t>
  </si>
  <si>
    <t>Preston, Douglas</t>
  </si>
  <si>
    <t>Lincoln Child</t>
  </si>
  <si>
    <t>to-read (#66)</t>
  </si>
  <si>
    <t>Wired (Wired, #1)</t>
  </si>
  <si>
    <t>Douglas E. Richards</t>
  </si>
  <si>
    <t>Richards, Douglas E.</t>
  </si>
  <si>
    <t>Paragon Press</t>
  </si>
  <si>
    <t>to-read (#65)</t>
  </si>
  <si>
    <t>Pathfinder (Pathfinder, #1)</t>
  </si>
  <si>
    <t>Orson Scott Card</t>
  </si>
  <si>
    <t>Card, Orson Scott</t>
  </si>
  <si>
    <t>Margaret K. McElderry Books</t>
  </si>
  <si>
    <t>to-read (#64)</t>
  </si>
  <si>
    <t>A Fire Upon the Deep (Zones of Thought, #1)</t>
  </si>
  <si>
    <t>Vernor Vinge</t>
  </si>
  <si>
    <t>Vinge, Vernor</t>
  </si>
  <si>
    <t>Tor Science Fiction</t>
  </si>
  <si>
    <t>to-read (#63)</t>
  </si>
  <si>
    <t>Mitosis (The Reckoners, #1.5)</t>
  </si>
  <si>
    <t>Side Jobs (The Dresden Files, #12.5)</t>
  </si>
  <si>
    <t>Daemon (Daemon, #1)</t>
  </si>
  <si>
    <t>Freedomâ„¢ (Daemon, #2)</t>
  </si>
  <si>
    <t>The Fellowship of the Ring (The Lord of the Rings, #1)</t>
  </si>
  <si>
    <t>J.R.R. Tolkien</t>
  </si>
  <si>
    <t>Tolkien, J.R.R.</t>
  </si>
  <si>
    <t>Francis Ledoux, Maria Skibniewska</t>
  </si>
  <si>
    <t>Houghton Mifflin Harcourt</t>
  </si>
  <si>
    <t>The Return of the King (The Lord of the Rings, #3)</t>
  </si>
  <si>
    <t>Rob Inglis</t>
  </si>
  <si>
    <t>Recorded Books, Inc.</t>
  </si>
  <si>
    <t>Harry Potter and the Half-Blood Prince (Harry Potter, #6)</t>
  </si>
  <si>
    <t>J.K. Rowling</t>
  </si>
  <si>
    <t>Rowling, J.K.</t>
  </si>
  <si>
    <t>Bloomsbury Publishing</t>
  </si>
  <si>
    <t>Cold Days (The Dresden Files, #14)</t>
  </si>
  <si>
    <t>Penguin Group (USA)</t>
  </si>
  <si>
    <t>Harry Potter and the Deathly Hallows (Harry Potter, #7)</t>
  </si>
  <si>
    <t>Arthur A. Levine Books</t>
  </si>
  <si>
    <t>Quicksilver (The Baroque Cycle, #1)</t>
  </si>
  <si>
    <t>Neal Stephenson</t>
  </si>
  <si>
    <t>Stephenson, Neal</t>
  </si>
  <si>
    <t>HarperCollins Perennial</t>
  </si>
  <si>
    <t>to-read (#62)</t>
  </si>
  <si>
    <t>The Knight (The Wizard Knight #1)</t>
  </si>
  <si>
    <t>to-read (#61)</t>
  </si>
  <si>
    <t>The Shadow of the Torturer (The Book of the New Sun, #1)</t>
  </si>
  <si>
    <t>to-read (#60)</t>
  </si>
  <si>
    <t>The Well of Ascension (Mistborn, #2)</t>
  </si>
  <si>
    <t>The Final Empire (Mistborn, #1)</t>
  </si>
  <si>
    <t>The Hero of Ages (Mistborn, #3)</t>
  </si>
  <si>
    <t>The Alloy of Law (Mistborn, #4)</t>
  </si>
  <si>
    <t>Killing Floor (Jack Reacher, #1)</t>
  </si>
  <si>
    <t>Lee Child</t>
  </si>
  <si>
    <t>Child, Lee</t>
  </si>
  <si>
    <t>Jove</t>
  </si>
  <si>
    <t>Die Trying (Jack Reacher, #2)</t>
  </si>
  <si>
    <t>Kaibab Unbound  (The Iron Druid Chronicles , #0.6)</t>
  </si>
  <si>
    <t>A Test of Mettle (The Iron Druid Chronicles #3.5)</t>
  </si>
  <si>
    <t>Clan Rathskeller (The Iron Druid Chronicles, #0.5)</t>
  </si>
  <si>
    <t>The Grimoire of the Lamb (The Iron Druid Chronicles, #0.4)</t>
  </si>
  <si>
    <t>Two Ravens and One Crow (The Iron Druid Chronicles #4.3)</t>
  </si>
  <si>
    <t>Hunted (The Iron Druid Chronicles, #6)</t>
  </si>
  <si>
    <t>Trapped (The Iron Druid Chronicles, #5)</t>
  </si>
  <si>
    <t>Tricked (The Iron Druid Chronicles, #4)</t>
  </si>
  <si>
    <t>Random House Publishing Group</t>
  </si>
  <si>
    <t>Hammered (The Iron Druid Chronicles, #3)</t>
  </si>
  <si>
    <t>Hexed (The Iron Druid Chronicles, #2)</t>
  </si>
  <si>
    <t>Hounded (The Iron Druid Chronicles, #1)</t>
  </si>
  <si>
    <t>Dead Iron (Age of Steam, #1)</t>
  </si>
  <si>
    <t>Devon Monk</t>
  </si>
  <si>
    <t>Monk, Devon</t>
  </si>
  <si>
    <t>to-read (#59)</t>
  </si>
  <si>
    <t>The Black Guard (The Long War, #1)</t>
  </si>
  <si>
    <t>A.J.   Smith</t>
  </si>
  <si>
    <t>Smith, A.J.</t>
  </si>
  <si>
    <t>to-read (#58)</t>
  </si>
  <si>
    <t>Malice (The Faithful and the Fallen, #1)</t>
  </si>
  <si>
    <t>John Gwynne</t>
  </si>
  <si>
    <t>Gwynne, John</t>
  </si>
  <si>
    <t>to-read (#57)</t>
  </si>
  <si>
    <t>The Thousand Names (The Shadow Campaigns, #1)</t>
  </si>
  <si>
    <t>to-read (#56)</t>
  </si>
  <si>
    <t>The Penitent Damned (The Shadow Campaigns #0.5)</t>
  </si>
  <si>
    <t>to-read (#55)</t>
  </si>
  <si>
    <t>Infamous Reign (Hellequin Chronicles, #2.5)</t>
  </si>
  <si>
    <t>to-read (#54)</t>
  </si>
  <si>
    <t>With Silent Screams  (Hellequin Chronicles, #3)</t>
  </si>
  <si>
    <t>The Black Lung Captain (Tales of the Ketty Jay, #2)</t>
  </si>
  <si>
    <t>Retribution Falls (Tales of the Ketty Jay, #1)</t>
  </si>
  <si>
    <t>Annihilation</t>
  </si>
  <si>
    <t>Jeff VanderMeer</t>
  </si>
  <si>
    <t>VanderMeer, Jeff</t>
  </si>
  <si>
    <t>Farrar, Straus and Giroux</t>
  </si>
  <si>
    <t>to-read (#52)</t>
  </si>
  <si>
    <t>The Way of Shadows (Night Angel, #1)</t>
  </si>
  <si>
    <t>The Blacksmith's Son (Mageborn, #1)</t>
  </si>
  <si>
    <t>to-read (#51)</t>
  </si>
  <si>
    <t>I, Robot (Robot, #0.1)</t>
  </si>
  <si>
    <t>Isaac Asimov</t>
  </si>
  <si>
    <t>Asimov, Isaac</t>
  </si>
  <si>
    <t>Bantam Books</t>
  </si>
  <si>
    <t>to-read (#50)</t>
  </si>
  <si>
    <t>Alice's Adventures in Wonderland / Through the Looking-Glass</t>
  </si>
  <si>
    <t>Lewis Carroll</t>
  </si>
  <si>
    <t>Carroll, Lewis</t>
  </si>
  <si>
    <t>John Tenniel, Martin Gardner</t>
  </si>
  <si>
    <t>to-read (#49)</t>
  </si>
  <si>
    <t>The Two Towers (The Lord of the Rings, #2)</t>
  </si>
  <si>
    <t>Peter S. Beagle, Ð”Ð¶.Ð .Ð . Ð¢Ð¾Ð»ÐºÑ–Ð½, ÐÐ»Ñ–Ð½Ð° ÐÐµÐ¼Ñ–Ñ€Ð¾Ð²Ð°, ÐŸ. Ð Ð¸Ð¶ÐµÐ½ÐºÐ¾</t>
  </si>
  <si>
    <t>Houghton Mifflin</t>
  </si>
  <si>
    <t>Ghost Story (The Dresden Files, #13)</t>
  </si>
  <si>
    <t>Roc Hardcover</t>
  </si>
  <si>
    <t>A Dance with Dragons (A Song of Ice and Fire, #5)</t>
  </si>
  <si>
    <t>Bantam</t>
  </si>
  <si>
    <t>Harry Potter and the Chamber of Secrets (Harry Potter, #2)</t>
  </si>
  <si>
    <t>Mary GrandPrÃ©</t>
  </si>
  <si>
    <t>Summer Knight (The Dresden Files, #4)</t>
  </si>
  <si>
    <t>Death Masks (The Dresden Files, #5)</t>
  </si>
  <si>
    <t>Blood Rites (The Dresden Files, #6)</t>
  </si>
  <si>
    <t>The Green Mile</t>
  </si>
  <si>
    <t>Penguin Signet</t>
  </si>
  <si>
    <t>Harry Potter and the Sorcerer's Stone (Harry Potter, #1)</t>
  </si>
  <si>
    <t>Scholastic Inc</t>
  </si>
  <si>
    <t>A Clash of Kings  (A Song of Ice and Fire, #2)</t>
  </si>
  <si>
    <t>White Night (The Dresden Files, #9)</t>
  </si>
  <si>
    <t>Proven Guilty (The Dresden Files, #8)</t>
  </si>
  <si>
    <t>Harry Potter and the Order of the Phoenix (Harry Potter, #5)</t>
  </si>
  <si>
    <t>Scholastic Inc.</t>
  </si>
  <si>
    <t>Small Favor (The Dresden Files, #10)</t>
  </si>
  <si>
    <t>First Shift: Legacy (Shift, #1)</t>
  </si>
  <si>
    <t>Broad Reach Publishing</t>
  </si>
  <si>
    <t>to-read (#48)</t>
  </si>
  <si>
    <t>The Unraveling (Wool, #4)</t>
  </si>
  <si>
    <t>to-read (#47)</t>
  </si>
  <si>
    <t>Casting Off (Wool, #3)</t>
  </si>
  <si>
    <t>Mehmet Rasim EmirosmanoÄŸlu</t>
  </si>
  <si>
    <t>to-read (#46)</t>
  </si>
  <si>
    <t>Proper Gauge (Wool, #2)</t>
  </si>
  <si>
    <t>to-read (#45)</t>
  </si>
  <si>
    <t>Wool (Wool, #1)</t>
  </si>
  <si>
    <t>Broad Reach</t>
  </si>
  <si>
    <t>to-read (#44)</t>
  </si>
  <si>
    <t>Dust (Silo, #3)</t>
  </si>
  <si>
    <t>to-read (#43)</t>
  </si>
  <si>
    <t>Wool Omnibus (Silo, #1)</t>
  </si>
  <si>
    <t>The Stranded (Wool, #5)</t>
  </si>
  <si>
    <t xml:space="preserve">Broad Reach Publishing </t>
  </si>
  <si>
    <t>to-read (#42)</t>
  </si>
  <si>
    <t>Dead Beat (The Dresden Files, #7)</t>
  </si>
  <si>
    <t>Turn Coat (The Dresden Files, #11)</t>
  </si>
  <si>
    <t>A Game of Thrones (A Song of Ice and Fire, #1)</t>
  </si>
  <si>
    <t>Harry Potter and the Prisoner of Azkaban (Harry Potter, #3)</t>
  </si>
  <si>
    <t>Harry Potter and the Goblet of Fire (Harry Potter, #4)</t>
  </si>
  <si>
    <t>Scholastic</t>
  </si>
  <si>
    <t>Verdigris Deep</t>
  </si>
  <si>
    <t>Frances Hardinge</t>
  </si>
  <si>
    <t>Hardinge, Frances</t>
  </si>
  <si>
    <t>Macmillan Children's Books</t>
  </si>
  <si>
    <t>to-read (#41)</t>
  </si>
  <si>
    <t>Fly by Night</t>
  </si>
  <si>
    <t>to-read (#40)</t>
  </si>
  <si>
    <t>Gullstruck Island</t>
  </si>
  <si>
    <t>MacMillan UK</t>
  </si>
  <si>
    <t>to-read (#39)</t>
  </si>
  <si>
    <t>Skin Game (The Dresden Files, #15)</t>
  </si>
  <si>
    <t>A Dance of Cloaks (Shadowdance, #1)</t>
  </si>
  <si>
    <t>David Dalglish</t>
  </si>
  <si>
    <t>Dalglish, David</t>
  </si>
  <si>
    <t>to-read (#38)</t>
  </si>
  <si>
    <t>Weapon of Flesh (Weapon of Flesh, #1)</t>
  </si>
  <si>
    <t>Chris A. Jackson</t>
  </si>
  <si>
    <t>Jackson, Chris A.</t>
  </si>
  <si>
    <t>Booksurge Publishing</t>
  </si>
  <si>
    <t>to-read (#37)</t>
  </si>
  <si>
    <t>Queen of Fire (Raven's Shadow, #3)</t>
  </si>
  <si>
    <t>to-read (#36)</t>
  </si>
  <si>
    <t>Homeland (Forgotten Realms: The Dark Elf Trilogy, #1; Legend of Drizzt, #1)</t>
  </si>
  <si>
    <t>R.A. Salvatore</t>
  </si>
  <si>
    <t>Salvatore, R.A.</t>
  </si>
  <si>
    <t>Wizards of the Coast</t>
  </si>
  <si>
    <t>to-read (#35)</t>
  </si>
  <si>
    <t>The Chapel Perilous (The Iron Druid Chronicles #4.5)</t>
  </si>
  <si>
    <t>The Republic of Thieves (Gentleman Bastard, #3)</t>
  </si>
  <si>
    <t>Scott Lynch</t>
  </si>
  <si>
    <t>Lynch, Scott</t>
  </si>
  <si>
    <t>The Desert Spear (Demon Cycle, #2)</t>
  </si>
  <si>
    <t>Peter V. Brett</t>
  </si>
  <si>
    <t>Brett, Peter V.</t>
  </si>
  <si>
    <t>to-read (#34)</t>
  </si>
  <si>
    <t>Shattered (The Iron Druid Chronicles, #7)</t>
  </si>
  <si>
    <t>Heroes Die (The Acts of Caine, #1)</t>
  </si>
  <si>
    <t>Matthew Woodring Stover</t>
  </si>
  <si>
    <t>Stover, Matthew Woodring</t>
  </si>
  <si>
    <t>to-read (#33)</t>
  </si>
  <si>
    <t>The Mage and the Master Spy (Gentleman Bastard, #6)</t>
  </si>
  <si>
    <t>to-read (#31)</t>
  </si>
  <si>
    <t>Inherit the Night (Gentleman Bastard, #7)</t>
  </si>
  <si>
    <t>to-read (#32)</t>
  </si>
  <si>
    <t>The Ministry of Necessity (Gentleman Bastard, #5)</t>
  </si>
  <si>
    <t>to-read (#30)</t>
  </si>
  <si>
    <t>The Thorn of Emberlain (Gentleman Bastard, #4)</t>
  </si>
  <si>
    <t>to-read (#29)</t>
  </si>
  <si>
    <t>Red Seas Under Red Skies (Gentleman Bastard, #2)</t>
  </si>
  <si>
    <t>The Lies of Locke Lamora (Gentleman Bastard, #1)</t>
  </si>
  <si>
    <t>The Silkworm (Cormoran Strike, #2)</t>
  </si>
  <si>
    <t>Robert Galbraith</t>
  </si>
  <si>
    <t>Galbraith, Robert</t>
  </si>
  <si>
    <t>Mulholland Books</t>
  </si>
  <si>
    <t>to-read (#28)</t>
  </si>
  <si>
    <t>The Cuckoo's Calling (Cormoran Strike, #1)</t>
  </si>
  <si>
    <t>to-read (#27)</t>
  </si>
  <si>
    <t>Tigana</t>
  </si>
  <si>
    <t>Guy Gavriel Kay</t>
  </si>
  <si>
    <t>Kay, Guy Gavriel</t>
  </si>
  <si>
    <t>to-read (#26)</t>
  </si>
  <si>
    <t>Scourged (The Iron Druid Chronicles, #9)</t>
  </si>
  <si>
    <t>to-read (#25)</t>
  </si>
  <si>
    <t>Old Man's War (Old Man's War, #1)</t>
  </si>
  <si>
    <t>to-read (#24)</t>
  </si>
  <si>
    <t>K-Pax (K-Pax, #1)</t>
  </si>
  <si>
    <t>Gene Brewer</t>
  </si>
  <si>
    <t>Brewer, Gene</t>
  </si>
  <si>
    <t>St. Martin's Paperbacks</t>
  </si>
  <si>
    <t>to-read (#23)</t>
  </si>
  <si>
    <t>The Boat of a Million Years</t>
  </si>
  <si>
    <t>Poul Anderson</t>
  </si>
  <si>
    <t>Anderson, Poul</t>
  </si>
  <si>
    <t>to-read (#22)</t>
  </si>
  <si>
    <t>Kill Decision</t>
  </si>
  <si>
    <t>to-read (#21)</t>
  </si>
  <si>
    <t>Influx</t>
  </si>
  <si>
    <t>Dutton</t>
  </si>
  <si>
    <t>to-read (#20)</t>
  </si>
  <si>
    <t>Neverwhere (London Below, #1)</t>
  </si>
  <si>
    <t>William Morrow Paperbacks</t>
  </si>
  <si>
    <t>Blood Song (Raven's Shadow, #1)</t>
  </si>
  <si>
    <t>Anthony  Ryan</t>
  </si>
  <si>
    <t>Richard Dawkins' God Delusion: A Repentant Refutation</t>
  </si>
  <si>
    <t>Klaus NÃ¼rnberger</t>
  </si>
  <si>
    <t>NÃ¼rnberger, Klaus</t>
  </si>
  <si>
    <t>Xlibris Corporation</t>
  </si>
  <si>
    <t>Crimes Against Magic (Hellequin Chronicles, #1)</t>
  </si>
  <si>
    <t>Hidden Realms Publishing</t>
  </si>
  <si>
    <t>Prince of Thorns (The Broken Empire, #1)</t>
  </si>
  <si>
    <t>Mark  Lawrence</t>
  </si>
  <si>
    <t>Lawrence, Mark</t>
  </si>
  <si>
    <t>The God Delusion</t>
  </si>
  <si>
    <t>Richard Dawkins</t>
  </si>
  <si>
    <t>Dawkins, Richard</t>
  </si>
  <si>
    <t>Houghton Mifflin Co. (Boston/NY)</t>
  </si>
  <si>
    <t>Among Thieves (Tales of the Kin, #1)</t>
  </si>
  <si>
    <t>Douglas Hulick</t>
  </si>
  <si>
    <t>Hulick, Douglas</t>
  </si>
  <si>
    <t>to-read (#19)</t>
  </si>
  <si>
    <t>The Thief (The Queen's Thief, #1)</t>
  </si>
  <si>
    <t>Megan Whalen Turner</t>
  </si>
  <si>
    <t>Turner, Megan Whalen</t>
  </si>
  <si>
    <t>Greenwillow Books</t>
  </si>
  <si>
    <t>to-read (#18)</t>
  </si>
  <si>
    <t>Beat the Reaper (Peter Brown #1)</t>
  </si>
  <si>
    <t>Josh Bazell</t>
  </si>
  <si>
    <t>Bazell, Josh</t>
  </si>
  <si>
    <t>Little, Brown and Company</t>
  </si>
  <si>
    <t>to-read (#17)</t>
  </si>
  <si>
    <t>Den of Thieves (Ancient Blades, #1)</t>
  </si>
  <si>
    <t>David   Chandler</t>
  </si>
  <si>
    <t>Chandler, David</t>
  </si>
  <si>
    <t>to-read (#16)</t>
  </si>
  <si>
    <t>The Warded Man (Demon Cycle, #1)</t>
  </si>
  <si>
    <t>Random House</t>
  </si>
  <si>
    <t>to-read (#15)</t>
  </si>
  <si>
    <t>Theft of Swords (The Riyria Revelations, #1-2)</t>
  </si>
  <si>
    <t>to-read (#14)</t>
  </si>
  <si>
    <t>A Shadow in Summer (Long Price Quartet, #1)</t>
  </si>
  <si>
    <t>Daniel Abraham</t>
  </si>
  <si>
    <t>Abraham, Daniel</t>
  </si>
  <si>
    <t>to-read (#13)</t>
  </si>
  <si>
    <t>The Dragon's Path (The Dagger and the Coin, #1)</t>
  </si>
  <si>
    <t>to-read (#12)</t>
  </si>
  <si>
    <t>God Touched (Demon Accords, #1)</t>
  </si>
  <si>
    <t>John Conroe</t>
  </si>
  <si>
    <t>Conroe, John</t>
  </si>
  <si>
    <t>to-read (#11)</t>
  </si>
  <si>
    <t>The Purge of Babylon (Purge of Babylon, #1)</t>
  </si>
  <si>
    <t>Sam Sisavath</t>
  </si>
  <si>
    <t>Sisavath, Sam</t>
  </si>
  <si>
    <t>Road to Babylon Media</t>
  </si>
  <si>
    <t>to-read (#10)</t>
  </si>
  <si>
    <t>The Giver (The Giver, #1)</t>
  </si>
  <si>
    <t>Lois Lowry</t>
  </si>
  <si>
    <t>Lowry, Lois</t>
  </si>
  <si>
    <t>Ember</t>
  </si>
  <si>
    <t>to-read (#9)</t>
  </si>
  <si>
    <t>House of Blades (Traveler's Gate, #1)</t>
  </si>
  <si>
    <t>Soldier of the Mist (Latro #1)</t>
  </si>
  <si>
    <t>to-read (#8)</t>
  </si>
  <si>
    <t>Ready Player One (Ready Player One, #1)</t>
  </si>
  <si>
    <t>Ernest Cline</t>
  </si>
  <si>
    <t>Cline, Ernest</t>
  </si>
  <si>
    <t>Crown Publishers</t>
  </si>
  <si>
    <t>to-read (#7)</t>
  </si>
  <si>
    <t>Libriomancer (Magic Ex Libris, #1)</t>
  </si>
  <si>
    <t>Jim C. Hines</t>
  </si>
  <si>
    <t>Hines, Jim C.</t>
  </si>
  <si>
    <t>to-read (#6)</t>
  </si>
  <si>
    <t>The Runelords (Runelords #1)</t>
  </si>
  <si>
    <t>David Farland</t>
  </si>
  <si>
    <t>Farland, David</t>
  </si>
  <si>
    <t>to-read (#5)</t>
  </si>
  <si>
    <t>All the Beautiful Sinners</t>
  </si>
  <si>
    <t>Stephen Graham Jones</t>
  </si>
  <si>
    <t>Jones, Stephen Graham</t>
  </si>
  <si>
    <t>Rugged Land</t>
  </si>
  <si>
    <t>The Hobbit, or There and Back Again</t>
  </si>
  <si>
    <t>Michael Hague, Jemima Catlin, Douglas A. Anderson</t>
  </si>
  <si>
    <t>Pride and Prejudice</t>
  </si>
  <si>
    <t>Jane Austen</t>
  </si>
  <si>
    <t>Austen, Jane</t>
  </si>
  <si>
    <t>Anna Quindlen</t>
  </si>
  <si>
    <t>Modern Library</t>
  </si>
  <si>
    <t>to-read (#4)</t>
  </si>
  <si>
    <t>Lone Survivor:  The Eyewitness Account of Operation Redwing and the Lost Heroes of SEAL Team 10</t>
  </si>
  <si>
    <t>Marcus Luttrell</t>
  </si>
  <si>
    <t>Luttrell, Marcus</t>
  </si>
  <si>
    <t>Patrick Robinson</t>
  </si>
  <si>
    <t>to-read (#3)</t>
  </si>
  <si>
    <t>Fight Club</t>
  </si>
  <si>
    <t>W.W. Norton &amp; Company (NYC)</t>
  </si>
  <si>
    <t>Born of Hatred (Hellequin Chronicles, #2)</t>
  </si>
  <si>
    <t>Lone Survivor: The Eyewitness Account of Operation Redwing and the Lost Heroes of SEAL Team 10</t>
  </si>
  <si>
    <t>to-read (#2)</t>
  </si>
  <si>
    <t>Second Shift: Order (Shift, #2)</t>
  </si>
  <si>
    <t>to-read (#1)</t>
  </si>
  <si>
    <t>The Girl with the Dragon Tattoo (Millennium, #1)</t>
  </si>
  <si>
    <t>Stieg Larsson</t>
  </si>
  <si>
    <t>Larsson, Stieg</t>
  </si>
  <si>
    <t>Reg Keeland</t>
  </si>
  <si>
    <t>Knopf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</si>
</sst>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9"/>
  <sheetViews>
    <sheetView tabSelected="1" workbookViewId="0"/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v>35657891</v>
      </c>
      <c r="B2" t="s">
        <v>31</v>
      </c>
      <c r="C2" t="s">
        <v>32</v>
      </c>
      <c r="D2" t="s">
        <v>33</v>
      </c>
      <c r="F2" t="str">
        <f>"0062694677"</f>
        <v>0062694677</v>
      </c>
      <c r="G2" t="str">
        <f>"9780062694676"</f>
        <v>9780062694676</v>
      </c>
      <c r="H2">
        <v>0</v>
      </c>
      <c r="I2">
        <v>4</v>
      </c>
      <c r="J2" t="s">
        <v>34</v>
      </c>
      <c r="K2" t="s">
        <v>35</v>
      </c>
      <c r="L2">
        <v>384</v>
      </c>
      <c r="M2">
        <v>2018</v>
      </c>
      <c r="N2">
        <v>2018</v>
      </c>
      <c r="P2" s="1">
        <v>44600</v>
      </c>
      <c r="Q2" t="s">
        <v>36</v>
      </c>
      <c r="R2" t="s">
        <v>37</v>
      </c>
      <c r="S2" t="s">
        <v>36</v>
      </c>
      <c r="W2">
        <v>0</v>
      </c>
      <c r="Z2">
        <v>0</v>
      </c>
    </row>
    <row r="3" spans="1:31" x14ac:dyDescent="0.3">
      <c r="A3">
        <v>54493401</v>
      </c>
      <c r="B3" t="s">
        <v>38</v>
      </c>
      <c r="C3" t="s">
        <v>39</v>
      </c>
      <c r="D3" t="s">
        <v>40</v>
      </c>
      <c r="F3" t="str">
        <f>"0593135202"</f>
        <v>0593135202</v>
      </c>
      <c r="G3" t="str">
        <f>"9780593135204"</f>
        <v>9780593135204</v>
      </c>
      <c r="H3">
        <v>5</v>
      </c>
      <c r="I3">
        <v>4.53</v>
      </c>
      <c r="J3" t="s">
        <v>41</v>
      </c>
      <c r="K3" t="s">
        <v>42</v>
      </c>
      <c r="L3">
        <v>476</v>
      </c>
      <c r="M3">
        <v>2021</v>
      </c>
      <c r="N3">
        <v>2021</v>
      </c>
      <c r="O3" s="1">
        <v>44515</v>
      </c>
      <c r="P3" s="1">
        <v>44316</v>
      </c>
      <c r="S3" t="s">
        <v>43</v>
      </c>
      <c r="W3">
        <v>1</v>
      </c>
      <c r="Z3">
        <v>0</v>
      </c>
    </row>
    <row r="4" spans="1:31" x14ac:dyDescent="0.3">
      <c r="A4">
        <v>54615879</v>
      </c>
      <c r="B4" t="s">
        <v>44</v>
      </c>
      <c r="C4" t="s">
        <v>45</v>
      </c>
      <c r="D4" t="s">
        <v>46</v>
      </c>
      <c r="E4" t="s">
        <v>47</v>
      </c>
      <c r="F4" t="str">
        <f>""</f>
        <v/>
      </c>
      <c r="G4" t="str">
        <f>""</f>
        <v/>
      </c>
      <c r="H4">
        <v>3</v>
      </c>
      <c r="I4">
        <v>3.84</v>
      </c>
      <c r="J4" t="s">
        <v>48</v>
      </c>
      <c r="K4" t="s">
        <v>49</v>
      </c>
      <c r="L4">
        <v>4</v>
      </c>
      <c r="M4">
        <v>2020</v>
      </c>
      <c r="N4">
        <v>2020</v>
      </c>
      <c r="O4" s="1">
        <v>44493</v>
      </c>
      <c r="P4" s="1">
        <v>44473</v>
      </c>
      <c r="S4" t="s">
        <v>43</v>
      </c>
      <c r="W4">
        <v>1</v>
      </c>
      <c r="Z4">
        <v>0</v>
      </c>
    </row>
    <row r="5" spans="1:31" x14ac:dyDescent="0.3">
      <c r="A5">
        <v>58419574</v>
      </c>
      <c r="B5" t="s">
        <v>50</v>
      </c>
      <c r="C5" t="s">
        <v>45</v>
      </c>
      <c r="D5" t="s">
        <v>46</v>
      </c>
      <c r="E5" t="s">
        <v>51</v>
      </c>
      <c r="F5" t="str">
        <f>""</f>
        <v/>
      </c>
      <c r="G5" t="str">
        <f>""</f>
        <v/>
      </c>
      <c r="H5">
        <v>4</v>
      </c>
      <c r="I5">
        <v>3.97</v>
      </c>
      <c r="J5" t="s">
        <v>52</v>
      </c>
      <c r="K5" t="s">
        <v>49</v>
      </c>
      <c r="L5">
        <v>480</v>
      </c>
      <c r="M5">
        <v>2021</v>
      </c>
      <c r="N5">
        <v>2021</v>
      </c>
      <c r="O5" s="1">
        <v>44438</v>
      </c>
      <c r="P5" s="1">
        <v>44420</v>
      </c>
      <c r="S5" t="s">
        <v>43</v>
      </c>
      <c r="W5">
        <v>1</v>
      </c>
      <c r="Z5">
        <v>0</v>
      </c>
    </row>
    <row r="6" spans="1:31" x14ac:dyDescent="0.3">
      <c r="A6">
        <v>48613351</v>
      </c>
      <c r="B6" t="s">
        <v>53</v>
      </c>
      <c r="C6" t="s">
        <v>54</v>
      </c>
      <c r="D6" t="s">
        <v>55</v>
      </c>
      <c r="F6" t="str">
        <f>""</f>
        <v/>
      </c>
      <c r="G6" t="str">
        <f>""</f>
        <v/>
      </c>
      <c r="H6">
        <v>0</v>
      </c>
      <c r="I6">
        <v>4.8899999999999997</v>
      </c>
      <c r="J6" t="s">
        <v>56</v>
      </c>
      <c r="K6" t="s">
        <v>57</v>
      </c>
      <c r="L6">
        <v>576</v>
      </c>
      <c r="M6">
        <v>2022</v>
      </c>
      <c r="N6">
        <v>2022</v>
      </c>
      <c r="P6" s="1">
        <v>44435</v>
      </c>
      <c r="Q6" t="s">
        <v>36</v>
      </c>
      <c r="R6" t="s">
        <v>58</v>
      </c>
      <c r="S6" t="s">
        <v>36</v>
      </c>
      <c r="W6">
        <v>0</v>
      </c>
      <c r="Z6">
        <v>0</v>
      </c>
    </row>
    <row r="7" spans="1:31" x14ac:dyDescent="0.3">
      <c r="A7">
        <v>42950440</v>
      </c>
      <c r="B7" t="s">
        <v>59</v>
      </c>
      <c r="C7" t="s">
        <v>60</v>
      </c>
      <c r="D7" t="s">
        <v>61</v>
      </c>
      <c r="E7" t="s">
        <v>62</v>
      </c>
      <c r="F7" t="str">
        <f>""</f>
        <v/>
      </c>
      <c r="G7" t="str">
        <f>""</f>
        <v/>
      </c>
      <c r="H7">
        <v>4</v>
      </c>
      <c r="I7">
        <v>4.3099999999999996</v>
      </c>
      <c r="J7" t="s">
        <v>63</v>
      </c>
      <c r="K7" t="s">
        <v>49</v>
      </c>
      <c r="L7">
        <v>608</v>
      </c>
      <c r="M7">
        <v>2020</v>
      </c>
      <c r="N7">
        <v>2020</v>
      </c>
      <c r="O7" s="1">
        <v>44420</v>
      </c>
      <c r="P7" s="1">
        <v>44328</v>
      </c>
      <c r="S7" t="s">
        <v>43</v>
      </c>
      <c r="W7">
        <v>1</v>
      </c>
      <c r="Z7">
        <v>0</v>
      </c>
    </row>
    <row r="8" spans="1:31" x14ac:dyDescent="0.3">
      <c r="A8">
        <v>55957410</v>
      </c>
      <c r="B8" t="s">
        <v>64</v>
      </c>
      <c r="C8" t="s">
        <v>60</v>
      </c>
      <c r="D8" t="s">
        <v>61</v>
      </c>
      <c r="E8" t="s">
        <v>62</v>
      </c>
      <c r="F8" t="str">
        <f>""</f>
        <v/>
      </c>
      <c r="G8" t="str">
        <f>""</f>
        <v/>
      </c>
      <c r="H8">
        <v>0</v>
      </c>
      <c r="I8">
        <v>3.82</v>
      </c>
      <c r="J8" t="s">
        <v>52</v>
      </c>
      <c r="K8" t="s">
        <v>49</v>
      </c>
      <c r="L8">
        <v>1</v>
      </c>
      <c r="M8">
        <v>2020</v>
      </c>
      <c r="N8">
        <v>2020</v>
      </c>
      <c r="P8" s="1">
        <v>44411</v>
      </c>
      <c r="Q8" t="s">
        <v>36</v>
      </c>
      <c r="R8" t="s">
        <v>65</v>
      </c>
      <c r="S8" t="s">
        <v>36</v>
      </c>
      <c r="W8">
        <v>0</v>
      </c>
      <c r="Z8">
        <v>0</v>
      </c>
    </row>
    <row r="9" spans="1:31" x14ac:dyDescent="0.3">
      <c r="A9">
        <v>24292598</v>
      </c>
      <c r="B9" t="s">
        <v>66</v>
      </c>
      <c r="C9" t="s">
        <v>60</v>
      </c>
      <c r="D9" t="s">
        <v>61</v>
      </c>
      <c r="F9" t="str">
        <f>""</f>
        <v/>
      </c>
      <c r="G9" t="str">
        <f>""</f>
        <v/>
      </c>
      <c r="H9">
        <v>0</v>
      </c>
      <c r="I9">
        <v>4.09</v>
      </c>
      <c r="K9" t="s">
        <v>57</v>
      </c>
      <c r="L9">
        <v>360</v>
      </c>
      <c r="M9">
        <v>2015</v>
      </c>
      <c r="N9">
        <v>2015</v>
      </c>
      <c r="P9" s="1">
        <v>44411</v>
      </c>
      <c r="Q9" t="s">
        <v>36</v>
      </c>
      <c r="R9" t="s">
        <v>67</v>
      </c>
      <c r="S9" t="s">
        <v>36</v>
      </c>
      <c r="W9">
        <v>0</v>
      </c>
      <c r="Z9">
        <v>0</v>
      </c>
    </row>
    <row r="10" spans="1:31" x14ac:dyDescent="0.3">
      <c r="A10">
        <v>57188483</v>
      </c>
      <c r="B10" t="s">
        <v>68</v>
      </c>
      <c r="C10" t="s">
        <v>69</v>
      </c>
      <c r="D10" t="s">
        <v>70</v>
      </c>
      <c r="F10" t="str">
        <f>""</f>
        <v/>
      </c>
      <c r="G10" t="str">
        <f>""</f>
        <v/>
      </c>
      <c r="H10">
        <v>2</v>
      </c>
      <c r="I10">
        <v>4.42</v>
      </c>
      <c r="K10" t="s">
        <v>57</v>
      </c>
      <c r="L10">
        <v>327</v>
      </c>
      <c r="M10">
        <v>2021</v>
      </c>
      <c r="N10">
        <v>2021</v>
      </c>
      <c r="O10" s="1">
        <v>44411</v>
      </c>
      <c r="P10" s="1">
        <v>44391</v>
      </c>
      <c r="S10" t="s">
        <v>43</v>
      </c>
      <c r="W10">
        <v>1</v>
      </c>
      <c r="Z10">
        <v>0</v>
      </c>
    </row>
    <row r="11" spans="1:31" x14ac:dyDescent="0.3">
      <c r="A11">
        <v>57189884</v>
      </c>
      <c r="B11" t="s">
        <v>71</v>
      </c>
      <c r="C11" t="s">
        <v>72</v>
      </c>
      <c r="D11" t="s">
        <v>73</v>
      </c>
      <c r="F11" t="str">
        <f>""</f>
        <v/>
      </c>
      <c r="G11" t="str">
        <f>""</f>
        <v/>
      </c>
      <c r="H11">
        <v>0</v>
      </c>
      <c r="I11">
        <v>4.51</v>
      </c>
      <c r="K11" t="s">
        <v>57</v>
      </c>
      <c r="L11">
        <v>680</v>
      </c>
      <c r="M11">
        <v>2021</v>
      </c>
      <c r="N11">
        <v>2021</v>
      </c>
      <c r="P11" s="1">
        <v>44410</v>
      </c>
      <c r="Q11" t="s">
        <v>36</v>
      </c>
      <c r="R11" t="s">
        <v>74</v>
      </c>
      <c r="S11" t="s">
        <v>36</v>
      </c>
      <c r="W11">
        <v>0</v>
      </c>
      <c r="Z11">
        <v>0</v>
      </c>
    </row>
    <row r="12" spans="1:31" x14ac:dyDescent="0.3">
      <c r="A12">
        <v>25666050</v>
      </c>
      <c r="B12" t="s">
        <v>75</v>
      </c>
      <c r="C12" t="s">
        <v>76</v>
      </c>
      <c r="D12" t="s">
        <v>77</v>
      </c>
      <c r="E12" t="s">
        <v>78</v>
      </c>
      <c r="F12" t="str">
        <f>"1627790365"</f>
        <v>1627790365</v>
      </c>
      <c r="G12" t="str">
        <f>"9781627790369"</f>
        <v>9781627790369</v>
      </c>
      <c r="H12">
        <v>4</v>
      </c>
      <c r="I12">
        <v>4.13</v>
      </c>
      <c r="J12" t="s">
        <v>79</v>
      </c>
      <c r="K12" t="s">
        <v>42</v>
      </c>
      <c r="L12">
        <v>368</v>
      </c>
      <c r="M12">
        <v>2016</v>
      </c>
      <c r="N12">
        <v>2016</v>
      </c>
      <c r="O12" s="1">
        <v>44391</v>
      </c>
      <c r="P12" s="1">
        <v>44355</v>
      </c>
      <c r="S12" t="s">
        <v>43</v>
      </c>
      <c r="W12">
        <v>1</v>
      </c>
      <c r="Z12">
        <v>0</v>
      </c>
    </row>
    <row r="13" spans="1:31" x14ac:dyDescent="0.3">
      <c r="A13">
        <v>43925920</v>
      </c>
      <c r="B13" t="s">
        <v>80</v>
      </c>
      <c r="C13" t="s">
        <v>69</v>
      </c>
      <c r="D13" t="s">
        <v>70</v>
      </c>
      <c r="F13" t="str">
        <f>""</f>
        <v/>
      </c>
      <c r="G13" t="str">
        <f>""</f>
        <v/>
      </c>
      <c r="H13">
        <v>3</v>
      </c>
      <c r="I13">
        <v>4.55</v>
      </c>
      <c r="J13" t="s">
        <v>81</v>
      </c>
      <c r="K13" t="s">
        <v>57</v>
      </c>
      <c r="L13">
        <v>323</v>
      </c>
      <c r="M13">
        <v>2019</v>
      </c>
      <c r="N13">
        <v>2019</v>
      </c>
      <c r="O13" s="1">
        <v>44350</v>
      </c>
      <c r="P13" s="1">
        <v>44343</v>
      </c>
      <c r="S13" t="s">
        <v>43</v>
      </c>
      <c r="W13">
        <v>1</v>
      </c>
      <c r="Z13">
        <v>0</v>
      </c>
    </row>
    <row r="14" spans="1:31" x14ac:dyDescent="0.3">
      <c r="A14">
        <v>10194157</v>
      </c>
      <c r="B14" t="s">
        <v>82</v>
      </c>
      <c r="C14" t="s">
        <v>83</v>
      </c>
      <c r="D14" t="s">
        <v>84</v>
      </c>
      <c r="F14" t="str">
        <f>""</f>
        <v/>
      </c>
      <c r="G14" t="str">
        <f>""</f>
        <v/>
      </c>
      <c r="H14">
        <v>0</v>
      </c>
      <c r="I14">
        <v>3.96</v>
      </c>
      <c r="J14" t="s">
        <v>85</v>
      </c>
      <c r="K14" t="s">
        <v>42</v>
      </c>
      <c r="L14">
        <v>358</v>
      </c>
      <c r="M14">
        <v>2012</v>
      </c>
      <c r="N14">
        <v>2012</v>
      </c>
      <c r="P14" s="1">
        <v>44343</v>
      </c>
      <c r="Q14" t="s">
        <v>36</v>
      </c>
      <c r="R14" t="s">
        <v>86</v>
      </c>
      <c r="S14" t="s">
        <v>36</v>
      </c>
      <c r="W14">
        <v>0</v>
      </c>
      <c r="Z14">
        <v>0</v>
      </c>
    </row>
    <row r="15" spans="1:31" x14ac:dyDescent="0.3">
      <c r="A15">
        <v>40178390</v>
      </c>
      <c r="B15" t="s">
        <v>87</v>
      </c>
      <c r="C15" t="s">
        <v>69</v>
      </c>
      <c r="D15" t="s">
        <v>70</v>
      </c>
      <c r="F15" t="str">
        <f>""</f>
        <v/>
      </c>
      <c r="G15" t="str">
        <f>""</f>
        <v/>
      </c>
      <c r="H15">
        <v>3</v>
      </c>
      <c r="I15">
        <v>4.49</v>
      </c>
      <c r="J15" t="s">
        <v>88</v>
      </c>
      <c r="K15" t="s">
        <v>57</v>
      </c>
      <c r="M15">
        <v>2018</v>
      </c>
      <c r="N15">
        <v>2018</v>
      </c>
      <c r="P15" s="1">
        <v>44335</v>
      </c>
      <c r="S15" t="s">
        <v>43</v>
      </c>
      <c r="W15">
        <v>1</v>
      </c>
      <c r="Z15">
        <v>0</v>
      </c>
    </row>
    <row r="16" spans="1:31" x14ac:dyDescent="0.3">
      <c r="A16">
        <v>51279226</v>
      </c>
      <c r="B16" t="s">
        <v>89</v>
      </c>
      <c r="C16" t="s">
        <v>90</v>
      </c>
      <c r="D16" t="s">
        <v>91</v>
      </c>
      <c r="F16" t="str">
        <f>""</f>
        <v/>
      </c>
      <c r="G16" t="str">
        <f>""</f>
        <v/>
      </c>
      <c r="H16">
        <v>0</v>
      </c>
      <c r="I16">
        <v>4.43</v>
      </c>
      <c r="K16" t="s">
        <v>57</v>
      </c>
      <c r="L16">
        <v>626</v>
      </c>
      <c r="M16">
        <v>2019</v>
      </c>
      <c r="N16">
        <v>2019</v>
      </c>
      <c r="P16" s="1">
        <v>44336</v>
      </c>
      <c r="Q16" t="s">
        <v>36</v>
      </c>
      <c r="R16" t="s">
        <v>92</v>
      </c>
      <c r="S16" t="s">
        <v>36</v>
      </c>
      <c r="W16">
        <v>0</v>
      </c>
      <c r="Z16">
        <v>0</v>
      </c>
    </row>
    <row r="17" spans="1:26" x14ac:dyDescent="0.3">
      <c r="A17">
        <v>36595716</v>
      </c>
      <c r="B17" t="s">
        <v>93</v>
      </c>
      <c r="C17" t="s">
        <v>69</v>
      </c>
      <c r="D17" t="s">
        <v>70</v>
      </c>
      <c r="F17" t="str">
        <f>""</f>
        <v/>
      </c>
      <c r="G17" t="str">
        <f>""</f>
        <v/>
      </c>
      <c r="H17">
        <v>3</v>
      </c>
      <c r="I17">
        <v>4.34</v>
      </c>
      <c r="J17" t="s">
        <v>88</v>
      </c>
      <c r="K17" t="s">
        <v>57</v>
      </c>
      <c r="L17">
        <v>310</v>
      </c>
      <c r="M17">
        <v>2017</v>
      </c>
      <c r="N17">
        <v>2017</v>
      </c>
      <c r="O17" s="1">
        <v>44335</v>
      </c>
      <c r="P17" s="1">
        <v>43058</v>
      </c>
      <c r="S17" t="s">
        <v>43</v>
      </c>
      <c r="W17">
        <v>1</v>
      </c>
      <c r="Z17">
        <v>0</v>
      </c>
    </row>
    <row r="18" spans="1:26" x14ac:dyDescent="0.3">
      <c r="A18">
        <v>53528390</v>
      </c>
      <c r="B18" t="s">
        <v>94</v>
      </c>
      <c r="C18" t="s">
        <v>95</v>
      </c>
      <c r="D18" t="s">
        <v>96</v>
      </c>
      <c r="F18" t="str">
        <f>""</f>
        <v/>
      </c>
      <c r="G18" t="str">
        <f>""</f>
        <v/>
      </c>
      <c r="H18">
        <v>4</v>
      </c>
      <c r="I18">
        <v>4.33</v>
      </c>
      <c r="J18" t="s">
        <v>97</v>
      </c>
      <c r="K18" t="s">
        <v>57</v>
      </c>
      <c r="L18">
        <v>269</v>
      </c>
      <c r="M18">
        <v>2020</v>
      </c>
      <c r="N18">
        <v>2020</v>
      </c>
      <c r="O18" s="1">
        <v>44328</v>
      </c>
      <c r="P18" s="1">
        <v>44159</v>
      </c>
      <c r="S18" t="s">
        <v>43</v>
      </c>
      <c r="W18">
        <v>1</v>
      </c>
      <c r="Z18">
        <v>0</v>
      </c>
    </row>
    <row r="19" spans="1:26" x14ac:dyDescent="0.3">
      <c r="A19">
        <v>55809682</v>
      </c>
      <c r="B19" t="s">
        <v>98</v>
      </c>
      <c r="C19" t="s">
        <v>99</v>
      </c>
      <c r="D19" t="s">
        <v>100</v>
      </c>
      <c r="F19" t="str">
        <f>"0008386307"</f>
        <v>0008386307</v>
      </c>
      <c r="G19" t="str">
        <f>"9780008386306"</f>
        <v>9780008386306</v>
      </c>
      <c r="H19">
        <v>0</v>
      </c>
      <c r="I19">
        <v>4.43</v>
      </c>
      <c r="J19" t="s">
        <v>101</v>
      </c>
      <c r="K19" t="s">
        <v>102</v>
      </c>
      <c r="L19">
        <v>608</v>
      </c>
      <c r="M19">
        <v>2021</v>
      </c>
      <c r="N19">
        <v>2021</v>
      </c>
      <c r="P19" s="1">
        <v>44316</v>
      </c>
      <c r="Q19" t="s">
        <v>36</v>
      </c>
      <c r="R19" t="s">
        <v>103</v>
      </c>
      <c r="S19" t="s">
        <v>36</v>
      </c>
      <c r="W19">
        <v>0</v>
      </c>
      <c r="Z19">
        <v>0</v>
      </c>
    </row>
    <row r="20" spans="1:26" x14ac:dyDescent="0.3">
      <c r="A20">
        <v>53936783</v>
      </c>
      <c r="B20" t="s">
        <v>104</v>
      </c>
      <c r="C20" t="s">
        <v>105</v>
      </c>
      <c r="D20" t="s">
        <v>106</v>
      </c>
      <c r="F20" t="str">
        <f>""</f>
        <v/>
      </c>
      <c r="G20" t="str">
        <f>""</f>
        <v/>
      </c>
      <c r="H20">
        <v>0</v>
      </c>
      <c r="I20">
        <v>4.26</v>
      </c>
      <c r="L20">
        <v>324</v>
      </c>
      <c r="M20">
        <v>2021</v>
      </c>
      <c r="N20">
        <v>2021</v>
      </c>
      <c r="P20" s="1">
        <v>44313</v>
      </c>
      <c r="Q20" t="s">
        <v>36</v>
      </c>
      <c r="R20" t="s">
        <v>107</v>
      </c>
      <c r="S20" t="s">
        <v>36</v>
      </c>
      <c r="W20">
        <v>0</v>
      </c>
      <c r="Z20">
        <v>0</v>
      </c>
    </row>
    <row r="21" spans="1:26" x14ac:dyDescent="0.3">
      <c r="A21">
        <v>30558257</v>
      </c>
      <c r="B21" t="s">
        <v>108</v>
      </c>
      <c r="C21" t="s">
        <v>109</v>
      </c>
      <c r="D21" t="s">
        <v>110</v>
      </c>
      <c r="F21" t="str">
        <f>""</f>
        <v/>
      </c>
      <c r="G21" t="str">
        <f>""</f>
        <v/>
      </c>
      <c r="H21">
        <v>0</v>
      </c>
      <c r="I21">
        <v>4.16</v>
      </c>
      <c r="J21" t="s">
        <v>111</v>
      </c>
      <c r="K21" t="s">
        <v>57</v>
      </c>
      <c r="L21">
        <v>294</v>
      </c>
      <c r="M21">
        <v>2016</v>
      </c>
      <c r="N21">
        <v>2016</v>
      </c>
      <c r="P21" s="1">
        <v>44313</v>
      </c>
      <c r="Q21" t="s">
        <v>36</v>
      </c>
      <c r="R21" t="s">
        <v>112</v>
      </c>
      <c r="S21" t="s">
        <v>36</v>
      </c>
      <c r="W21">
        <v>0</v>
      </c>
      <c r="Z21">
        <v>0</v>
      </c>
    </row>
    <row r="22" spans="1:26" x14ac:dyDescent="0.3">
      <c r="A22">
        <v>898559</v>
      </c>
      <c r="B22" t="s">
        <v>113</v>
      </c>
      <c r="C22" t="s">
        <v>114</v>
      </c>
      <c r="D22" t="s">
        <v>115</v>
      </c>
      <c r="E22" t="s">
        <v>116</v>
      </c>
      <c r="F22" t="str">
        <f>"0450030423"</f>
        <v>0450030423</v>
      </c>
      <c r="G22" t="str">
        <f>"9780450030420"</f>
        <v>9780450030420</v>
      </c>
      <c r="H22">
        <v>0</v>
      </c>
      <c r="I22">
        <v>3.87</v>
      </c>
      <c r="J22" t="s">
        <v>117</v>
      </c>
      <c r="K22" t="s">
        <v>102</v>
      </c>
      <c r="L22">
        <v>320</v>
      </c>
      <c r="M22">
        <v>1976</v>
      </c>
      <c r="N22">
        <v>1974</v>
      </c>
      <c r="P22" s="1">
        <v>44309</v>
      </c>
      <c r="Q22" t="s">
        <v>36</v>
      </c>
      <c r="R22" t="s">
        <v>118</v>
      </c>
      <c r="S22" t="s">
        <v>36</v>
      </c>
      <c r="W22">
        <v>0</v>
      </c>
      <c r="Z22">
        <v>0</v>
      </c>
    </row>
    <row r="23" spans="1:26" x14ac:dyDescent="0.3">
      <c r="A23">
        <v>34931316</v>
      </c>
      <c r="B23" t="s">
        <v>119</v>
      </c>
      <c r="C23" t="s">
        <v>114</v>
      </c>
      <c r="D23" t="s">
        <v>115</v>
      </c>
      <c r="F23" t="str">
        <f>""</f>
        <v/>
      </c>
      <c r="G23" t="str">
        <f>""</f>
        <v/>
      </c>
      <c r="H23">
        <v>0</v>
      </c>
      <c r="I23">
        <v>4.1100000000000003</v>
      </c>
      <c r="J23" t="s">
        <v>120</v>
      </c>
      <c r="K23" t="s">
        <v>57</v>
      </c>
      <c r="L23">
        <v>958</v>
      </c>
      <c r="M23">
        <v>2017</v>
      </c>
      <c r="N23">
        <v>2017</v>
      </c>
      <c r="P23" s="1">
        <v>44309</v>
      </c>
      <c r="Q23" t="s">
        <v>36</v>
      </c>
      <c r="R23" t="s">
        <v>121</v>
      </c>
      <c r="S23" t="s">
        <v>36</v>
      </c>
      <c r="W23">
        <v>0</v>
      </c>
      <c r="Z23">
        <v>0</v>
      </c>
    </row>
    <row r="24" spans="1:26" x14ac:dyDescent="0.3">
      <c r="A24">
        <v>56962737</v>
      </c>
      <c r="B24" t="s">
        <v>122</v>
      </c>
      <c r="C24" t="s">
        <v>123</v>
      </c>
      <c r="D24" t="s">
        <v>124</v>
      </c>
      <c r="E24" t="s">
        <v>125</v>
      </c>
      <c r="F24" t="str">
        <f>""</f>
        <v/>
      </c>
      <c r="G24" t="str">
        <f>""</f>
        <v/>
      </c>
      <c r="H24">
        <v>0</v>
      </c>
      <c r="I24">
        <v>4.3899999999999997</v>
      </c>
      <c r="J24" t="s">
        <v>126</v>
      </c>
      <c r="K24" t="s">
        <v>57</v>
      </c>
      <c r="L24">
        <v>31</v>
      </c>
      <c r="M24">
        <v>2021</v>
      </c>
      <c r="P24" s="1">
        <v>44306</v>
      </c>
      <c r="Q24" t="s">
        <v>36</v>
      </c>
      <c r="R24" t="s">
        <v>127</v>
      </c>
      <c r="S24" t="s">
        <v>36</v>
      </c>
      <c r="W24">
        <v>0</v>
      </c>
      <c r="Z24">
        <v>0</v>
      </c>
    </row>
    <row r="25" spans="1:26" x14ac:dyDescent="0.3">
      <c r="A25">
        <v>28335698</v>
      </c>
      <c r="B25" t="s">
        <v>128</v>
      </c>
      <c r="C25" t="s">
        <v>129</v>
      </c>
      <c r="D25" t="s">
        <v>130</v>
      </c>
      <c r="F25" t="str">
        <f>"0316332879"</f>
        <v>0316332879</v>
      </c>
      <c r="G25" t="str">
        <f>"9780316332873"</f>
        <v>9780316332873</v>
      </c>
      <c r="H25">
        <v>3</v>
      </c>
      <c r="I25">
        <v>4.57</v>
      </c>
      <c r="J25" t="s">
        <v>131</v>
      </c>
      <c r="K25" t="s">
        <v>42</v>
      </c>
      <c r="L25">
        <v>534</v>
      </c>
      <c r="M25">
        <v>2019</v>
      </c>
      <c r="N25">
        <v>2019</v>
      </c>
      <c r="P25" s="1">
        <v>43212</v>
      </c>
      <c r="S25" t="s">
        <v>43</v>
      </c>
      <c r="W25">
        <v>1</v>
      </c>
      <c r="Z25">
        <v>0</v>
      </c>
    </row>
    <row r="26" spans="1:26" x14ac:dyDescent="0.3">
      <c r="A26">
        <v>28335699</v>
      </c>
      <c r="B26" t="s">
        <v>132</v>
      </c>
      <c r="C26" t="s">
        <v>129</v>
      </c>
      <c r="D26" t="s">
        <v>130</v>
      </c>
      <c r="F26" t="str">
        <f>"0356510395"</f>
        <v>0356510395</v>
      </c>
      <c r="G26" t="str">
        <f>"9780356510392"</f>
        <v>9780356510392</v>
      </c>
      <c r="H26">
        <v>0</v>
      </c>
      <c r="I26">
        <v>4.55</v>
      </c>
      <c r="J26" t="s">
        <v>133</v>
      </c>
      <c r="K26" t="s">
        <v>42</v>
      </c>
      <c r="L26">
        <v>528</v>
      </c>
      <c r="M26">
        <v>2022</v>
      </c>
      <c r="N26">
        <v>2021</v>
      </c>
      <c r="P26" s="1">
        <v>44276</v>
      </c>
      <c r="Q26" t="s">
        <v>36</v>
      </c>
      <c r="R26" t="s">
        <v>134</v>
      </c>
      <c r="S26" t="s">
        <v>36</v>
      </c>
      <c r="W26">
        <v>0</v>
      </c>
      <c r="Z26">
        <v>0</v>
      </c>
    </row>
    <row r="27" spans="1:26" x14ac:dyDescent="0.3">
      <c r="A27">
        <v>56454615</v>
      </c>
      <c r="B27" t="s">
        <v>68</v>
      </c>
      <c r="C27" t="s">
        <v>69</v>
      </c>
      <c r="D27" t="s">
        <v>70</v>
      </c>
      <c r="F27" t="str">
        <f>"1989674143"</f>
        <v>1989674143</v>
      </c>
      <c r="G27" t="str">
        <f>"9781989674147"</f>
        <v>9781989674147</v>
      </c>
      <c r="H27">
        <v>0</v>
      </c>
      <c r="I27">
        <v>4.42</v>
      </c>
      <c r="J27" t="s">
        <v>81</v>
      </c>
      <c r="K27" t="s">
        <v>102</v>
      </c>
      <c r="L27">
        <v>325</v>
      </c>
      <c r="M27">
        <v>2021</v>
      </c>
      <c r="N27">
        <v>2021</v>
      </c>
      <c r="P27" s="1">
        <v>44250</v>
      </c>
      <c r="Q27" t="s">
        <v>36</v>
      </c>
      <c r="R27" t="s">
        <v>135</v>
      </c>
      <c r="S27" t="s">
        <v>36</v>
      </c>
      <c r="W27">
        <v>0</v>
      </c>
      <c r="Z27">
        <v>0</v>
      </c>
    </row>
    <row r="28" spans="1:26" x14ac:dyDescent="0.3">
      <c r="A28">
        <v>52331179</v>
      </c>
      <c r="B28" t="s">
        <v>136</v>
      </c>
      <c r="C28" t="s">
        <v>99</v>
      </c>
      <c r="D28" t="s">
        <v>100</v>
      </c>
      <c r="F28" t="str">
        <f>"0008386234"</f>
        <v>0008386234</v>
      </c>
      <c r="G28" t="str">
        <f>"9780008386238"</f>
        <v>9780008386238</v>
      </c>
      <c r="H28">
        <v>5</v>
      </c>
      <c r="I28">
        <v>4.49</v>
      </c>
      <c r="J28" t="s">
        <v>137</v>
      </c>
      <c r="K28" t="s">
        <v>42</v>
      </c>
      <c r="L28">
        <v>592</v>
      </c>
      <c r="M28">
        <v>2020</v>
      </c>
      <c r="N28">
        <v>2020</v>
      </c>
      <c r="P28" s="1">
        <v>44239</v>
      </c>
      <c r="S28" t="s">
        <v>43</v>
      </c>
      <c r="W28">
        <v>1</v>
      </c>
      <c r="Z28">
        <v>0</v>
      </c>
    </row>
    <row r="29" spans="1:26" x14ac:dyDescent="0.3">
      <c r="A29">
        <v>55050273</v>
      </c>
      <c r="B29" t="s">
        <v>138</v>
      </c>
      <c r="C29" t="s">
        <v>139</v>
      </c>
      <c r="D29" t="s">
        <v>140</v>
      </c>
      <c r="F29" t="str">
        <f>""</f>
        <v/>
      </c>
      <c r="G29" t="str">
        <f>""</f>
        <v/>
      </c>
      <c r="H29">
        <v>0</v>
      </c>
      <c r="I29">
        <v>4.01</v>
      </c>
      <c r="J29" t="s">
        <v>141</v>
      </c>
      <c r="K29" t="s">
        <v>57</v>
      </c>
      <c r="L29">
        <v>288</v>
      </c>
      <c r="M29">
        <v>2020</v>
      </c>
      <c r="P29" s="1">
        <v>44232</v>
      </c>
      <c r="Q29" t="s">
        <v>142</v>
      </c>
      <c r="R29" t="s">
        <v>143</v>
      </c>
      <c r="S29" t="s">
        <v>142</v>
      </c>
      <c r="W29">
        <v>1</v>
      </c>
      <c r="Z29">
        <v>0</v>
      </c>
    </row>
    <row r="30" spans="1:26" x14ac:dyDescent="0.3">
      <c r="A30">
        <v>49021976</v>
      </c>
      <c r="B30" t="s">
        <v>144</v>
      </c>
      <c r="C30" t="s">
        <v>45</v>
      </c>
      <c r="D30" t="s">
        <v>46</v>
      </c>
      <c r="F30" t="str">
        <f>"0765326388"</f>
        <v>0765326388</v>
      </c>
      <c r="G30" t="str">
        <f>"9780765326386"</f>
        <v>9780765326386</v>
      </c>
      <c r="H30">
        <v>5</v>
      </c>
      <c r="I30">
        <v>4.62</v>
      </c>
      <c r="J30" t="s">
        <v>56</v>
      </c>
      <c r="K30" t="s">
        <v>42</v>
      </c>
      <c r="L30">
        <v>1230</v>
      </c>
      <c r="M30">
        <v>2020</v>
      </c>
      <c r="N30">
        <v>2020</v>
      </c>
      <c r="O30" s="1">
        <v>44214</v>
      </c>
      <c r="P30" s="1">
        <v>44154</v>
      </c>
      <c r="S30" t="s">
        <v>43</v>
      </c>
      <c r="W30">
        <v>1</v>
      </c>
      <c r="Z30">
        <v>0</v>
      </c>
    </row>
    <row r="31" spans="1:26" x14ac:dyDescent="0.3">
      <c r="A31">
        <v>4932435</v>
      </c>
      <c r="B31" t="s">
        <v>145</v>
      </c>
      <c r="C31" t="s">
        <v>146</v>
      </c>
      <c r="D31" t="s">
        <v>147</v>
      </c>
      <c r="F31" t="str">
        <f>"0670072818"</f>
        <v>0670072818</v>
      </c>
      <c r="G31" t="str">
        <f>"9780670072811"</f>
        <v>9780670072811</v>
      </c>
      <c r="H31">
        <v>0</v>
      </c>
      <c r="I31">
        <v>3.88</v>
      </c>
      <c r="J31" t="s">
        <v>148</v>
      </c>
      <c r="K31" t="s">
        <v>102</v>
      </c>
      <c r="L31">
        <v>416</v>
      </c>
      <c r="M31">
        <v>2008</v>
      </c>
      <c r="N31">
        <v>2008</v>
      </c>
      <c r="P31" s="1">
        <v>44170</v>
      </c>
      <c r="Q31" t="s">
        <v>36</v>
      </c>
      <c r="R31" t="s">
        <v>149</v>
      </c>
      <c r="S31" t="s">
        <v>36</v>
      </c>
      <c r="W31">
        <v>0</v>
      </c>
      <c r="Z31">
        <v>0</v>
      </c>
    </row>
    <row r="32" spans="1:26" x14ac:dyDescent="0.3">
      <c r="A32">
        <v>29103028</v>
      </c>
      <c r="B32" t="s">
        <v>150</v>
      </c>
      <c r="C32" t="s">
        <v>151</v>
      </c>
      <c r="D32" t="s">
        <v>152</v>
      </c>
      <c r="F32" t="str">
        <f>""</f>
        <v/>
      </c>
      <c r="G32" t="str">
        <f>""</f>
        <v/>
      </c>
      <c r="H32">
        <v>0</v>
      </c>
      <c r="I32">
        <v>4.08</v>
      </c>
      <c r="J32" t="s">
        <v>97</v>
      </c>
      <c r="K32" t="s">
        <v>57</v>
      </c>
      <c r="L32">
        <v>336</v>
      </c>
      <c r="M32">
        <v>2016</v>
      </c>
      <c r="N32">
        <v>2016</v>
      </c>
      <c r="P32" s="1">
        <v>44170</v>
      </c>
      <c r="Q32" t="s">
        <v>36</v>
      </c>
      <c r="R32" t="s">
        <v>153</v>
      </c>
      <c r="S32" t="s">
        <v>36</v>
      </c>
      <c r="W32">
        <v>0</v>
      </c>
      <c r="Z32">
        <v>0</v>
      </c>
    </row>
    <row r="33" spans="1:26" x14ac:dyDescent="0.3">
      <c r="A33">
        <v>36373298</v>
      </c>
      <c r="B33" t="s">
        <v>154</v>
      </c>
      <c r="C33" t="s">
        <v>155</v>
      </c>
      <c r="D33" t="s">
        <v>156</v>
      </c>
      <c r="F33" t="str">
        <f>"1534413499"</f>
        <v>1534413499</v>
      </c>
      <c r="G33" t="str">
        <f>"9781534413498"</f>
        <v>9781534413498</v>
      </c>
      <c r="H33">
        <v>0</v>
      </c>
      <c r="I33">
        <v>3.96</v>
      </c>
      <c r="J33" t="s">
        <v>157</v>
      </c>
      <c r="K33" t="s">
        <v>42</v>
      </c>
      <c r="L33">
        <v>287</v>
      </c>
      <c r="M33">
        <v>2018</v>
      </c>
      <c r="N33">
        <v>2018</v>
      </c>
      <c r="P33" s="1">
        <v>44170</v>
      </c>
      <c r="Q33" t="s">
        <v>36</v>
      </c>
      <c r="R33" t="s">
        <v>158</v>
      </c>
      <c r="S33" t="s">
        <v>36</v>
      </c>
      <c r="W33">
        <v>0</v>
      </c>
      <c r="Z33">
        <v>0</v>
      </c>
    </row>
    <row r="34" spans="1:26" x14ac:dyDescent="0.3">
      <c r="A34">
        <v>37173847</v>
      </c>
      <c r="B34" t="s">
        <v>159</v>
      </c>
      <c r="C34" t="s">
        <v>160</v>
      </c>
      <c r="D34" t="s">
        <v>161</v>
      </c>
      <c r="F34" t="str">
        <f>""</f>
        <v/>
      </c>
      <c r="G34" t="str">
        <f>""</f>
        <v/>
      </c>
      <c r="H34">
        <v>3</v>
      </c>
      <c r="I34">
        <v>4.21</v>
      </c>
      <c r="J34" t="s">
        <v>162</v>
      </c>
      <c r="K34" t="s">
        <v>57</v>
      </c>
      <c r="L34">
        <v>501</v>
      </c>
      <c r="M34">
        <v>2018</v>
      </c>
      <c r="N34">
        <v>2018</v>
      </c>
      <c r="O34" s="1">
        <v>44154</v>
      </c>
      <c r="P34" s="1">
        <v>44126</v>
      </c>
      <c r="S34" t="s">
        <v>43</v>
      </c>
      <c r="W34">
        <v>1</v>
      </c>
      <c r="Z34">
        <v>0</v>
      </c>
    </row>
    <row r="35" spans="1:26" x14ac:dyDescent="0.3">
      <c r="A35">
        <v>45037760</v>
      </c>
      <c r="B35" t="s">
        <v>163</v>
      </c>
      <c r="C35" t="s">
        <v>164</v>
      </c>
      <c r="D35" t="s">
        <v>165</v>
      </c>
      <c r="F35" t="str">
        <f>""</f>
        <v/>
      </c>
      <c r="G35" t="str">
        <f>""</f>
        <v/>
      </c>
      <c r="H35">
        <v>0</v>
      </c>
      <c r="I35">
        <v>4.13</v>
      </c>
      <c r="J35" t="s">
        <v>166</v>
      </c>
      <c r="K35" t="s">
        <v>57</v>
      </c>
      <c r="L35">
        <v>339</v>
      </c>
      <c r="M35">
        <v>2019</v>
      </c>
      <c r="P35" s="1">
        <v>44149</v>
      </c>
      <c r="Q35" t="s">
        <v>36</v>
      </c>
      <c r="R35" t="s">
        <v>167</v>
      </c>
      <c r="S35" t="s">
        <v>36</v>
      </c>
      <c r="W35">
        <v>0</v>
      </c>
      <c r="Z35">
        <v>0</v>
      </c>
    </row>
    <row r="36" spans="1:26" x14ac:dyDescent="0.3">
      <c r="A36">
        <v>49798827</v>
      </c>
      <c r="B36" t="s">
        <v>168</v>
      </c>
      <c r="C36" t="s">
        <v>45</v>
      </c>
      <c r="D36" t="s">
        <v>46</v>
      </c>
      <c r="E36" t="s">
        <v>169</v>
      </c>
      <c r="F36" t="str">
        <f>""</f>
        <v/>
      </c>
      <c r="G36" t="str">
        <f>"9781939424761"</f>
        <v>9781939424761</v>
      </c>
      <c r="H36">
        <v>0</v>
      </c>
      <c r="I36">
        <v>3.7</v>
      </c>
      <c r="J36" t="s">
        <v>170</v>
      </c>
      <c r="K36" t="s">
        <v>42</v>
      </c>
      <c r="L36">
        <v>224</v>
      </c>
      <c r="M36">
        <v>2021</v>
      </c>
      <c r="N36">
        <v>2021</v>
      </c>
      <c r="P36" s="1">
        <v>44132</v>
      </c>
      <c r="Q36" t="s">
        <v>36</v>
      </c>
      <c r="R36" t="s">
        <v>171</v>
      </c>
      <c r="S36" t="s">
        <v>36</v>
      </c>
      <c r="W36">
        <v>0</v>
      </c>
      <c r="Z36">
        <v>0</v>
      </c>
    </row>
    <row r="37" spans="1:26" x14ac:dyDescent="0.3">
      <c r="A37">
        <v>23106013</v>
      </c>
      <c r="B37" t="s">
        <v>172</v>
      </c>
      <c r="C37" t="s">
        <v>173</v>
      </c>
      <c r="D37" t="s">
        <v>174</v>
      </c>
      <c r="F37" t="str">
        <f>"0593199308"</f>
        <v>0593199308</v>
      </c>
      <c r="G37" t="str">
        <f>"9780593199305"</f>
        <v>9780593199305</v>
      </c>
      <c r="H37">
        <v>5</v>
      </c>
      <c r="I37">
        <v>4.4000000000000004</v>
      </c>
      <c r="J37" t="s">
        <v>175</v>
      </c>
      <c r="K37" t="s">
        <v>42</v>
      </c>
      <c r="L37">
        <v>418</v>
      </c>
      <c r="M37">
        <v>2020</v>
      </c>
      <c r="N37">
        <v>2020</v>
      </c>
      <c r="O37" s="1">
        <v>44124</v>
      </c>
      <c r="P37" s="1">
        <v>44030</v>
      </c>
      <c r="S37" t="s">
        <v>43</v>
      </c>
      <c r="W37">
        <v>1</v>
      </c>
      <c r="Z37">
        <v>0</v>
      </c>
    </row>
    <row r="38" spans="1:26" x14ac:dyDescent="0.3">
      <c r="A38">
        <v>28257707</v>
      </c>
      <c r="B38" t="s">
        <v>176</v>
      </c>
      <c r="C38" t="s">
        <v>177</v>
      </c>
      <c r="D38" t="s">
        <v>178</v>
      </c>
      <c r="F38" t="str">
        <f>""</f>
        <v/>
      </c>
      <c r="G38" t="str">
        <f>""</f>
        <v/>
      </c>
      <c r="H38">
        <v>3</v>
      </c>
      <c r="I38">
        <v>3.92</v>
      </c>
      <c r="J38" t="s">
        <v>179</v>
      </c>
      <c r="K38" t="s">
        <v>35</v>
      </c>
      <c r="L38">
        <v>224</v>
      </c>
      <c r="M38">
        <v>2016</v>
      </c>
      <c r="N38">
        <v>2016</v>
      </c>
      <c r="O38" s="1">
        <v>44093</v>
      </c>
      <c r="P38" s="1">
        <v>44083</v>
      </c>
      <c r="S38" t="s">
        <v>43</v>
      </c>
      <c r="W38">
        <v>1</v>
      </c>
      <c r="Z38">
        <v>0</v>
      </c>
    </row>
    <row r="39" spans="1:26" x14ac:dyDescent="0.3">
      <c r="A39">
        <v>30966931</v>
      </c>
      <c r="B39" t="s">
        <v>180</v>
      </c>
      <c r="C39" t="s">
        <v>69</v>
      </c>
      <c r="D39" t="s">
        <v>70</v>
      </c>
      <c r="F39" t="str">
        <f>""</f>
        <v/>
      </c>
      <c r="G39" t="str">
        <f>""</f>
        <v/>
      </c>
      <c r="H39">
        <v>3</v>
      </c>
      <c r="I39">
        <v>4.28</v>
      </c>
      <c r="J39" t="s">
        <v>88</v>
      </c>
      <c r="K39" t="s">
        <v>57</v>
      </c>
      <c r="L39">
        <v>509</v>
      </c>
      <c r="M39">
        <v>2016</v>
      </c>
      <c r="N39">
        <v>2016</v>
      </c>
      <c r="O39" s="1">
        <v>44110</v>
      </c>
      <c r="P39" s="1">
        <v>42885</v>
      </c>
      <c r="S39" t="s">
        <v>43</v>
      </c>
      <c r="W39">
        <v>1</v>
      </c>
      <c r="Z39">
        <v>0</v>
      </c>
    </row>
    <row r="40" spans="1:26" x14ac:dyDescent="0.3">
      <c r="A40">
        <v>54897345</v>
      </c>
      <c r="B40" t="s">
        <v>181</v>
      </c>
      <c r="C40" t="s">
        <v>69</v>
      </c>
      <c r="D40" t="s">
        <v>70</v>
      </c>
      <c r="F40" t="str">
        <f>""</f>
        <v/>
      </c>
      <c r="G40" t="str">
        <f>""</f>
        <v/>
      </c>
      <c r="H40">
        <v>5</v>
      </c>
      <c r="I40">
        <v>4.46</v>
      </c>
      <c r="K40" t="s">
        <v>57</v>
      </c>
      <c r="L40">
        <v>319</v>
      </c>
      <c r="M40">
        <v>2020</v>
      </c>
      <c r="N40">
        <v>2020</v>
      </c>
      <c r="O40" s="1">
        <v>44093</v>
      </c>
      <c r="P40" s="1">
        <v>44083</v>
      </c>
      <c r="S40" t="s">
        <v>43</v>
      </c>
      <c r="W40">
        <v>1</v>
      </c>
      <c r="Z40">
        <v>0</v>
      </c>
    </row>
    <row r="41" spans="1:26" x14ac:dyDescent="0.3">
      <c r="A41">
        <v>49089453</v>
      </c>
      <c r="B41" t="s">
        <v>182</v>
      </c>
      <c r="C41" t="s">
        <v>183</v>
      </c>
      <c r="D41" t="s">
        <v>184</v>
      </c>
      <c r="F41" t="str">
        <f>"1541647467"</f>
        <v>1541647467</v>
      </c>
      <c r="G41" t="str">
        <f>"9781541647466"</f>
        <v>9781541647466</v>
      </c>
      <c r="H41">
        <v>4</v>
      </c>
      <c r="I41">
        <v>4.22</v>
      </c>
      <c r="J41" t="s">
        <v>185</v>
      </c>
      <c r="K41" t="s">
        <v>42</v>
      </c>
      <c r="L41">
        <v>320</v>
      </c>
      <c r="M41">
        <v>2020</v>
      </c>
      <c r="N41">
        <v>2020</v>
      </c>
      <c r="O41" s="1">
        <v>44081</v>
      </c>
      <c r="P41" s="1">
        <v>44083</v>
      </c>
      <c r="S41" t="s">
        <v>43</v>
      </c>
      <c r="W41">
        <v>1</v>
      </c>
      <c r="Z41">
        <v>0</v>
      </c>
    </row>
    <row r="42" spans="1:26" x14ac:dyDescent="0.3">
      <c r="A42">
        <v>44767458</v>
      </c>
      <c r="B42" t="s">
        <v>186</v>
      </c>
      <c r="C42" t="s">
        <v>187</v>
      </c>
      <c r="D42" t="s">
        <v>188</v>
      </c>
      <c r="F42" t="str">
        <f>"059309932X"</f>
        <v>059309932X</v>
      </c>
      <c r="G42" t="str">
        <f>"9780593099322"</f>
        <v>9780593099322</v>
      </c>
      <c r="H42">
        <v>3</v>
      </c>
      <c r="I42">
        <v>4.25</v>
      </c>
      <c r="J42" t="s">
        <v>189</v>
      </c>
      <c r="K42" t="s">
        <v>42</v>
      </c>
      <c r="L42">
        <v>658</v>
      </c>
      <c r="M42">
        <v>2019</v>
      </c>
      <c r="N42">
        <v>1965</v>
      </c>
      <c r="O42" s="1">
        <v>44067</v>
      </c>
      <c r="P42" s="1">
        <v>44047</v>
      </c>
      <c r="S42" t="s">
        <v>43</v>
      </c>
      <c r="W42">
        <v>1</v>
      </c>
      <c r="Z42">
        <v>0</v>
      </c>
    </row>
    <row r="43" spans="1:26" x14ac:dyDescent="0.3">
      <c r="A43">
        <v>35621572</v>
      </c>
      <c r="B43" t="s">
        <v>190</v>
      </c>
      <c r="C43" t="s">
        <v>191</v>
      </c>
      <c r="D43" t="s">
        <v>192</v>
      </c>
      <c r="F43" t="str">
        <f>""</f>
        <v/>
      </c>
      <c r="G43" t="str">
        <f>""</f>
        <v/>
      </c>
      <c r="H43">
        <v>0</v>
      </c>
      <c r="I43">
        <v>4.01</v>
      </c>
      <c r="J43" t="s">
        <v>193</v>
      </c>
      <c r="K43" t="s">
        <v>57</v>
      </c>
      <c r="L43">
        <v>504</v>
      </c>
      <c r="M43">
        <v>2017</v>
      </c>
      <c r="N43">
        <v>2016</v>
      </c>
      <c r="P43" s="1">
        <v>44047</v>
      </c>
      <c r="Q43" t="s">
        <v>36</v>
      </c>
      <c r="R43" t="s">
        <v>194</v>
      </c>
      <c r="S43" t="s">
        <v>36</v>
      </c>
      <c r="W43">
        <v>0</v>
      </c>
      <c r="Z43">
        <v>0</v>
      </c>
    </row>
    <row r="44" spans="1:26" x14ac:dyDescent="0.3">
      <c r="A44">
        <v>32440502</v>
      </c>
      <c r="B44" t="s">
        <v>195</v>
      </c>
      <c r="C44" t="s">
        <v>196</v>
      </c>
      <c r="D44" t="s">
        <v>197</v>
      </c>
      <c r="F44" t="str">
        <f>""</f>
        <v/>
      </c>
      <c r="G44" t="str">
        <f>""</f>
        <v/>
      </c>
      <c r="H44">
        <v>2</v>
      </c>
      <c r="I44">
        <v>3.89</v>
      </c>
      <c r="J44" t="s">
        <v>198</v>
      </c>
      <c r="K44" t="s">
        <v>57</v>
      </c>
      <c r="L44">
        <v>324</v>
      </c>
      <c r="M44">
        <v>2016</v>
      </c>
      <c r="N44">
        <v>2016</v>
      </c>
      <c r="O44" s="1">
        <v>44047</v>
      </c>
      <c r="P44" s="1">
        <v>44034</v>
      </c>
      <c r="S44" t="s">
        <v>43</v>
      </c>
      <c r="W44">
        <v>1</v>
      </c>
      <c r="Z44">
        <v>0</v>
      </c>
    </row>
    <row r="45" spans="1:26" x14ac:dyDescent="0.3">
      <c r="A45">
        <v>49183690</v>
      </c>
      <c r="B45" t="s">
        <v>199</v>
      </c>
      <c r="C45" t="s">
        <v>200</v>
      </c>
      <c r="D45" t="s">
        <v>201</v>
      </c>
      <c r="F45" t="str">
        <f>"1984821253"</f>
        <v>1984821253</v>
      </c>
      <c r="G45" t="str">
        <f>"9781984821256"</f>
        <v>9781984821256</v>
      </c>
      <c r="H45">
        <v>0</v>
      </c>
      <c r="I45">
        <v>4.16</v>
      </c>
      <c r="J45" t="s">
        <v>202</v>
      </c>
      <c r="K45" t="s">
        <v>42</v>
      </c>
      <c r="L45">
        <v>336</v>
      </c>
      <c r="M45">
        <v>2020</v>
      </c>
      <c r="N45">
        <v>2020</v>
      </c>
      <c r="P45" s="1">
        <v>44041</v>
      </c>
      <c r="Q45" t="s">
        <v>36</v>
      </c>
      <c r="R45" t="s">
        <v>203</v>
      </c>
      <c r="S45" t="s">
        <v>36</v>
      </c>
      <c r="W45">
        <v>0</v>
      </c>
      <c r="Z45">
        <v>0</v>
      </c>
    </row>
    <row r="46" spans="1:26" x14ac:dyDescent="0.3">
      <c r="A46">
        <v>22249640</v>
      </c>
      <c r="B46" t="s">
        <v>204</v>
      </c>
      <c r="C46" t="s">
        <v>173</v>
      </c>
      <c r="D46" t="s">
        <v>174</v>
      </c>
      <c r="F46" t="str">
        <f>"035651529X"</f>
        <v>035651529X</v>
      </c>
      <c r="G46" t="str">
        <f>"9780356515298"</f>
        <v>9780356515298</v>
      </c>
      <c r="H46">
        <v>4</v>
      </c>
      <c r="I46">
        <v>4.21</v>
      </c>
      <c r="J46" t="s">
        <v>205</v>
      </c>
      <c r="K46" t="s">
        <v>102</v>
      </c>
      <c r="L46">
        <v>352</v>
      </c>
      <c r="M46">
        <v>2020</v>
      </c>
      <c r="N46">
        <v>2020</v>
      </c>
      <c r="O46" s="1">
        <v>44033</v>
      </c>
      <c r="P46" s="1">
        <v>42692</v>
      </c>
      <c r="S46" t="s">
        <v>43</v>
      </c>
      <c r="W46">
        <v>1</v>
      </c>
      <c r="Z46">
        <v>0</v>
      </c>
    </row>
    <row r="47" spans="1:26" x14ac:dyDescent="0.3">
      <c r="A47">
        <v>1137215</v>
      </c>
      <c r="B47" t="s">
        <v>206</v>
      </c>
      <c r="C47" t="s">
        <v>207</v>
      </c>
      <c r="D47" t="s">
        <v>208</v>
      </c>
      <c r="F47" t="str">
        <f>"0765318415"</f>
        <v>0765318415</v>
      </c>
      <c r="G47" t="str">
        <f>"9780765318411"</f>
        <v>9780765318411</v>
      </c>
      <c r="H47">
        <v>0</v>
      </c>
      <c r="I47">
        <v>3.52</v>
      </c>
      <c r="J47" t="s">
        <v>56</v>
      </c>
      <c r="K47" t="s">
        <v>102</v>
      </c>
      <c r="L47">
        <v>416</v>
      </c>
      <c r="M47">
        <v>2009</v>
      </c>
      <c r="N47">
        <v>2009</v>
      </c>
      <c r="P47" s="1">
        <v>44030</v>
      </c>
      <c r="Q47" t="s">
        <v>36</v>
      </c>
      <c r="R47" t="s">
        <v>209</v>
      </c>
      <c r="S47" t="s">
        <v>36</v>
      </c>
      <c r="W47">
        <v>0</v>
      </c>
      <c r="Z47">
        <v>0</v>
      </c>
    </row>
    <row r="48" spans="1:26" x14ac:dyDescent="0.3">
      <c r="A48">
        <v>101942</v>
      </c>
      <c r="B48" t="s">
        <v>210</v>
      </c>
      <c r="C48" t="s">
        <v>211</v>
      </c>
      <c r="D48" t="s">
        <v>212</v>
      </c>
      <c r="F48" t="str">
        <f>"0020425716"</f>
        <v>0020425716</v>
      </c>
      <c r="G48" t="str">
        <f>"9780020425717"</f>
        <v>9780020425717</v>
      </c>
      <c r="H48">
        <v>0</v>
      </c>
      <c r="I48">
        <v>4.1900000000000004</v>
      </c>
      <c r="J48" t="s">
        <v>213</v>
      </c>
      <c r="K48" t="s">
        <v>102</v>
      </c>
      <c r="L48">
        <v>224</v>
      </c>
      <c r="M48">
        <v>1988</v>
      </c>
      <c r="N48">
        <v>1967</v>
      </c>
      <c r="P48" s="1">
        <v>44030</v>
      </c>
      <c r="Q48" t="s">
        <v>36</v>
      </c>
      <c r="R48" t="s">
        <v>214</v>
      </c>
      <c r="S48" t="s">
        <v>36</v>
      </c>
      <c r="W48">
        <v>0</v>
      </c>
      <c r="Z48">
        <v>0</v>
      </c>
    </row>
    <row r="49" spans="1:26" x14ac:dyDescent="0.3">
      <c r="A49">
        <v>437790</v>
      </c>
      <c r="B49" t="s">
        <v>215</v>
      </c>
      <c r="C49" t="s">
        <v>216</v>
      </c>
      <c r="D49" t="s">
        <v>217</v>
      </c>
      <c r="F49" t="str">
        <f>"045146088X"</f>
        <v>045146088X</v>
      </c>
      <c r="G49" t="str">
        <f>"9780451460882"</f>
        <v>9780451460882</v>
      </c>
      <c r="H49">
        <v>0</v>
      </c>
      <c r="I49">
        <v>3.88</v>
      </c>
      <c r="J49" t="s">
        <v>218</v>
      </c>
      <c r="K49" t="s">
        <v>102</v>
      </c>
      <c r="L49">
        <v>408</v>
      </c>
      <c r="M49">
        <v>2007</v>
      </c>
      <c r="N49">
        <v>2007</v>
      </c>
      <c r="P49" s="1">
        <v>44030</v>
      </c>
      <c r="Q49" t="s">
        <v>36</v>
      </c>
      <c r="R49" t="s">
        <v>219</v>
      </c>
      <c r="S49" t="s">
        <v>36</v>
      </c>
      <c r="W49">
        <v>0</v>
      </c>
      <c r="Z49">
        <v>0</v>
      </c>
    </row>
    <row r="50" spans="1:26" x14ac:dyDescent="0.3">
      <c r="A50">
        <v>15839976</v>
      </c>
      <c r="B50" t="s">
        <v>220</v>
      </c>
      <c r="C50" t="s">
        <v>221</v>
      </c>
      <c r="D50" t="s">
        <v>222</v>
      </c>
      <c r="F50" t="str">
        <f>"0345539788"</f>
        <v>0345539788</v>
      </c>
      <c r="G50" t="str">
        <f>"9780345539786"</f>
        <v>9780345539786</v>
      </c>
      <c r="H50">
        <v>0</v>
      </c>
      <c r="I50">
        <v>4.25</v>
      </c>
      <c r="J50" t="s">
        <v>223</v>
      </c>
      <c r="K50" t="s">
        <v>42</v>
      </c>
      <c r="L50">
        <v>382</v>
      </c>
      <c r="M50">
        <v>2014</v>
      </c>
      <c r="N50">
        <v>2014</v>
      </c>
      <c r="P50" s="1">
        <v>44030</v>
      </c>
      <c r="Q50" t="s">
        <v>36</v>
      </c>
      <c r="R50" t="s">
        <v>224</v>
      </c>
      <c r="S50" t="s">
        <v>36</v>
      </c>
      <c r="W50">
        <v>0</v>
      </c>
      <c r="Z50">
        <v>0</v>
      </c>
    </row>
    <row r="51" spans="1:26" x14ac:dyDescent="0.3">
      <c r="A51">
        <v>11217124</v>
      </c>
      <c r="B51" t="s">
        <v>225</v>
      </c>
      <c r="C51" t="s">
        <v>226</v>
      </c>
      <c r="D51" t="s">
        <v>227</v>
      </c>
      <c r="F51" t="str">
        <f>"1603818103"</f>
        <v>1603818103</v>
      </c>
      <c r="G51" t="str">
        <f>"9781603818100"</f>
        <v>9781603818100</v>
      </c>
      <c r="H51">
        <v>0</v>
      </c>
      <c r="I51">
        <v>3.96</v>
      </c>
      <c r="J51" t="s">
        <v>228</v>
      </c>
      <c r="K51" t="s">
        <v>102</v>
      </c>
      <c r="L51">
        <v>416</v>
      </c>
      <c r="M51">
        <v>2011</v>
      </c>
      <c r="N51">
        <v>2011</v>
      </c>
      <c r="P51" s="1">
        <v>44030</v>
      </c>
      <c r="Q51" t="s">
        <v>36</v>
      </c>
      <c r="R51" t="s">
        <v>229</v>
      </c>
      <c r="S51" t="s">
        <v>36</v>
      </c>
      <c r="W51">
        <v>0</v>
      </c>
      <c r="Z51">
        <v>0</v>
      </c>
    </row>
    <row r="52" spans="1:26" x14ac:dyDescent="0.3">
      <c r="A52">
        <v>833710</v>
      </c>
      <c r="B52" t="s">
        <v>230</v>
      </c>
      <c r="C52" t="s">
        <v>231</v>
      </c>
      <c r="D52" t="s">
        <v>232</v>
      </c>
      <c r="F52" t="str">
        <f>"0743437314"</f>
        <v>0743437314</v>
      </c>
      <c r="G52" t="str">
        <f>"9780743437318"</f>
        <v>9780743437318</v>
      </c>
      <c r="H52">
        <v>0</v>
      </c>
      <c r="I52">
        <v>3.96</v>
      </c>
      <c r="J52" t="s">
        <v>233</v>
      </c>
      <c r="K52" t="s">
        <v>102</v>
      </c>
      <c r="L52">
        <v>375</v>
      </c>
      <c r="M52">
        <v>2002</v>
      </c>
      <c r="N52">
        <v>2002</v>
      </c>
      <c r="P52" s="1">
        <v>44030</v>
      </c>
      <c r="Q52" t="s">
        <v>36</v>
      </c>
      <c r="R52" t="s">
        <v>234</v>
      </c>
      <c r="S52" t="s">
        <v>36</v>
      </c>
      <c r="W52">
        <v>0</v>
      </c>
      <c r="Z52">
        <v>0</v>
      </c>
    </row>
    <row r="53" spans="1:26" x14ac:dyDescent="0.3">
      <c r="A53">
        <v>33153548</v>
      </c>
      <c r="B53" t="s">
        <v>235</v>
      </c>
      <c r="C53" t="s">
        <v>123</v>
      </c>
      <c r="D53" t="s">
        <v>124</v>
      </c>
      <c r="E53" t="s">
        <v>236</v>
      </c>
      <c r="F53" t="str">
        <f>""</f>
        <v/>
      </c>
      <c r="G53" t="str">
        <f>""</f>
        <v/>
      </c>
      <c r="H53">
        <v>3</v>
      </c>
      <c r="I53">
        <v>3.99</v>
      </c>
      <c r="J53" t="s">
        <v>126</v>
      </c>
      <c r="K53" t="s">
        <v>57</v>
      </c>
      <c r="L53">
        <v>169</v>
      </c>
      <c r="M53">
        <v>2017</v>
      </c>
      <c r="N53">
        <v>2017</v>
      </c>
      <c r="O53" s="1">
        <v>44024</v>
      </c>
      <c r="P53" s="1">
        <v>44023</v>
      </c>
      <c r="S53" t="s">
        <v>43</v>
      </c>
      <c r="W53">
        <v>1</v>
      </c>
      <c r="Z53">
        <v>0</v>
      </c>
    </row>
    <row r="54" spans="1:26" x14ac:dyDescent="0.3">
      <c r="A54">
        <v>31138556</v>
      </c>
      <c r="B54" t="s">
        <v>237</v>
      </c>
      <c r="C54" t="s">
        <v>238</v>
      </c>
      <c r="D54" t="s">
        <v>239</v>
      </c>
      <c r="F54" t="str">
        <f>""</f>
        <v/>
      </c>
      <c r="G54" t="str">
        <f>""</f>
        <v/>
      </c>
      <c r="H54">
        <v>3</v>
      </c>
      <c r="I54">
        <v>4.22</v>
      </c>
      <c r="J54" t="s">
        <v>179</v>
      </c>
      <c r="K54" t="s">
        <v>57</v>
      </c>
      <c r="L54">
        <v>450</v>
      </c>
      <c r="M54">
        <v>2017</v>
      </c>
      <c r="N54">
        <v>2015</v>
      </c>
      <c r="O54" s="1">
        <v>44024</v>
      </c>
      <c r="P54" s="1">
        <v>43749</v>
      </c>
      <c r="S54" t="s">
        <v>43</v>
      </c>
      <c r="W54">
        <v>1</v>
      </c>
      <c r="Z54">
        <v>0</v>
      </c>
    </row>
    <row r="55" spans="1:26" x14ac:dyDescent="0.3">
      <c r="A55">
        <v>33151824</v>
      </c>
      <c r="B55" t="s">
        <v>240</v>
      </c>
      <c r="C55" t="s">
        <v>241</v>
      </c>
      <c r="D55" t="s">
        <v>242</v>
      </c>
      <c r="F55" t="str">
        <f>""</f>
        <v/>
      </c>
      <c r="G55" t="str">
        <f>""</f>
        <v/>
      </c>
      <c r="H55">
        <v>0</v>
      </c>
      <c r="I55">
        <v>4.2699999999999996</v>
      </c>
      <c r="J55" t="s">
        <v>243</v>
      </c>
      <c r="K55" t="s">
        <v>57</v>
      </c>
      <c r="L55">
        <v>416</v>
      </c>
      <c r="M55">
        <v>2015</v>
      </c>
      <c r="N55">
        <v>2002</v>
      </c>
      <c r="P55" s="1">
        <v>43965</v>
      </c>
      <c r="Q55" t="s">
        <v>36</v>
      </c>
      <c r="R55" t="s">
        <v>244</v>
      </c>
      <c r="S55" t="s">
        <v>36</v>
      </c>
      <c r="W55">
        <v>0</v>
      </c>
      <c r="Z55">
        <v>0</v>
      </c>
    </row>
    <row r="56" spans="1:26" x14ac:dyDescent="0.3">
      <c r="A56">
        <v>1009259</v>
      </c>
      <c r="B56" t="s">
        <v>245</v>
      </c>
      <c r="C56" t="s">
        <v>241</v>
      </c>
      <c r="D56" t="s">
        <v>242</v>
      </c>
      <c r="F56" t="str">
        <f>"0743411692"</f>
        <v>0743411692</v>
      </c>
      <c r="G56" t="str">
        <f>"9780743411691"</f>
        <v>9780743411691</v>
      </c>
      <c r="H56">
        <v>3</v>
      </c>
      <c r="I56">
        <v>4.17</v>
      </c>
      <c r="J56" t="s">
        <v>246</v>
      </c>
      <c r="K56" t="s">
        <v>102</v>
      </c>
      <c r="L56">
        <v>320</v>
      </c>
      <c r="M56">
        <v>2004</v>
      </c>
      <c r="N56">
        <v>2001</v>
      </c>
      <c r="P56" s="1">
        <v>44024</v>
      </c>
      <c r="S56" t="s">
        <v>43</v>
      </c>
      <c r="W56">
        <v>1</v>
      </c>
      <c r="Z56">
        <v>0</v>
      </c>
    </row>
    <row r="57" spans="1:26" x14ac:dyDescent="0.3">
      <c r="A57">
        <v>29963977</v>
      </c>
      <c r="B57" t="s">
        <v>247</v>
      </c>
      <c r="C57" t="s">
        <v>45</v>
      </c>
      <c r="D57" t="s">
        <v>46</v>
      </c>
      <c r="E57" t="s">
        <v>248</v>
      </c>
      <c r="F57" t="str">
        <f>""</f>
        <v/>
      </c>
      <c r="G57" t="str">
        <f>""</f>
        <v/>
      </c>
      <c r="H57">
        <v>0</v>
      </c>
      <c r="I57">
        <v>3.63</v>
      </c>
      <c r="J57" t="s">
        <v>249</v>
      </c>
      <c r="K57" t="s">
        <v>57</v>
      </c>
      <c r="L57">
        <v>160</v>
      </c>
      <c r="M57">
        <v>2016</v>
      </c>
      <c r="N57">
        <v>2016</v>
      </c>
      <c r="O57" s="1">
        <v>44024</v>
      </c>
      <c r="P57" s="1">
        <v>42523</v>
      </c>
      <c r="S57" t="s">
        <v>43</v>
      </c>
      <c r="W57">
        <v>1</v>
      </c>
      <c r="Z57">
        <v>0</v>
      </c>
    </row>
    <row r="58" spans="1:26" x14ac:dyDescent="0.3">
      <c r="A58">
        <v>16131932</v>
      </c>
      <c r="B58" t="s">
        <v>250</v>
      </c>
      <c r="C58" t="s">
        <v>45</v>
      </c>
      <c r="D58" t="s">
        <v>46</v>
      </c>
      <c r="F58" t="str">
        <f>""</f>
        <v/>
      </c>
      <c r="G58" t="str">
        <f>""</f>
        <v/>
      </c>
      <c r="H58">
        <v>5</v>
      </c>
      <c r="I58">
        <v>4.3499999999999996</v>
      </c>
      <c r="J58" t="s">
        <v>251</v>
      </c>
      <c r="K58" t="s">
        <v>57</v>
      </c>
      <c r="L58">
        <v>144</v>
      </c>
      <c r="M58">
        <v>2012</v>
      </c>
      <c r="N58">
        <v>2012</v>
      </c>
      <c r="O58" s="1">
        <v>44005</v>
      </c>
      <c r="P58" s="1">
        <v>42789</v>
      </c>
      <c r="S58" t="s">
        <v>43</v>
      </c>
      <c r="W58">
        <v>1</v>
      </c>
      <c r="Z58">
        <v>0</v>
      </c>
    </row>
    <row r="59" spans="1:26" x14ac:dyDescent="0.3">
      <c r="A59">
        <v>19389520</v>
      </c>
      <c r="B59" t="s">
        <v>252</v>
      </c>
      <c r="C59" t="s">
        <v>45</v>
      </c>
      <c r="D59" t="s">
        <v>46</v>
      </c>
      <c r="F59" t="str">
        <f>""</f>
        <v/>
      </c>
      <c r="G59" t="str">
        <f>""</f>
        <v/>
      </c>
      <c r="H59">
        <v>0</v>
      </c>
      <c r="I59">
        <v>4.5599999999999996</v>
      </c>
      <c r="J59" t="s">
        <v>253</v>
      </c>
      <c r="K59" t="s">
        <v>35</v>
      </c>
      <c r="L59">
        <v>35</v>
      </c>
      <c r="M59">
        <v>2013</v>
      </c>
      <c r="N59">
        <v>2013</v>
      </c>
      <c r="P59" s="1">
        <v>42425</v>
      </c>
      <c r="Q59" t="s">
        <v>36</v>
      </c>
      <c r="R59" t="s">
        <v>254</v>
      </c>
      <c r="S59" t="s">
        <v>36</v>
      </c>
      <c r="W59">
        <v>0</v>
      </c>
      <c r="Z59">
        <v>0</v>
      </c>
    </row>
    <row r="60" spans="1:26" x14ac:dyDescent="0.3">
      <c r="A60">
        <v>68427</v>
      </c>
      <c r="B60" t="s">
        <v>255</v>
      </c>
      <c r="C60" t="s">
        <v>45</v>
      </c>
      <c r="D60" t="s">
        <v>46</v>
      </c>
      <c r="F60" t="str">
        <f>"0765350378"</f>
        <v>0765350378</v>
      </c>
      <c r="G60" t="str">
        <f>"9780765350374"</f>
        <v>9780765350374</v>
      </c>
      <c r="H60">
        <v>5</v>
      </c>
      <c r="I60">
        <v>4.18</v>
      </c>
      <c r="J60" t="s">
        <v>256</v>
      </c>
      <c r="K60" t="s">
        <v>257</v>
      </c>
      <c r="L60">
        <v>622</v>
      </c>
      <c r="M60">
        <v>2006</v>
      </c>
      <c r="N60">
        <v>2005</v>
      </c>
      <c r="O60" s="1">
        <v>43993</v>
      </c>
      <c r="P60" s="1">
        <v>42425</v>
      </c>
      <c r="S60" t="s">
        <v>43</v>
      </c>
      <c r="W60">
        <v>1</v>
      </c>
      <c r="Z60">
        <v>0</v>
      </c>
    </row>
    <row r="61" spans="1:26" x14ac:dyDescent="0.3">
      <c r="A61">
        <v>49079279</v>
      </c>
      <c r="B61" t="s">
        <v>136</v>
      </c>
      <c r="C61" t="s">
        <v>99</v>
      </c>
      <c r="D61" t="s">
        <v>100</v>
      </c>
      <c r="F61" t="str">
        <f>""</f>
        <v/>
      </c>
      <c r="G61" t="str">
        <f>""</f>
        <v/>
      </c>
      <c r="H61">
        <v>0</v>
      </c>
      <c r="I61">
        <v>4.49</v>
      </c>
      <c r="J61" t="s">
        <v>101</v>
      </c>
      <c r="K61" t="s">
        <v>57</v>
      </c>
      <c r="L61">
        <v>592</v>
      </c>
      <c r="M61">
        <v>2020</v>
      </c>
      <c r="N61">
        <v>2020</v>
      </c>
      <c r="O61" s="1">
        <v>43993</v>
      </c>
      <c r="P61" s="1">
        <v>43930</v>
      </c>
      <c r="S61" t="s">
        <v>43</v>
      </c>
      <c r="W61">
        <v>1</v>
      </c>
      <c r="Z61">
        <v>0</v>
      </c>
    </row>
    <row r="62" spans="1:26" x14ac:dyDescent="0.3">
      <c r="A62">
        <v>52050732</v>
      </c>
      <c r="B62" t="s">
        <v>258</v>
      </c>
      <c r="C62" t="s">
        <v>69</v>
      </c>
      <c r="D62" t="s">
        <v>70</v>
      </c>
      <c r="F62" t="str">
        <f>""</f>
        <v/>
      </c>
      <c r="G62" t="str">
        <f>""</f>
        <v/>
      </c>
      <c r="H62">
        <v>3</v>
      </c>
      <c r="I62">
        <v>4.49</v>
      </c>
      <c r="J62" t="s">
        <v>81</v>
      </c>
      <c r="K62" t="s">
        <v>57</v>
      </c>
      <c r="L62">
        <v>352</v>
      </c>
      <c r="M62">
        <v>2020</v>
      </c>
      <c r="N62">
        <v>2020</v>
      </c>
      <c r="O62" s="1">
        <v>43957</v>
      </c>
      <c r="P62" s="1">
        <v>43942</v>
      </c>
      <c r="S62" t="s">
        <v>43</v>
      </c>
      <c r="W62">
        <v>1</v>
      </c>
      <c r="Z62">
        <v>0</v>
      </c>
    </row>
    <row r="63" spans="1:26" x14ac:dyDescent="0.3">
      <c r="A63">
        <v>22878967</v>
      </c>
      <c r="B63" t="s">
        <v>259</v>
      </c>
      <c r="C63" t="s">
        <v>260</v>
      </c>
      <c r="D63" t="s">
        <v>261</v>
      </c>
      <c r="F63" t="str">
        <f>"099258020X"</f>
        <v>099258020X</v>
      </c>
      <c r="G63" t="str">
        <f>"9780992580209"</f>
        <v>9780992580209</v>
      </c>
      <c r="H63">
        <v>3</v>
      </c>
      <c r="I63">
        <v>4.1399999999999997</v>
      </c>
      <c r="J63" t="s">
        <v>262</v>
      </c>
      <c r="K63" t="s">
        <v>102</v>
      </c>
      <c r="L63">
        <v>602</v>
      </c>
      <c r="M63">
        <v>2014</v>
      </c>
      <c r="N63">
        <v>2014</v>
      </c>
      <c r="O63" s="1">
        <v>43930</v>
      </c>
      <c r="P63" s="1">
        <v>41988</v>
      </c>
      <c r="S63" t="s">
        <v>43</v>
      </c>
      <c r="W63">
        <v>1</v>
      </c>
      <c r="Z63">
        <v>0</v>
      </c>
    </row>
    <row r="64" spans="1:26" x14ac:dyDescent="0.3">
      <c r="A64">
        <v>52178540</v>
      </c>
      <c r="B64" t="s">
        <v>263</v>
      </c>
      <c r="C64" t="s">
        <v>54</v>
      </c>
      <c r="D64" t="s">
        <v>55</v>
      </c>
      <c r="F64" t="str">
        <f>""</f>
        <v/>
      </c>
      <c r="G64" t="str">
        <f>"1230003699799"</f>
        <v>1230003699799</v>
      </c>
      <c r="H64">
        <v>0</v>
      </c>
      <c r="I64">
        <v>4.25</v>
      </c>
      <c r="J64" t="s">
        <v>264</v>
      </c>
      <c r="K64" t="s">
        <v>35</v>
      </c>
      <c r="L64">
        <v>164</v>
      </c>
      <c r="M64">
        <v>2020</v>
      </c>
      <c r="N64">
        <v>2020</v>
      </c>
      <c r="P64" s="1">
        <v>43863</v>
      </c>
      <c r="Q64" t="s">
        <v>36</v>
      </c>
      <c r="R64" t="s">
        <v>265</v>
      </c>
      <c r="S64" t="s">
        <v>36</v>
      </c>
      <c r="W64">
        <v>0</v>
      </c>
      <c r="Z64">
        <v>0</v>
      </c>
    </row>
    <row r="65" spans="1:26" x14ac:dyDescent="0.3">
      <c r="A65">
        <v>13539191</v>
      </c>
      <c r="B65" t="s">
        <v>266</v>
      </c>
      <c r="C65" t="s">
        <v>267</v>
      </c>
      <c r="D65" t="s">
        <v>268</v>
      </c>
      <c r="F65" t="str">
        <f>"0765333104"</f>
        <v>0765333104</v>
      </c>
      <c r="G65" t="str">
        <f>"9780765333100"</f>
        <v>9780765333100</v>
      </c>
      <c r="H65">
        <v>0</v>
      </c>
      <c r="I65">
        <v>3.97</v>
      </c>
      <c r="J65" t="s">
        <v>56</v>
      </c>
      <c r="K65" t="s">
        <v>42</v>
      </c>
      <c r="L65">
        <v>336</v>
      </c>
      <c r="M65">
        <v>2012</v>
      </c>
      <c r="N65">
        <v>2012</v>
      </c>
      <c r="P65" s="1">
        <v>43895</v>
      </c>
      <c r="Q65" t="s">
        <v>36</v>
      </c>
      <c r="R65" t="s">
        <v>269</v>
      </c>
      <c r="S65" t="s">
        <v>36</v>
      </c>
      <c r="W65">
        <v>0</v>
      </c>
      <c r="Z65">
        <v>0</v>
      </c>
    </row>
    <row r="66" spans="1:26" x14ac:dyDescent="0.3">
      <c r="A66">
        <v>6295541</v>
      </c>
      <c r="B66" t="s">
        <v>270</v>
      </c>
      <c r="C66" t="s">
        <v>271</v>
      </c>
      <c r="D66" t="s">
        <v>272</v>
      </c>
      <c r="F66" t="str">
        <f>"0345508890"</f>
        <v>0345508890</v>
      </c>
      <c r="G66" t="str">
        <f>"9780345508898"</f>
        <v>9780345508898</v>
      </c>
      <c r="H66">
        <v>0</v>
      </c>
      <c r="I66">
        <v>3.73</v>
      </c>
      <c r="J66" t="s">
        <v>223</v>
      </c>
      <c r="K66" t="s">
        <v>257</v>
      </c>
      <c r="L66">
        <v>343</v>
      </c>
      <c r="M66">
        <v>2009</v>
      </c>
      <c r="N66">
        <v>2009</v>
      </c>
      <c r="P66" s="1">
        <v>43895</v>
      </c>
      <c r="Q66" t="s">
        <v>36</v>
      </c>
      <c r="R66" t="s">
        <v>273</v>
      </c>
      <c r="S66" t="s">
        <v>36</v>
      </c>
      <c r="W66">
        <v>0</v>
      </c>
      <c r="Z66">
        <v>0</v>
      </c>
    </row>
    <row r="67" spans="1:26" x14ac:dyDescent="0.3">
      <c r="A67">
        <v>51847076</v>
      </c>
      <c r="B67" t="s">
        <v>274</v>
      </c>
      <c r="C67" t="s">
        <v>54</v>
      </c>
      <c r="D67" t="s">
        <v>55</v>
      </c>
      <c r="F67" t="str">
        <f>""</f>
        <v/>
      </c>
      <c r="G67" t="str">
        <f>""</f>
        <v/>
      </c>
      <c r="H67">
        <v>5</v>
      </c>
      <c r="I67">
        <v>4.42</v>
      </c>
      <c r="J67" t="s">
        <v>205</v>
      </c>
      <c r="K67" t="s">
        <v>57</v>
      </c>
      <c r="L67">
        <v>673</v>
      </c>
      <c r="M67">
        <v>2019</v>
      </c>
      <c r="N67">
        <v>2019</v>
      </c>
      <c r="O67" s="1">
        <v>43820</v>
      </c>
      <c r="P67" s="1">
        <v>43376</v>
      </c>
      <c r="S67" t="s">
        <v>43</v>
      </c>
      <c r="W67">
        <v>1</v>
      </c>
      <c r="Z67">
        <v>0</v>
      </c>
    </row>
    <row r="68" spans="1:26" x14ac:dyDescent="0.3">
      <c r="A68">
        <v>38089205</v>
      </c>
      <c r="B68" t="s">
        <v>275</v>
      </c>
      <c r="C68" t="s">
        <v>69</v>
      </c>
      <c r="D68" t="s">
        <v>70</v>
      </c>
      <c r="F68" t="str">
        <f>""</f>
        <v/>
      </c>
      <c r="G68" t="str">
        <f>""</f>
        <v/>
      </c>
      <c r="H68">
        <v>4</v>
      </c>
      <c r="I68">
        <v>4.42</v>
      </c>
      <c r="J68" t="s">
        <v>88</v>
      </c>
      <c r="K68" t="s">
        <v>57</v>
      </c>
      <c r="L68">
        <v>337</v>
      </c>
      <c r="M68">
        <v>2018</v>
      </c>
      <c r="N68">
        <v>2018</v>
      </c>
      <c r="O68" s="1">
        <v>43826</v>
      </c>
      <c r="P68" s="1">
        <v>43133</v>
      </c>
      <c r="S68" t="s">
        <v>43</v>
      </c>
      <c r="W68">
        <v>1</v>
      </c>
      <c r="Z68">
        <v>0</v>
      </c>
    </row>
    <row r="69" spans="1:26" x14ac:dyDescent="0.3">
      <c r="A69">
        <v>42769202</v>
      </c>
      <c r="B69" t="s">
        <v>276</v>
      </c>
      <c r="C69" t="s">
        <v>45</v>
      </c>
      <c r="D69" t="s">
        <v>46</v>
      </c>
      <c r="F69" t="str">
        <f>"1473217903"</f>
        <v>1473217903</v>
      </c>
      <c r="G69" t="str">
        <f>"9781473217904"</f>
        <v>9781473217904</v>
      </c>
      <c r="H69">
        <v>5</v>
      </c>
      <c r="I69">
        <v>4.41</v>
      </c>
      <c r="J69" t="s">
        <v>277</v>
      </c>
      <c r="K69" t="s">
        <v>102</v>
      </c>
      <c r="L69">
        <v>461</v>
      </c>
      <c r="M69">
        <v>2019</v>
      </c>
      <c r="N69">
        <v>2019</v>
      </c>
      <c r="P69" s="1">
        <v>43808</v>
      </c>
      <c r="S69" t="s">
        <v>43</v>
      </c>
      <c r="W69">
        <v>1</v>
      </c>
      <c r="Z69">
        <v>0</v>
      </c>
    </row>
    <row r="70" spans="1:26" x14ac:dyDescent="0.3">
      <c r="A70">
        <v>35832660</v>
      </c>
      <c r="B70" t="s">
        <v>278</v>
      </c>
      <c r="C70" t="s">
        <v>69</v>
      </c>
      <c r="D70" t="s">
        <v>70</v>
      </c>
      <c r="F70" t="str">
        <f>""</f>
        <v/>
      </c>
      <c r="G70" t="str">
        <f>""</f>
        <v/>
      </c>
      <c r="H70">
        <v>4</v>
      </c>
      <c r="I70">
        <v>4.32</v>
      </c>
      <c r="J70" t="s">
        <v>279</v>
      </c>
      <c r="K70" t="s">
        <v>57</v>
      </c>
      <c r="L70">
        <v>322</v>
      </c>
      <c r="M70">
        <v>2017</v>
      </c>
      <c r="N70">
        <v>2017</v>
      </c>
      <c r="O70" s="1">
        <v>43758</v>
      </c>
      <c r="P70" s="1">
        <v>43758</v>
      </c>
      <c r="S70" t="s">
        <v>43</v>
      </c>
      <c r="W70">
        <v>1</v>
      </c>
      <c r="Z70">
        <v>0</v>
      </c>
    </row>
    <row r="71" spans="1:26" x14ac:dyDescent="0.3">
      <c r="A71">
        <v>33176217</v>
      </c>
      <c r="B71" t="s">
        <v>280</v>
      </c>
      <c r="C71" t="s">
        <v>69</v>
      </c>
      <c r="D71" t="s">
        <v>70</v>
      </c>
      <c r="F71" t="str">
        <f>""</f>
        <v/>
      </c>
      <c r="G71" t="str">
        <f>""</f>
        <v/>
      </c>
      <c r="H71">
        <v>5</v>
      </c>
      <c r="I71">
        <v>4.25</v>
      </c>
      <c r="J71" t="s">
        <v>88</v>
      </c>
      <c r="K71" t="s">
        <v>57</v>
      </c>
      <c r="L71">
        <v>366</v>
      </c>
      <c r="M71">
        <v>2016</v>
      </c>
      <c r="N71">
        <v>2019</v>
      </c>
      <c r="O71" s="1">
        <v>43757</v>
      </c>
      <c r="P71" s="1">
        <v>42885</v>
      </c>
      <c r="S71" t="s">
        <v>43</v>
      </c>
      <c r="W71">
        <v>1</v>
      </c>
      <c r="Z71">
        <v>0</v>
      </c>
    </row>
    <row r="72" spans="1:26" x14ac:dyDescent="0.3">
      <c r="A72">
        <v>33543870</v>
      </c>
      <c r="B72" t="s">
        <v>281</v>
      </c>
      <c r="C72" t="s">
        <v>69</v>
      </c>
      <c r="D72" t="s">
        <v>70</v>
      </c>
      <c r="F72" t="str">
        <f>""</f>
        <v/>
      </c>
      <c r="G72" t="str">
        <f>""</f>
        <v/>
      </c>
      <c r="H72">
        <v>5</v>
      </c>
      <c r="I72">
        <v>4.29</v>
      </c>
      <c r="J72" t="s">
        <v>88</v>
      </c>
      <c r="K72" t="s">
        <v>57</v>
      </c>
      <c r="L72">
        <v>302</v>
      </c>
      <c r="M72">
        <v>2016</v>
      </c>
      <c r="N72">
        <v>2016</v>
      </c>
      <c r="O72" s="1">
        <v>43757</v>
      </c>
      <c r="P72" s="1">
        <v>43756</v>
      </c>
      <c r="S72" t="s">
        <v>43</v>
      </c>
      <c r="W72">
        <v>1</v>
      </c>
      <c r="Z72">
        <v>0</v>
      </c>
    </row>
    <row r="73" spans="1:26" x14ac:dyDescent="0.3">
      <c r="A73">
        <v>44453462</v>
      </c>
      <c r="B73" t="s">
        <v>282</v>
      </c>
      <c r="C73" t="s">
        <v>95</v>
      </c>
      <c r="D73" t="s">
        <v>96</v>
      </c>
      <c r="F73" t="str">
        <f>""</f>
        <v/>
      </c>
      <c r="G73" t="str">
        <f>""</f>
        <v/>
      </c>
      <c r="H73">
        <v>4</v>
      </c>
      <c r="I73">
        <v>4.33</v>
      </c>
      <c r="J73" t="s">
        <v>283</v>
      </c>
      <c r="K73" t="s">
        <v>57</v>
      </c>
      <c r="L73">
        <v>16</v>
      </c>
      <c r="M73">
        <v>2019</v>
      </c>
      <c r="P73" s="1">
        <v>43665</v>
      </c>
      <c r="S73" t="s">
        <v>43</v>
      </c>
      <c r="W73">
        <v>1</v>
      </c>
      <c r="Z73">
        <v>0</v>
      </c>
    </row>
    <row r="74" spans="1:26" x14ac:dyDescent="0.3">
      <c r="A74">
        <v>36485213</v>
      </c>
      <c r="B74" t="s">
        <v>284</v>
      </c>
      <c r="C74" t="s">
        <v>238</v>
      </c>
      <c r="D74" t="s">
        <v>239</v>
      </c>
      <c r="F74" t="str">
        <f>""</f>
        <v/>
      </c>
      <c r="G74" t="str">
        <f>""</f>
        <v/>
      </c>
      <c r="H74">
        <v>3</v>
      </c>
      <c r="I74">
        <v>4.17</v>
      </c>
      <c r="J74" t="s">
        <v>285</v>
      </c>
      <c r="K74" t="s">
        <v>57</v>
      </c>
      <c r="L74">
        <v>320</v>
      </c>
      <c r="M74">
        <v>2018</v>
      </c>
      <c r="N74">
        <v>2018</v>
      </c>
      <c r="O74" s="1">
        <v>43749</v>
      </c>
      <c r="P74" s="1">
        <v>43681</v>
      </c>
      <c r="S74" t="s">
        <v>43</v>
      </c>
      <c r="W74">
        <v>1</v>
      </c>
      <c r="Z74">
        <v>0</v>
      </c>
    </row>
    <row r="75" spans="1:26" x14ac:dyDescent="0.3">
      <c r="A75">
        <v>40189843</v>
      </c>
      <c r="B75" t="s">
        <v>286</v>
      </c>
      <c r="C75" t="s">
        <v>287</v>
      </c>
      <c r="D75" t="s">
        <v>288</v>
      </c>
      <c r="F75" t="str">
        <f>""</f>
        <v/>
      </c>
      <c r="G75" t="str">
        <f>""</f>
        <v/>
      </c>
      <c r="H75">
        <v>0</v>
      </c>
      <c r="I75">
        <v>4.08</v>
      </c>
      <c r="J75" t="s">
        <v>287</v>
      </c>
      <c r="K75" t="s">
        <v>57</v>
      </c>
      <c r="L75">
        <v>346</v>
      </c>
      <c r="M75">
        <v>2018</v>
      </c>
      <c r="N75">
        <v>2018</v>
      </c>
      <c r="P75" s="1">
        <v>43698</v>
      </c>
      <c r="Q75" t="s">
        <v>36</v>
      </c>
      <c r="R75" t="s">
        <v>289</v>
      </c>
      <c r="S75" t="s">
        <v>36</v>
      </c>
      <c r="W75">
        <v>0</v>
      </c>
      <c r="Z75">
        <v>0</v>
      </c>
    </row>
    <row r="76" spans="1:26" x14ac:dyDescent="0.3">
      <c r="A76">
        <v>46005598</v>
      </c>
      <c r="B76" t="s">
        <v>290</v>
      </c>
      <c r="C76" t="s">
        <v>69</v>
      </c>
      <c r="D76" t="s">
        <v>70</v>
      </c>
      <c r="F76" t="str">
        <f>""</f>
        <v/>
      </c>
      <c r="G76" t="str">
        <f>""</f>
        <v/>
      </c>
      <c r="H76">
        <v>0</v>
      </c>
      <c r="I76">
        <v>4.47</v>
      </c>
      <c r="J76" t="s">
        <v>81</v>
      </c>
      <c r="K76" t="s">
        <v>57</v>
      </c>
      <c r="L76">
        <v>370</v>
      </c>
      <c r="M76">
        <v>2019</v>
      </c>
      <c r="N76">
        <v>2019</v>
      </c>
      <c r="O76" s="1">
        <v>43657</v>
      </c>
      <c r="P76" s="1">
        <v>43641</v>
      </c>
      <c r="S76" t="s">
        <v>43</v>
      </c>
      <c r="W76">
        <v>1</v>
      </c>
      <c r="Z76">
        <v>0</v>
      </c>
    </row>
    <row r="77" spans="1:26" x14ac:dyDescent="0.3">
      <c r="A77">
        <v>34730465</v>
      </c>
      <c r="B77" t="s">
        <v>291</v>
      </c>
      <c r="C77" t="s">
        <v>54</v>
      </c>
      <c r="D77" t="s">
        <v>55</v>
      </c>
      <c r="F77" t="str">
        <f>""</f>
        <v/>
      </c>
      <c r="G77" t="str">
        <f>""</f>
        <v/>
      </c>
      <c r="H77">
        <v>3</v>
      </c>
      <c r="I77">
        <v>3.73</v>
      </c>
      <c r="J77" t="s">
        <v>292</v>
      </c>
      <c r="K77" t="s">
        <v>57</v>
      </c>
      <c r="L77">
        <v>112</v>
      </c>
      <c r="M77">
        <v>2018</v>
      </c>
      <c r="N77">
        <v>2018</v>
      </c>
      <c r="O77" s="1">
        <v>43641</v>
      </c>
      <c r="P77" s="1">
        <v>43396</v>
      </c>
      <c r="S77" t="s">
        <v>43</v>
      </c>
      <c r="W77">
        <v>1</v>
      </c>
      <c r="Z77">
        <v>0</v>
      </c>
    </row>
    <row r="78" spans="1:26" x14ac:dyDescent="0.3">
      <c r="A78">
        <v>43390795</v>
      </c>
      <c r="B78" t="s">
        <v>293</v>
      </c>
      <c r="C78" t="s">
        <v>99</v>
      </c>
      <c r="D78" t="s">
        <v>100</v>
      </c>
      <c r="F78" t="str">
        <f>""</f>
        <v/>
      </c>
      <c r="G78" t="str">
        <f>""</f>
        <v/>
      </c>
      <c r="H78">
        <v>4</v>
      </c>
      <c r="I78">
        <v>4.4000000000000004</v>
      </c>
      <c r="J78" t="s">
        <v>101</v>
      </c>
      <c r="K78" t="s">
        <v>57</v>
      </c>
      <c r="M78">
        <v>2019</v>
      </c>
      <c r="N78">
        <v>2019</v>
      </c>
      <c r="O78" s="1">
        <v>43638</v>
      </c>
      <c r="P78" s="1">
        <v>43626</v>
      </c>
      <c r="S78" t="s">
        <v>43</v>
      </c>
      <c r="W78">
        <v>1</v>
      </c>
      <c r="Z78">
        <v>0</v>
      </c>
    </row>
    <row r="79" spans="1:26" x14ac:dyDescent="0.3">
      <c r="A79">
        <v>17987501</v>
      </c>
      <c r="B79" t="s">
        <v>294</v>
      </c>
      <c r="C79" t="s">
        <v>295</v>
      </c>
      <c r="D79" t="s">
        <v>296</v>
      </c>
      <c r="E79" t="s">
        <v>297</v>
      </c>
      <c r="F79" t="str">
        <f>"0803739753"</f>
        <v>0803739753</v>
      </c>
      <c r="G79" t="str">
        <f>"9780803739758"</f>
        <v>9780803739758</v>
      </c>
      <c r="H79">
        <v>0</v>
      </c>
      <c r="I79">
        <v>3.83</v>
      </c>
      <c r="J79" t="s">
        <v>298</v>
      </c>
      <c r="K79" t="s">
        <v>42</v>
      </c>
      <c r="L79">
        <v>376</v>
      </c>
      <c r="M79">
        <v>2014</v>
      </c>
      <c r="N79">
        <v>2014</v>
      </c>
      <c r="P79" s="1">
        <v>43628</v>
      </c>
      <c r="Q79" t="s">
        <v>36</v>
      </c>
      <c r="R79" t="s">
        <v>299</v>
      </c>
      <c r="S79" t="s">
        <v>36</v>
      </c>
      <c r="W79">
        <v>0</v>
      </c>
      <c r="Z79">
        <v>0</v>
      </c>
    </row>
    <row r="80" spans="1:26" x14ac:dyDescent="0.3">
      <c r="A80">
        <v>34618380</v>
      </c>
      <c r="B80" t="s">
        <v>300</v>
      </c>
      <c r="C80" t="s">
        <v>295</v>
      </c>
      <c r="D80" t="s">
        <v>296</v>
      </c>
      <c r="F80" t="str">
        <f>""</f>
        <v/>
      </c>
      <c r="G80" t="str">
        <f>""</f>
        <v/>
      </c>
      <c r="H80">
        <v>0</v>
      </c>
      <c r="I80">
        <v>3.87</v>
      </c>
      <c r="J80" t="s">
        <v>301</v>
      </c>
      <c r="K80" t="s">
        <v>57</v>
      </c>
      <c r="L80">
        <v>352</v>
      </c>
      <c r="M80">
        <v>2019</v>
      </c>
      <c r="N80">
        <v>2019</v>
      </c>
      <c r="P80" s="1">
        <v>43628</v>
      </c>
      <c r="Q80" t="s">
        <v>36</v>
      </c>
      <c r="R80" t="s">
        <v>302</v>
      </c>
      <c r="S80" t="s">
        <v>36</v>
      </c>
      <c r="W80">
        <v>0</v>
      </c>
      <c r="Z80">
        <v>0</v>
      </c>
    </row>
    <row r="81" spans="1:26" x14ac:dyDescent="0.3">
      <c r="A81">
        <v>43716670</v>
      </c>
      <c r="B81" t="s">
        <v>303</v>
      </c>
      <c r="C81" t="s">
        <v>54</v>
      </c>
      <c r="D81" t="s">
        <v>55</v>
      </c>
      <c r="F81" t="str">
        <f>""</f>
        <v/>
      </c>
      <c r="G81" t="str">
        <f>""</f>
        <v/>
      </c>
      <c r="H81">
        <v>4</v>
      </c>
      <c r="I81">
        <v>4.07</v>
      </c>
      <c r="K81" t="s">
        <v>57</v>
      </c>
      <c r="L81">
        <v>151</v>
      </c>
      <c r="M81">
        <v>2019</v>
      </c>
      <c r="N81">
        <v>2019</v>
      </c>
      <c r="O81" s="1">
        <v>43622</v>
      </c>
      <c r="P81" s="1">
        <v>43513</v>
      </c>
      <c r="S81" t="s">
        <v>43</v>
      </c>
      <c r="W81">
        <v>1</v>
      </c>
      <c r="Z81">
        <v>0</v>
      </c>
    </row>
    <row r="82" spans="1:26" x14ac:dyDescent="0.3">
      <c r="A82">
        <v>33985598</v>
      </c>
      <c r="B82" t="s">
        <v>304</v>
      </c>
      <c r="C82" t="s">
        <v>54</v>
      </c>
      <c r="D82" t="s">
        <v>55</v>
      </c>
      <c r="F82" t="str">
        <f>""</f>
        <v/>
      </c>
      <c r="G82" t="str">
        <f>""</f>
        <v/>
      </c>
      <c r="H82">
        <v>0</v>
      </c>
      <c r="I82">
        <v>3.94</v>
      </c>
      <c r="K82" t="s">
        <v>35</v>
      </c>
      <c r="L82">
        <v>15</v>
      </c>
      <c r="M82">
        <v>2015</v>
      </c>
      <c r="N82">
        <v>2015</v>
      </c>
      <c r="P82" s="1">
        <v>43554</v>
      </c>
      <c r="Q82" t="s">
        <v>36</v>
      </c>
      <c r="R82" t="s">
        <v>305</v>
      </c>
      <c r="S82" t="s">
        <v>36</v>
      </c>
      <c r="W82">
        <v>0</v>
      </c>
      <c r="Z82">
        <v>0</v>
      </c>
    </row>
    <row r="83" spans="1:26" x14ac:dyDescent="0.3">
      <c r="A83">
        <v>37635562</v>
      </c>
      <c r="B83" t="s">
        <v>306</v>
      </c>
      <c r="C83" t="s">
        <v>45</v>
      </c>
      <c r="D83" t="s">
        <v>46</v>
      </c>
      <c r="F83" t="str">
        <f>""</f>
        <v/>
      </c>
      <c r="G83" t="str">
        <f>""</f>
        <v/>
      </c>
      <c r="H83">
        <v>5</v>
      </c>
      <c r="I83">
        <v>4.5</v>
      </c>
      <c r="J83" t="s">
        <v>307</v>
      </c>
      <c r="K83" t="s">
        <v>57</v>
      </c>
      <c r="L83">
        <v>546</v>
      </c>
      <c r="M83">
        <v>2018</v>
      </c>
      <c r="N83">
        <v>2018</v>
      </c>
      <c r="O83" s="1">
        <v>43545</v>
      </c>
      <c r="P83" s="1">
        <v>43253</v>
      </c>
      <c r="S83" t="s">
        <v>43</v>
      </c>
      <c r="W83">
        <v>1</v>
      </c>
      <c r="Z83">
        <v>0</v>
      </c>
    </row>
    <row r="84" spans="1:26" x14ac:dyDescent="0.3">
      <c r="A84">
        <v>37640636</v>
      </c>
      <c r="B84" t="s">
        <v>308</v>
      </c>
      <c r="C84" t="s">
        <v>45</v>
      </c>
      <c r="D84" t="s">
        <v>46</v>
      </c>
      <c r="F84" t="str">
        <f>"159606885X"</f>
        <v>159606885X</v>
      </c>
      <c r="G84" t="str">
        <f>"9781596068858"</f>
        <v>9781596068858</v>
      </c>
      <c r="H84">
        <v>4</v>
      </c>
      <c r="I84">
        <v>4.13</v>
      </c>
      <c r="J84" t="s">
        <v>309</v>
      </c>
      <c r="K84" t="s">
        <v>42</v>
      </c>
      <c r="L84">
        <v>148</v>
      </c>
      <c r="M84">
        <v>2018</v>
      </c>
      <c r="N84">
        <v>2018</v>
      </c>
      <c r="O84" s="1">
        <v>43531</v>
      </c>
      <c r="P84" s="1">
        <v>43278</v>
      </c>
      <c r="S84" t="s">
        <v>43</v>
      </c>
      <c r="W84">
        <v>1</v>
      </c>
      <c r="Z84">
        <v>0</v>
      </c>
    </row>
    <row r="85" spans="1:26" x14ac:dyDescent="0.3">
      <c r="A85">
        <v>40117350</v>
      </c>
      <c r="B85" t="s">
        <v>310</v>
      </c>
      <c r="C85" t="s">
        <v>311</v>
      </c>
      <c r="D85" t="s">
        <v>312</v>
      </c>
      <c r="F85" t="str">
        <f>""</f>
        <v/>
      </c>
      <c r="G85" t="str">
        <f>""</f>
        <v/>
      </c>
      <c r="H85">
        <v>4</v>
      </c>
      <c r="I85">
        <v>4.22</v>
      </c>
      <c r="J85" t="s">
        <v>313</v>
      </c>
      <c r="K85" t="s">
        <v>57</v>
      </c>
      <c r="L85">
        <v>336</v>
      </c>
      <c r="M85">
        <v>2018</v>
      </c>
      <c r="N85">
        <v>2018</v>
      </c>
      <c r="O85" s="1">
        <v>43527</v>
      </c>
      <c r="P85" s="1">
        <v>43491</v>
      </c>
      <c r="S85" t="s">
        <v>43</v>
      </c>
      <c r="W85">
        <v>1</v>
      </c>
      <c r="Z85">
        <v>0</v>
      </c>
    </row>
    <row r="86" spans="1:26" x14ac:dyDescent="0.3">
      <c r="A86">
        <v>42578105</v>
      </c>
      <c r="B86" t="s">
        <v>314</v>
      </c>
      <c r="C86" t="s">
        <v>164</v>
      </c>
      <c r="D86" t="s">
        <v>165</v>
      </c>
      <c r="F86" t="str">
        <f>""</f>
        <v/>
      </c>
      <c r="G86" t="str">
        <f>""</f>
        <v/>
      </c>
      <c r="H86">
        <v>3</v>
      </c>
      <c r="I86">
        <v>3.8</v>
      </c>
      <c r="J86" t="s">
        <v>166</v>
      </c>
      <c r="K86" t="s">
        <v>57</v>
      </c>
      <c r="L86">
        <v>102</v>
      </c>
      <c r="M86">
        <v>2019</v>
      </c>
      <c r="N86">
        <v>2019</v>
      </c>
      <c r="P86" s="1">
        <v>43506</v>
      </c>
      <c r="S86" t="s">
        <v>43</v>
      </c>
      <c r="W86">
        <v>1</v>
      </c>
      <c r="Z86">
        <v>0</v>
      </c>
    </row>
    <row r="87" spans="1:26" x14ac:dyDescent="0.3">
      <c r="A87">
        <v>43192240</v>
      </c>
      <c r="B87" t="s">
        <v>315</v>
      </c>
      <c r="C87" t="s">
        <v>69</v>
      </c>
      <c r="D87" t="s">
        <v>70</v>
      </c>
      <c r="F87" t="str">
        <f>""</f>
        <v/>
      </c>
      <c r="G87" t="str">
        <f>""</f>
        <v/>
      </c>
      <c r="H87">
        <v>4</v>
      </c>
      <c r="I87">
        <v>4.4400000000000004</v>
      </c>
      <c r="J87" t="s">
        <v>81</v>
      </c>
      <c r="K87" t="s">
        <v>57</v>
      </c>
      <c r="L87">
        <v>369</v>
      </c>
      <c r="M87">
        <v>2018</v>
      </c>
      <c r="N87">
        <v>2018</v>
      </c>
      <c r="O87" s="1">
        <v>43514</v>
      </c>
      <c r="P87" s="1">
        <v>43487</v>
      </c>
      <c r="S87" t="s">
        <v>43</v>
      </c>
      <c r="W87">
        <v>1</v>
      </c>
      <c r="Z87">
        <v>0</v>
      </c>
    </row>
    <row r="88" spans="1:26" x14ac:dyDescent="0.3">
      <c r="A88">
        <v>24156733</v>
      </c>
      <c r="B88" t="s">
        <v>316</v>
      </c>
      <c r="C88" t="s">
        <v>311</v>
      </c>
      <c r="D88" t="s">
        <v>312</v>
      </c>
      <c r="F88" t="str">
        <f>""</f>
        <v/>
      </c>
      <c r="G88" t="str">
        <f>""</f>
        <v/>
      </c>
      <c r="H88">
        <v>0</v>
      </c>
      <c r="I88">
        <v>3.97</v>
      </c>
      <c r="J88" t="s">
        <v>205</v>
      </c>
      <c r="K88" t="s">
        <v>57</v>
      </c>
      <c r="L88">
        <v>351</v>
      </c>
      <c r="M88">
        <v>2014</v>
      </c>
      <c r="N88">
        <v>2014</v>
      </c>
      <c r="P88" s="1">
        <v>43513</v>
      </c>
      <c r="Q88" t="s">
        <v>36</v>
      </c>
      <c r="R88" t="s">
        <v>317</v>
      </c>
      <c r="S88" t="s">
        <v>36</v>
      </c>
      <c r="W88">
        <v>0</v>
      </c>
      <c r="Z88">
        <v>0</v>
      </c>
    </row>
    <row r="89" spans="1:26" x14ac:dyDescent="0.3">
      <c r="A89">
        <v>41211815</v>
      </c>
      <c r="B89" t="s">
        <v>318</v>
      </c>
      <c r="C89" t="s">
        <v>95</v>
      </c>
      <c r="D89" t="s">
        <v>96</v>
      </c>
      <c r="F89" t="str">
        <f>""</f>
        <v/>
      </c>
      <c r="G89" t="str">
        <f>""</f>
        <v/>
      </c>
      <c r="H89">
        <v>0</v>
      </c>
      <c r="I89">
        <v>4.0999999999999996</v>
      </c>
      <c r="J89" t="s">
        <v>97</v>
      </c>
      <c r="K89" t="s">
        <v>57</v>
      </c>
      <c r="L89">
        <v>286</v>
      </c>
      <c r="M89">
        <v>2019</v>
      </c>
      <c r="N89">
        <v>2019</v>
      </c>
      <c r="P89" s="1">
        <v>43513</v>
      </c>
      <c r="Q89" t="s">
        <v>36</v>
      </c>
      <c r="R89" t="s">
        <v>319</v>
      </c>
      <c r="S89" t="s">
        <v>36</v>
      </c>
      <c r="W89">
        <v>0</v>
      </c>
      <c r="Z89">
        <v>0</v>
      </c>
    </row>
    <row r="90" spans="1:26" x14ac:dyDescent="0.3">
      <c r="A90">
        <v>35480139</v>
      </c>
      <c r="B90" t="s">
        <v>320</v>
      </c>
      <c r="C90" t="s">
        <v>311</v>
      </c>
      <c r="D90" t="s">
        <v>312</v>
      </c>
      <c r="F90" t="str">
        <f>""</f>
        <v/>
      </c>
      <c r="G90" t="str">
        <f>""</f>
        <v/>
      </c>
      <c r="H90">
        <v>4</v>
      </c>
      <c r="I90">
        <v>4.25</v>
      </c>
      <c r="J90" t="s">
        <v>313</v>
      </c>
      <c r="K90" t="s">
        <v>57</v>
      </c>
      <c r="L90">
        <v>352</v>
      </c>
      <c r="M90">
        <v>2018</v>
      </c>
      <c r="N90">
        <v>2018</v>
      </c>
      <c r="O90" s="1">
        <v>43455</v>
      </c>
      <c r="P90" s="1">
        <v>43443</v>
      </c>
      <c r="S90" t="s">
        <v>43</v>
      </c>
      <c r="W90">
        <v>1</v>
      </c>
      <c r="Z90">
        <v>0</v>
      </c>
    </row>
    <row r="91" spans="1:26" x14ac:dyDescent="0.3">
      <c r="A91">
        <v>25181955</v>
      </c>
      <c r="B91" t="s">
        <v>321</v>
      </c>
      <c r="C91" t="s">
        <v>322</v>
      </c>
      <c r="D91" t="s">
        <v>323</v>
      </c>
      <c r="F91" t="str">
        <f>"1785761315"</f>
        <v>1785761315</v>
      </c>
      <c r="G91" t="str">
        <f>"9781785761317"</f>
        <v>9781785761317</v>
      </c>
      <c r="H91">
        <v>0</v>
      </c>
      <c r="I91">
        <v>4.03</v>
      </c>
      <c r="J91" t="s">
        <v>324</v>
      </c>
      <c r="K91" t="s">
        <v>42</v>
      </c>
      <c r="L91">
        <v>416</v>
      </c>
      <c r="M91">
        <v>2017</v>
      </c>
      <c r="N91">
        <v>2017</v>
      </c>
      <c r="P91" s="1">
        <v>43455</v>
      </c>
      <c r="Q91" t="s">
        <v>36</v>
      </c>
      <c r="R91" t="s">
        <v>325</v>
      </c>
      <c r="S91" t="s">
        <v>36</v>
      </c>
      <c r="W91">
        <v>0</v>
      </c>
      <c r="Z91">
        <v>0</v>
      </c>
    </row>
    <row r="92" spans="1:26" x14ac:dyDescent="0.3">
      <c r="A92">
        <v>287861</v>
      </c>
      <c r="B92" t="s">
        <v>326</v>
      </c>
      <c r="C92" t="s">
        <v>327</v>
      </c>
      <c r="D92" t="s">
        <v>328</v>
      </c>
      <c r="F92" t="str">
        <f>"0060082097"</f>
        <v>0060082097</v>
      </c>
      <c r="G92" t="str">
        <f>"9780060082093"</f>
        <v>9780060082093</v>
      </c>
      <c r="H92">
        <v>0</v>
      </c>
      <c r="I92">
        <v>3.77</v>
      </c>
      <c r="J92" t="s">
        <v>329</v>
      </c>
      <c r="K92" t="s">
        <v>102</v>
      </c>
      <c r="L92">
        <v>326</v>
      </c>
      <c r="M92">
        <v>2004</v>
      </c>
      <c r="N92">
        <v>2001</v>
      </c>
      <c r="P92" s="1">
        <v>43446</v>
      </c>
      <c r="Q92" t="s">
        <v>36</v>
      </c>
      <c r="R92" t="s">
        <v>330</v>
      </c>
      <c r="S92" t="s">
        <v>36</v>
      </c>
      <c r="W92">
        <v>0</v>
      </c>
      <c r="Z92">
        <v>0</v>
      </c>
    </row>
    <row r="93" spans="1:26" x14ac:dyDescent="0.3">
      <c r="A93">
        <v>31434700</v>
      </c>
      <c r="B93" t="s">
        <v>331</v>
      </c>
      <c r="C93" t="s">
        <v>311</v>
      </c>
      <c r="D93" t="s">
        <v>312</v>
      </c>
      <c r="F93" t="str">
        <f>""</f>
        <v/>
      </c>
      <c r="G93" t="str">
        <f>""</f>
        <v/>
      </c>
      <c r="H93">
        <v>5</v>
      </c>
      <c r="I93">
        <v>4.22</v>
      </c>
      <c r="J93" t="s">
        <v>313</v>
      </c>
      <c r="K93" t="s">
        <v>57</v>
      </c>
      <c r="L93">
        <v>288</v>
      </c>
      <c r="M93">
        <v>2017</v>
      </c>
      <c r="N93">
        <v>2017</v>
      </c>
      <c r="O93" s="1">
        <v>43443</v>
      </c>
      <c r="P93" s="1">
        <v>43433</v>
      </c>
      <c r="S93" t="s">
        <v>43</v>
      </c>
      <c r="W93">
        <v>1</v>
      </c>
      <c r="Z93">
        <v>0</v>
      </c>
    </row>
    <row r="94" spans="1:26" x14ac:dyDescent="0.3">
      <c r="A94">
        <v>35710156</v>
      </c>
      <c r="B94" t="s">
        <v>332</v>
      </c>
      <c r="C94" t="s">
        <v>333</v>
      </c>
      <c r="D94" t="s">
        <v>334</v>
      </c>
      <c r="F94" t="str">
        <f>"1548969087"</f>
        <v>1548969087</v>
      </c>
      <c r="G94" t="str">
        <f>"9781548969080"</f>
        <v>9781548969080</v>
      </c>
      <c r="H94">
        <v>0</v>
      </c>
      <c r="I94">
        <v>3.63</v>
      </c>
      <c r="J94" t="s">
        <v>335</v>
      </c>
      <c r="K94" t="s">
        <v>102</v>
      </c>
      <c r="L94">
        <v>342</v>
      </c>
      <c r="M94">
        <v>2017</v>
      </c>
      <c r="P94" s="1">
        <v>43438</v>
      </c>
      <c r="Q94" t="s">
        <v>36</v>
      </c>
      <c r="R94" t="s">
        <v>336</v>
      </c>
      <c r="S94" t="s">
        <v>36</v>
      </c>
      <c r="W94">
        <v>0</v>
      </c>
      <c r="Z94">
        <v>0</v>
      </c>
    </row>
    <row r="95" spans="1:26" x14ac:dyDescent="0.3">
      <c r="A95">
        <v>28464896</v>
      </c>
      <c r="B95" t="s">
        <v>337</v>
      </c>
      <c r="C95" t="s">
        <v>311</v>
      </c>
      <c r="D95" t="s">
        <v>312</v>
      </c>
      <c r="F95" t="str">
        <f>"1504713958"</f>
        <v>1504713958</v>
      </c>
      <c r="G95" t="str">
        <f>"9781504713955"</f>
        <v>9781504713955</v>
      </c>
      <c r="H95">
        <v>3</v>
      </c>
      <c r="I95">
        <v>3.86</v>
      </c>
      <c r="J95" t="s">
        <v>338</v>
      </c>
      <c r="K95" t="s">
        <v>339</v>
      </c>
      <c r="L95">
        <v>431</v>
      </c>
      <c r="M95">
        <v>2016</v>
      </c>
      <c r="N95">
        <v>2016</v>
      </c>
      <c r="O95" s="1">
        <v>43432</v>
      </c>
      <c r="P95" s="1">
        <v>43402</v>
      </c>
      <c r="S95" t="s">
        <v>43</v>
      </c>
      <c r="W95">
        <v>1</v>
      </c>
      <c r="Z95">
        <v>0</v>
      </c>
    </row>
    <row r="96" spans="1:26" x14ac:dyDescent="0.3">
      <c r="A96">
        <v>35519109</v>
      </c>
      <c r="B96" t="s">
        <v>340</v>
      </c>
      <c r="C96" t="s">
        <v>341</v>
      </c>
      <c r="D96" t="s">
        <v>342</v>
      </c>
      <c r="F96" t="str">
        <f>""</f>
        <v/>
      </c>
      <c r="G96" t="str">
        <f>""</f>
        <v/>
      </c>
      <c r="H96">
        <v>0</v>
      </c>
      <c r="I96">
        <v>4.38</v>
      </c>
      <c r="J96" t="s">
        <v>292</v>
      </c>
      <c r="K96" t="s">
        <v>57</v>
      </c>
      <c r="L96">
        <v>176</v>
      </c>
      <c r="M96">
        <v>2018</v>
      </c>
      <c r="N96">
        <v>2018</v>
      </c>
      <c r="P96" s="1">
        <v>43431</v>
      </c>
      <c r="Q96" t="s">
        <v>36</v>
      </c>
      <c r="R96" t="s">
        <v>343</v>
      </c>
      <c r="S96" t="s">
        <v>36</v>
      </c>
      <c r="W96">
        <v>0</v>
      </c>
      <c r="Z96">
        <v>0</v>
      </c>
    </row>
    <row r="97" spans="1:26" x14ac:dyDescent="0.3">
      <c r="A97">
        <v>38464992</v>
      </c>
      <c r="B97" t="s">
        <v>344</v>
      </c>
      <c r="C97" t="s">
        <v>345</v>
      </c>
      <c r="D97" t="s">
        <v>346</v>
      </c>
      <c r="E97" t="s">
        <v>347</v>
      </c>
      <c r="F97" t="str">
        <f>"1785658263"</f>
        <v>1785658263</v>
      </c>
      <c r="G97" t="str">
        <f>"9781785658266"</f>
        <v>9781785658266</v>
      </c>
      <c r="H97">
        <v>0</v>
      </c>
      <c r="I97">
        <v>3.79</v>
      </c>
      <c r="J97" t="s">
        <v>348</v>
      </c>
      <c r="K97" t="s">
        <v>42</v>
      </c>
      <c r="L97">
        <v>334</v>
      </c>
      <c r="M97">
        <v>2018</v>
      </c>
      <c r="N97">
        <v>2018</v>
      </c>
      <c r="P97" s="1">
        <v>43402</v>
      </c>
      <c r="Q97" t="s">
        <v>36</v>
      </c>
      <c r="R97" t="s">
        <v>349</v>
      </c>
      <c r="S97" t="s">
        <v>36</v>
      </c>
      <c r="W97">
        <v>0</v>
      </c>
      <c r="Z97">
        <v>0</v>
      </c>
    </row>
    <row r="98" spans="1:26" x14ac:dyDescent="0.3">
      <c r="A98">
        <v>28811018</v>
      </c>
      <c r="B98" t="s">
        <v>350</v>
      </c>
      <c r="C98" t="s">
        <v>54</v>
      </c>
      <c r="D98" t="s">
        <v>55</v>
      </c>
      <c r="F98" t="str">
        <f>"0356509311"</f>
        <v>0356509311</v>
      </c>
      <c r="G98" t="str">
        <f>"9780356509310"</f>
        <v>9780356509310</v>
      </c>
      <c r="H98">
        <v>5</v>
      </c>
      <c r="I98">
        <v>4.51</v>
      </c>
      <c r="J98" t="s">
        <v>205</v>
      </c>
      <c r="K98" t="s">
        <v>102</v>
      </c>
      <c r="L98">
        <v>639</v>
      </c>
      <c r="M98">
        <v>2018</v>
      </c>
      <c r="N98">
        <v>2018</v>
      </c>
      <c r="O98" s="1">
        <v>43401</v>
      </c>
      <c r="P98" s="1">
        <v>43376</v>
      </c>
      <c r="S98" t="s">
        <v>43</v>
      </c>
      <c r="W98">
        <v>1</v>
      </c>
      <c r="Z98">
        <v>0</v>
      </c>
    </row>
    <row r="99" spans="1:26" x14ac:dyDescent="0.3">
      <c r="A99">
        <v>28169061</v>
      </c>
      <c r="B99" t="s">
        <v>351</v>
      </c>
      <c r="C99" t="s">
        <v>352</v>
      </c>
      <c r="D99" t="s">
        <v>353</v>
      </c>
      <c r="F99" t="str">
        <f>""</f>
        <v/>
      </c>
      <c r="G99" t="str">
        <f>""</f>
        <v/>
      </c>
      <c r="H99">
        <v>0</v>
      </c>
      <c r="I99">
        <v>3.96</v>
      </c>
      <c r="J99" t="s">
        <v>205</v>
      </c>
      <c r="K99" t="s">
        <v>57</v>
      </c>
      <c r="L99">
        <v>512</v>
      </c>
      <c r="M99">
        <v>2017</v>
      </c>
      <c r="N99">
        <v>2017</v>
      </c>
      <c r="P99" s="1">
        <v>43401</v>
      </c>
      <c r="Q99" t="s">
        <v>36</v>
      </c>
      <c r="R99" t="s">
        <v>354</v>
      </c>
      <c r="S99" t="s">
        <v>36</v>
      </c>
      <c r="W99">
        <v>0</v>
      </c>
      <c r="Z99">
        <v>0</v>
      </c>
    </row>
    <row r="100" spans="1:26" x14ac:dyDescent="0.3">
      <c r="A100">
        <v>156784</v>
      </c>
      <c r="B100" t="s">
        <v>355</v>
      </c>
      <c r="C100" t="s">
        <v>356</v>
      </c>
      <c r="D100" t="s">
        <v>357</v>
      </c>
      <c r="F100" t="str">
        <f>"006105481X"</f>
        <v>006105481X</v>
      </c>
      <c r="G100" t="str">
        <f>"9780061054815"</f>
        <v>9780061054815</v>
      </c>
      <c r="H100">
        <v>0</v>
      </c>
      <c r="I100">
        <v>4.08</v>
      </c>
      <c r="J100" t="s">
        <v>358</v>
      </c>
      <c r="K100" t="s">
        <v>102</v>
      </c>
      <c r="L100">
        <v>352</v>
      </c>
      <c r="M100">
        <v>1995</v>
      </c>
      <c r="N100">
        <v>1994</v>
      </c>
      <c r="P100" s="1">
        <v>43395</v>
      </c>
      <c r="Q100" t="s">
        <v>36</v>
      </c>
      <c r="R100" t="s">
        <v>359</v>
      </c>
      <c r="S100" t="s">
        <v>36</v>
      </c>
      <c r="W100">
        <v>0</v>
      </c>
      <c r="Z100">
        <v>0</v>
      </c>
    </row>
    <row r="101" spans="1:26" x14ac:dyDescent="0.3">
      <c r="A101">
        <v>28811016</v>
      </c>
      <c r="B101" t="s">
        <v>360</v>
      </c>
      <c r="C101" t="s">
        <v>54</v>
      </c>
      <c r="D101" t="s">
        <v>55</v>
      </c>
      <c r="F101" t="str">
        <f>"0316407216"</f>
        <v>0316407216</v>
      </c>
      <c r="G101" t="str">
        <f>"9780316407212"</f>
        <v>9780316407212</v>
      </c>
      <c r="H101">
        <v>5</v>
      </c>
      <c r="I101">
        <v>4.4000000000000004</v>
      </c>
      <c r="J101" t="s">
        <v>205</v>
      </c>
      <c r="K101" t="s">
        <v>42</v>
      </c>
      <c r="L101">
        <v>624</v>
      </c>
      <c r="M101">
        <v>2017</v>
      </c>
      <c r="N101">
        <v>2017</v>
      </c>
      <c r="O101" s="1">
        <v>43385</v>
      </c>
      <c r="P101" s="1">
        <v>42421</v>
      </c>
      <c r="S101" t="s">
        <v>43</v>
      </c>
      <c r="W101">
        <v>1</v>
      </c>
      <c r="Z101">
        <v>0</v>
      </c>
    </row>
    <row r="102" spans="1:26" x14ac:dyDescent="0.3">
      <c r="A102">
        <v>36047195</v>
      </c>
      <c r="B102" t="s">
        <v>361</v>
      </c>
      <c r="C102" t="s">
        <v>54</v>
      </c>
      <c r="D102" t="s">
        <v>55</v>
      </c>
      <c r="F102" t="str">
        <f>""</f>
        <v/>
      </c>
      <c r="G102" t="str">
        <f>""</f>
        <v/>
      </c>
      <c r="H102">
        <v>0</v>
      </c>
      <c r="I102">
        <v>4.3</v>
      </c>
      <c r="K102" t="s">
        <v>57</v>
      </c>
      <c r="L102">
        <v>85</v>
      </c>
      <c r="M102">
        <v>2017</v>
      </c>
      <c r="N102">
        <v>2017</v>
      </c>
      <c r="P102" s="1">
        <v>43376</v>
      </c>
      <c r="Q102" t="s">
        <v>36</v>
      </c>
      <c r="R102" t="s">
        <v>362</v>
      </c>
      <c r="S102" t="s">
        <v>36</v>
      </c>
      <c r="W102">
        <v>0</v>
      </c>
      <c r="Z102">
        <v>0</v>
      </c>
    </row>
    <row r="103" spans="1:26" x14ac:dyDescent="0.3">
      <c r="A103">
        <v>25972196</v>
      </c>
      <c r="B103" t="s">
        <v>363</v>
      </c>
      <c r="C103" t="s">
        <v>364</v>
      </c>
      <c r="D103" t="s">
        <v>365</v>
      </c>
      <c r="F103" t="str">
        <f>"0356506444"</f>
        <v>0356506444</v>
      </c>
      <c r="G103" t="str">
        <f>"9780356506449"</f>
        <v>9780356506449</v>
      </c>
      <c r="H103">
        <v>0</v>
      </c>
      <c r="I103">
        <v>4.17</v>
      </c>
      <c r="J103" t="s">
        <v>205</v>
      </c>
      <c r="K103" t="s">
        <v>42</v>
      </c>
      <c r="L103">
        <v>560</v>
      </c>
      <c r="M103">
        <v>2018</v>
      </c>
      <c r="N103">
        <v>2018</v>
      </c>
      <c r="P103" s="1">
        <v>43369</v>
      </c>
      <c r="Q103" t="s">
        <v>36</v>
      </c>
      <c r="R103" t="s">
        <v>366</v>
      </c>
      <c r="S103" t="s">
        <v>36</v>
      </c>
      <c r="W103">
        <v>0</v>
      </c>
      <c r="Z103">
        <v>0</v>
      </c>
    </row>
    <row r="104" spans="1:26" x14ac:dyDescent="0.3">
      <c r="A104">
        <v>36454667</v>
      </c>
      <c r="B104" t="s">
        <v>367</v>
      </c>
      <c r="C104" t="s">
        <v>368</v>
      </c>
      <c r="D104" t="s">
        <v>369</v>
      </c>
      <c r="F104" t="str">
        <f>""</f>
        <v/>
      </c>
      <c r="G104" t="str">
        <f>""</f>
        <v/>
      </c>
      <c r="H104">
        <v>0</v>
      </c>
      <c r="I104">
        <v>4.0199999999999996</v>
      </c>
      <c r="J104" t="s">
        <v>370</v>
      </c>
      <c r="K104" t="s">
        <v>57</v>
      </c>
      <c r="L104">
        <v>753</v>
      </c>
      <c r="M104">
        <v>2018</v>
      </c>
      <c r="N104">
        <v>2018</v>
      </c>
      <c r="P104" s="1">
        <v>43369</v>
      </c>
      <c r="Q104" t="s">
        <v>36</v>
      </c>
      <c r="R104" t="s">
        <v>371</v>
      </c>
      <c r="S104" t="s">
        <v>36</v>
      </c>
      <c r="W104">
        <v>0</v>
      </c>
      <c r="Z104">
        <v>0</v>
      </c>
    </row>
    <row r="105" spans="1:26" x14ac:dyDescent="0.3">
      <c r="A105">
        <v>28335696</v>
      </c>
      <c r="B105" t="s">
        <v>372</v>
      </c>
      <c r="C105" t="s">
        <v>129</v>
      </c>
      <c r="D105" t="s">
        <v>130</v>
      </c>
      <c r="F105" t="str">
        <f>"0316332828"</f>
        <v>0316332828</v>
      </c>
      <c r="G105" t="str">
        <f>"9780316332828"</f>
        <v>9780316332828</v>
      </c>
      <c r="H105">
        <v>3</v>
      </c>
      <c r="I105">
        <v>4.3600000000000003</v>
      </c>
      <c r="J105" t="s">
        <v>131</v>
      </c>
      <c r="K105" t="s">
        <v>35</v>
      </c>
      <c r="L105">
        <v>608</v>
      </c>
      <c r="M105">
        <v>2017</v>
      </c>
      <c r="N105">
        <v>2017</v>
      </c>
      <c r="O105" s="1">
        <v>43369</v>
      </c>
      <c r="P105" s="1">
        <v>43068</v>
      </c>
      <c r="S105" t="s">
        <v>43</v>
      </c>
      <c r="W105">
        <v>1</v>
      </c>
      <c r="Z105">
        <v>0</v>
      </c>
    </row>
    <row r="106" spans="1:26" x14ac:dyDescent="0.3">
      <c r="A106">
        <v>7022317</v>
      </c>
      <c r="B106" t="s">
        <v>373</v>
      </c>
      <c r="C106" t="s">
        <v>374</v>
      </c>
      <c r="D106" t="s">
        <v>375</v>
      </c>
      <c r="E106" t="s">
        <v>376</v>
      </c>
      <c r="F106" t="str">
        <f>"1847375634"</f>
        <v>1847375634</v>
      </c>
      <c r="G106" t="str">
        <f>"9781847375636"</f>
        <v>9781847375636</v>
      </c>
      <c r="H106">
        <v>0</v>
      </c>
      <c r="I106">
        <v>3.97</v>
      </c>
      <c r="J106" t="s">
        <v>377</v>
      </c>
      <c r="K106" t="s">
        <v>102</v>
      </c>
      <c r="L106">
        <v>396</v>
      </c>
      <c r="M106">
        <v>2010</v>
      </c>
      <c r="N106">
        <v>2002</v>
      </c>
      <c r="P106" s="1">
        <v>43312</v>
      </c>
      <c r="Q106" t="s">
        <v>36</v>
      </c>
      <c r="R106" t="s">
        <v>378</v>
      </c>
      <c r="S106" t="s">
        <v>36</v>
      </c>
      <c r="W106">
        <v>0</v>
      </c>
      <c r="Z106">
        <v>0</v>
      </c>
    </row>
    <row r="107" spans="1:26" x14ac:dyDescent="0.3">
      <c r="A107">
        <v>1051620</v>
      </c>
      <c r="B107" t="s">
        <v>379</v>
      </c>
      <c r="C107" t="s">
        <v>380</v>
      </c>
      <c r="D107" t="s">
        <v>381</v>
      </c>
      <c r="F107" t="str">
        <f>"1841496049"</f>
        <v>1841496049</v>
      </c>
      <c r="G107" t="str">
        <f>"9781841496047"</f>
        <v>9781841496047</v>
      </c>
      <c r="H107">
        <v>0</v>
      </c>
      <c r="I107">
        <v>3.66</v>
      </c>
      <c r="J107" t="s">
        <v>205</v>
      </c>
      <c r="K107" t="s">
        <v>257</v>
      </c>
      <c r="L107">
        <v>642</v>
      </c>
      <c r="M107">
        <v>2007</v>
      </c>
      <c r="N107">
        <v>2005</v>
      </c>
      <c r="P107" s="1">
        <v>43312</v>
      </c>
      <c r="Q107" t="s">
        <v>36</v>
      </c>
      <c r="R107" t="s">
        <v>382</v>
      </c>
      <c r="S107" t="s">
        <v>36</v>
      </c>
      <c r="W107">
        <v>0</v>
      </c>
      <c r="Z107">
        <v>0</v>
      </c>
    </row>
    <row r="108" spans="1:26" x14ac:dyDescent="0.3">
      <c r="A108">
        <v>27003</v>
      </c>
      <c r="B108" t="s">
        <v>383</v>
      </c>
      <c r="C108" t="s">
        <v>384</v>
      </c>
      <c r="D108" t="s">
        <v>385</v>
      </c>
      <c r="F108" t="str">
        <f>"0142001805"</f>
        <v>0142001805</v>
      </c>
      <c r="G108" t="str">
        <f>"9780142001806"</f>
        <v>9780142001806</v>
      </c>
      <c r="H108">
        <v>0</v>
      </c>
      <c r="I108">
        <v>3.88</v>
      </c>
      <c r="J108" t="s">
        <v>386</v>
      </c>
      <c r="K108" t="s">
        <v>102</v>
      </c>
      <c r="L108">
        <v>374</v>
      </c>
      <c r="M108">
        <v>2003</v>
      </c>
      <c r="N108">
        <v>2001</v>
      </c>
      <c r="P108" s="1">
        <v>43307</v>
      </c>
      <c r="Q108" t="s">
        <v>36</v>
      </c>
      <c r="R108" t="s">
        <v>387</v>
      </c>
      <c r="S108" t="s">
        <v>36</v>
      </c>
      <c r="W108">
        <v>0</v>
      </c>
      <c r="Z108">
        <v>0</v>
      </c>
    </row>
    <row r="109" spans="1:26" x14ac:dyDescent="0.3">
      <c r="A109">
        <v>365</v>
      </c>
      <c r="B109" t="s">
        <v>388</v>
      </c>
      <c r="C109" t="s">
        <v>389</v>
      </c>
      <c r="D109" t="s">
        <v>390</v>
      </c>
      <c r="F109" t="str">
        <f>""</f>
        <v/>
      </c>
      <c r="G109" t="str">
        <f>""</f>
        <v/>
      </c>
      <c r="H109">
        <v>0</v>
      </c>
      <c r="I109">
        <v>3.96</v>
      </c>
      <c r="J109" t="s">
        <v>391</v>
      </c>
      <c r="K109" t="s">
        <v>257</v>
      </c>
      <c r="L109">
        <v>306</v>
      </c>
      <c r="M109">
        <v>2002</v>
      </c>
      <c r="N109">
        <v>1987</v>
      </c>
      <c r="P109" s="1">
        <v>43305</v>
      </c>
      <c r="Q109" t="s">
        <v>36</v>
      </c>
      <c r="R109" t="s">
        <v>392</v>
      </c>
      <c r="S109" t="s">
        <v>36</v>
      </c>
      <c r="W109">
        <v>0</v>
      </c>
      <c r="Z109">
        <v>0</v>
      </c>
    </row>
    <row r="110" spans="1:26" x14ac:dyDescent="0.3">
      <c r="A110">
        <v>35391324</v>
      </c>
      <c r="B110" t="s">
        <v>393</v>
      </c>
      <c r="C110" t="s">
        <v>95</v>
      </c>
      <c r="D110" t="s">
        <v>96</v>
      </c>
      <c r="F110" t="str">
        <f>""</f>
        <v/>
      </c>
      <c r="G110" t="str">
        <f>""</f>
        <v/>
      </c>
      <c r="H110">
        <v>3</v>
      </c>
      <c r="I110">
        <v>4.1900000000000004</v>
      </c>
      <c r="J110" t="s">
        <v>97</v>
      </c>
      <c r="K110" t="s">
        <v>57</v>
      </c>
      <c r="L110">
        <v>297</v>
      </c>
      <c r="M110">
        <v>2018</v>
      </c>
      <c r="N110">
        <v>2018</v>
      </c>
      <c r="O110" s="1">
        <v>43275</v>
      </c>
      <c r="P110" s="1">
        <v>43142</v>
      </c>
      <c r="S110" t="s">
        <v>43</v>
      </c>
      <c r="W110">
        <v>1</v>
      </c>
      <c r="Z110">
        <v>0</v>
      </c>
    </row>
    <row r="111" spans="1:26" x14ac:dyDescent="0.3">
      <c r="A111">
        <v>37541828</v>
      </c>
      <c r="B111" t="s">
        <v>394</v>
      </c>
      <c r="C111" t="s">
        <v>99</v>
      </c>
      <c r="D111" t="s">
        <v>100</v>
      </c>
      <c r="F111" t="str">
        <f>""</f>
        <v/>
      </c>
      <c r="G111" t="str">
        <f>"9780008284602"</f>
        <v>9780008284602</v>
      </c>
      <c r="H111">
        <v>5</v>
      </c>
      <c r="I111">
        <v>4.29</v>
      </c>
      <c r="J111" t="s">
        <v>395</v>
      </c>
      <c r="K111" t="s">
        <v>35</v>
      </c>
      <c r="L111">
        <v>432</v>
      </c>
      <c r="M111">
        <v>2018</v>
      </c>
      <c r="N111">
        <v>2018</v>
      </c>
      <c r="O111" s="1">
        <v>43265</v>
      </c>
      <c r="P111" s="1">
        <v>43205</v>
      </c>
      <c r="S111" t="s">
        <v>43</v>
      </c>
      <c r="W111">
        <v>1</v>
      </c>
      <c r="Z111">
        <v>0</v>
      </c>
    </row>
    <row r="112" spans="1:26" x14ac:dyDescent="0.3">
      <c r="A112">
        <v>34531764</v>
      </c>
      <c r="B112" t="s">
        <v>396</v>
      </c>
      <c r="C112" t="s">
        <v>397</v>
      </c>
      <c r="D112" t="s">
        <v>398</v>
      </c>
      <c r="F112" t="str">
        <f>""</f>
        <v/>
      </c>
      <c r="G112" t="str">
        <f>""</f>
        <v/>
      </c>
      <c r="H112">
        <v>3</v>
      </c>
      <c r="I112">
        <v>4.42</v>
      </c>
      <c r="J112" t="s">
        <v>399</v>
      </c>
      <c r="K112" t="s">
        <v>57</v>
      </c>
      <c r="L112">
        <v>484</v>
      </c>
      <c r="M112">
        <v>2017</v>
      </c>
      <c r="N112">
        <v>2017</v>
      </c>
      <c r="O112" s="1">
        <v>43255</v>
      </c>
      <c r="P112" s="1">
        <v>43198</v>
      </c>
      <c r="S112" t="s">
        <v>43</v>
      </c>
      <c r="W112">
        <v>1</v>
      </c>
      <c r="Z112">
        <v>0</v>
      </c>
    </row>
    <row r="113" spans="1:26" x14ac:dyDescent="0.3">
      <c r="A113">
        <v>36103742</v>
      </c>
      <c r="B113" t="s">
        <v>400</v>
      </c>
      <c r="C113" t="s">
        <v>69</v>
      </c>
      <c r="D113" t="s">
        <v>70</v>
      </c>
      <c r="E113" t="s">
        <v>401</v>
      </c>
      <c r="F113" t="str">
        <f>""</f>
        <v/>
      </c>
      <c r="G113" t="str">
        <f>""</f>
        <v/>
      </c>
      <c r="H113">
        <v>0</v>
      </c>
      <c r="I113">
        <v>4.24</v>
      </c>
      <c r="J113" t="s">
        <v>88</v>
      </c>
      <c r="K113" t="s">
        <v>57</v>
      </c>
      <c r="L113">
        <v>290</v>
      </c>
      <c r="M113">
        <v>2017</v>
      </c>
      <c r="N113">
        <v>2017</v>
      </c>
      <c r="P113" s="1">
        <v>43255</v>
      </c>
      <c r="Q113" t="s">
        <v>36</v>
      </c>
      <c r="R113" t="s">
        <v>402</v>
      </c>
      <c r="S113" t="s">
        <v>36</v>
      </c>
      <c r="W113">
        <v>0</v>
      </c>
      <c r="Z113">
        <v>0</v>
      </c>
    </row>
    <row r="114" spans="1:26" x14ac:dyDescent="0.3">
      <c r="A114">
        <v>32065020</v>
      </c>
      <c r="B114" t="s">
        <v>403</v>
      </c>
      <c r="C114" t="s">
        <v>397</v>
      </c>
      <c r="D114" t="s">
        <v>398</v>
      </c>
      <c r="F114" t="str">
        <f>""</f>
        <v/>
      </c>
      <c r="G114" t="str">
        <f>""</f>
        <v/>
      </c>
      <c r="H114">
        <v>0</v>
      </c>
      <c r="I114">
        <v>3.91</v>
      </c>
      <c r="J114" t="s">
        <v>97</v>
      </c>
      <c r="K114" t="s">
        <v>57</v>
      </c>
      <c r="L114">
        <v>332</v>
      </c>
      <c r="M114">
        <v>2018</v>
      </c>
      <c r="N114">
        <v>2018</v>
      </c>
      <c r="P114" s="1">
        <v>43206</v>
      </c>
      <c r="Q114" t="s">
        <v>36</v>
      </c>
      <c r="R114" t="s">
        <v>404</v>
      </c>
      <c r="S114" t="s">
        <v>36</v>
      </c>
      <c r="W114">
        <v>0</v>
      </c>
      <c r="Z114">
        <v>0</v>
      </c>
    </row>
    <row r="115" spans="1:26" x14ac:dyDescent="0.3">
      <c r="A115">
        <v>34002132</v>
      </c>
      <c r="B115" t="s">
        <v>405</v>
      </c>
      <c r="C115" t="s">
        <v>45</v>
      </c>
      <c r="D115" t="s">
        <v>46</v>
      </c>
      <c r="F115" t="str">
        <f>"076532637X"</f>
        <v>076532637X</v>
      </c>
      <c r="G115" t="str">
        <f>"9780765326379"</f>
        <v>9780765326379</v>
      </c>
      <c r="H115">
        <v>5</v>
      </c>
      <c r="I115">
        <v>4.5999999999999996</v>
      </c>
      <c r="J115" t="s">
        <v>56</v>
      </c>
      <c r="K115" t="s">
        <v>42</v>
      </c>
      <c r="L115">
        <v>1248</v>
      </c>
      <c r="M115">
        <v>2017</v>
      </c>
      <c r="N115">
        <v>2017</v>
      </c>
      <c r="O115" s="1">
        <v>43206</v>
      </c>
      <c r="P115" s="1">
        <v>43091</v>
      </c>
      <c r="S115" t="s">
        <v>43</v>
      </c>
      <c r="W115">
        <v>2</v>
      </c>
      <c r="Z115">
        <v>0</v>
      </c>
    </row>
    <row r="116" spans="1:26" x14ac:dyDescent="0.3">
      <c r="A116">
        <v>35437058</v>
      </c>
      <c r="B116" t="s">
        <v>406</v>
      </c>
      <c r="C116" t="s">
        <v>407</v>
      </c>
      <c r="D116" t="s">
        <v>408</v>
      </c>
      <c r="F116" t="str">
        <f>""</f>
        <v/>
      </c>
      <c r="G116" t="str">
        <f>""</f>
        <v/>
      </c>
      <c r="H116">
        <v>0</v>
      </c>
      <c r="I116">
        <v>4.08</v>
      </c>
      <c r="J116" t="s">
        <v>409</v>
      </c>
      <c r="K116" t="s">
        <v>57</v>
      </c>
      <c r="L116">
        <v>504</v>
      </c>
      <c r="M116">
        <v>2018</v>
      </c>
      <c r="N116">
        <v>2018</v>
      </c>
      <c r="P116" s="1">
        <v>43179</v>
      </c>
      <c r="Q116" t="s">
        <v>36</v>
      </c>
      <c r="R116" t="s">
        <v>410</v>
      </c>
      <c r="S116" t="s">
        <v>36</v>
      </c>
      <c r="W116">
        <v>0</v>
      </c>
      <c r="Z116">
        <v>0</v>
      </c>
    </row>
    <row r="117" spans="1:26" x14ac:dyDescent="0.3">
      <c r="A117">
        <v>34928122</v>
      </c>
      <c r="B117" t="s">
        <v>411</v>
      </c>
      <c r="C117" t="s">
        <v>39</v>
      </c>
      <c r="D117" t="s">
        <v>40</v>
      </c>
      <c r="F117" t="str">
        <f>"0553448129"</f>
        <v>0553448129</v>
      </c>
      <c r="G117" t="str">
        <f>"9780553448122"</f>
        <v>9780553448122</v>
      </c>
      <c r="H117">
        <v>0</v>
      </c>
      <c r="I117">
        <v>3.68</v>
      </c>
      <c r="J117" t="s">
        <v>162</v>
      </c>
      <c r="K117" t="s">
        <v>42</v>
      </c>
      <c r="L117">
        <v>305</v>
      </c>
      <c r="M117">
        <v>2017</v>
      </c>
      <c r="N117">
        <v>2017</v>
      </c>
      <c r="P117" s="1">
        <v>43141</v>
      </c>
      <c r="Q117" t="s">
        <v>36</v>
      </c>
      <c r="R117" t="s">
        <v>412</v>
      </c>
      <c r="S117" t="s">
        <v>36</v>
      </c>
      <c r="W117">
        <v>0</v>
      </c>
      <c r="Z117">
        <v>0</v>
      </c>
    </row>
    <row r="118" spans="1:26" x14ac:dyDescent="0.3">
      <c r="A118">
        <v>40445</v>
      </c>
      <c r="B118" t="s">
        <v>413</v>
      </c>
      <c r="C118" t="s">
        <v>414</v>
      </c>
      <c r="D118" t="s">
        <v>415</v>
      </c>
      <c r="F118" t="str">
        <f>"0345457692"</f>
        <v>0345457692</v>
      </c>
      <c r="G118" t="str">
        <f>"9780345457691"</f>
        <v>9780345457691</v>
      </c>
      <c r="H118">
        <v>0</v>
      </c>
      <c r="I118">
        <v>4.04</v>
      </c>
      <c r="J118" t="s">
        <v>416</v>
      </c>
      <c r="K118" t="s">
        <v>257</v>
      </c>
      <c r="L118">
        <v>526</v>
      </c>
      <c r="M118">
        <v>2006</v>
      </c>
      <c r="N118">
        <v>2002</v>
      </c>
      <c r="P118" s="1">
        <v>43140</v>
      </c>
      <c r="Q118" t="s">
        <v>36</v>
      </c>
      <c r="R118" t="s">
        <v>417</v>
      </c>
      <c r="S118" t="s">
        <v>36</v>
      </c>
      <c r="W118">
        <v>0</v>
      </c>
      <c r="Z118">
        <v>0</v>
      </c>
    </row>
    <row r="119" spans="1:26" x14ac:dyDescent="0.3">
      <c r="A119">
        <v>6043781</v>
      </c>
      <c r="B119" t="s">
        <v>418</v>
      </c>
      <c r="C119" t="s">
        <v>419</v>
      </c>
      <c r="D119" t="s">
        <v>420</v>
      </c>
      <c r="E119" t="s">
        <v>421</v>
      </c>
      <c r="F119" t="str">
        <f>"031602919X"</f>
        <v>031602919X</v>
      </c>
      <c r="G119" t="str">
        <f>"9780316029193"</f>
        <v>9780316029193</v>
      </c>
      <c r="H119">
        <v>0</v>
      </c>
      <c r="I119">
        <v>4.0999999999999996</v>
      </c>
      <c r="J119" t="s">
        <v>422</v>
      </c>
      <c r="K119" t="s">
        <v>257</v>
      </c>
      <c r="L119">
        <v>398</v>
      </c>
      <c r="M119">
        <v>2009</v>
      </c>
      <c r="N119">
        <v>1994</v>
      </c>
      <c r="P119" s="1">
        <v>43108</v>
      </c>
      <c r="Q119" t="s">
        <v>36</v>
      </c>
      <c r="R119" t="s">
        <v>423</v>
      </c>
      <c r="S119" t="s">
        <v>36</v>
      </c>
      <c r="W119">
        <v>0</v>
      </c>
      <c r="Z119">
        <v>0</v>
      </c>
    </row>
    <row r="120" spans="1:26" x14ac:dyDescent="0.3">
      <c r="A120">
        <v>36416689</v>
      </c>
      <c r="B120" t="s">
        <v>424</v>
      </c>
      <c r="C120" t="s">
        <v>69</v>
      </c>
      <c r="D120" t="s">
        <v>70</v>
      </c>
      <c r="F120" t="str">
        <f>""</f>
        <v/>
      </c>
      <c r="G120" t="str">
        <f>""</f>
        <v/>
      </c>
      <c r="H120">
        <v>3</v>
      </c>
      <c r="I120">
        <v>4.32</v>
      </c>
      <c r="J120" t="s">
        <v>88</v>
      </c>
      <c r="K120" t="s">
        <v>57</v>
      </c>
      <c r="L120">
        <v>366</v>
      </c>
      <c r="M120">
        <v>2017</v>
      </c>
      <c r="N120">
        <v>2017</v>
      </c>
      <c r="O120" s="1">
        <v>43091</v>
      </c>
      <c r="P120" s="1">
        <v>43058</v>
      </c>
      <c r="S120" t="s">
        <v>43</v>
      </c>
      <c r="W120">
        <v>1</v>
      </c>
      <c r="Z120">
        <v>0</v>
      </c>
    </row>
    <row r="121" spans="1:26" x14ac:dyDescent="0.3">
      <c r="A121">
        <v>31804249</v>
      </c>
      <c r="B121" t="s">
        <v>425</v>
      </c>
      <c r="C121" t="s">
        <v>426</v>
      </c>
      <c r="D121" t="s">
        <v>427</v>
      </c>
      <c r="F121" t="str">
        <f>""</f>
        <v/>
      </c>
      <c r="G121" t="str">
        <f>""</f>
        <v/>
      </c>
      <c r="H121">
        <v>0</v>
      </c>
      <c r="I121">
        <v>4.0599999999999996</v>
      </c>
      <c r="J121" t="s">
        <v>428</v>
      </c>
      <c r="K121" t="s">
        <v>57</v>
      </c>
      <c r="L121">
        <v>302</v>
      </c>
      <c r="M121">
        <v>2016</v>
      </c>
      <c r="N121">
        <v>2012</v>
      </c>
      <c r="P121" s="1">
        <v>43089</v>
      </c>
      <c r="Q121" t="s">
        <v>36</v>
      </c>
      <c r="R121" t="s">
        <v>429</v>
      </c>
      <c r="S121" t="s">
        <v>36</v>
      </c>
      <c r="W121">
        <v>0</v>
      </c>
      <c r="Z121">
        <v>0</v>
      </c>
    </row>
    <row r="122" spans="1:26" x14ac:dyDescent="0.3">
      <c r="A122">
        <v>30329711</v>
      </c>
      <c r="B122" t="s">
        <v>430</v>
      </c>
      <c r="C122" t="s">
        <v>431</v>
      </c>
      <c r="D122" t="s">
        <v>432</v>
      </c>
      <c r="F122" t="str">
        <f>""</f>
        <v/>
      </c>
      <c r="G122" t="str">
        <f>""</f>
        <v/>
      </c>
      <c r="H122">
        <v>3</v>
      </c>
      <c r="I122">
        <v>4.2</v>
      </c>
      <c r="K122" t="s">
        <v>57</v>
      </c>
      <c r="L122">
        <v>462</v>
      </c>
      <c r="M122">
        <v>2016</v>
      </c>
      <c r="O122" s="1">
        <v>43056</v>
      </c>
      <c r="P122" s="1">
        <v>43006</v>
      </c>
      <c r="S122" t="s">
        <v>43</v>
      </c>
      <c r="W122">
        <v>1</v>
      </c>
      <c r="Z122">
        <v>0</v>
      </c>
    </row>
    <row r="123" spans="1:26" x14ac:dyDescent="0.3">
      <c r="A123">
        <v>23524779</v>
      </c>
      <c r="B123" t="s">
        <v>433</v>
      </c>
      <c r="C123" t="s">
        <v>434</v>
      </c>
      <c r="D123" t="s">
        <v>435</v>
      </c>
      <c r="F123" t="str">
        <f>"1447272676"</f>
        <v>1447272676</v>
      </c>
      <c r="G123" t="str">
        <f>"9780230770034"</f>
        <v>9780230770034</v>
      </c>
      <c r="H123">
        <v>0</v>
      </c>
      <c r="I123">
        <v>4.1500000000000004</v>
      </c>
      <c r="J123" t="s">
        <v>436</v>
      </c>
      <c r="K123" t="s">
        <v>102</v>
      </c>
      <c r="L123">
        <v>658</v>
      </c>
      <c r="M123">
        <v>2015</v>
      </c>
      <c r="N123">
        <v>2015</v>
      </c>
      <c r="P123" s="1">
        <v>43042</v>
      </c>
      <c r="Q123" t="s">
        <v>36</v>
      </c>
      <c r="R123" t="s">
        <v>437</v>
      </c>
      <c r="S123" t="s">
        <v>36</v>
      </c>
      <c r="W123">
        <v>0</v>
      </c>
      <c r="Z123">
        <v>0</v>
      </c>
    </row>
    <row r="124" spans="1:26" x14ac:dyDescent="0.3">
      <c r="A124">
        <v>17888374</v>
      </c>
      <c r="B124" t="s">
        <v>438</v>
      </c>
      <c r="C124" t="s">
        <v>439</v>
      </c>
      <c r="D124" t="s">
        <v>440</v>
      </c>
      <c r="F124" t="str">
        <f>"0425269647"</f>
        <v>0425269647</v>
      </c>
      <c r="G124" t="str">
        <f>"9780425269640"</f>
        <v>9780425269640</v>
      </c>
      <c r="H124">
        <v>0</v>
      </c>
      <c r="I124">
        <v>3.64</v>
      </c>
      <c r="J124" t="s">
        <v>175</v>
      </c>
      <c r="K124" t="s">
        <v>257</v>
      </c>
      <c r="L124">
        <v>402</v>
      </c>
      <c r="M124">
        <v>2015</v>
      </c>
      <c r="N124">
        <v>2015</v>
      </c>
      <c r="P124" s="1">
        <v>43042</v>
      </c>
      <c r="Q124" t="s">
        <v>36</v>
      </c>
      <c r="R124" t="s">
        <v>441</v>
      </c>
      <c r="S124" t="s">
        <v>36</v>
      </c>
      <c r="W124">
        <v>0</v>
      </c>
      <c r="Z124">
        <v>0</v>
      </c>
    </row>
    <row r="125" spans="1:26" x14ac:dyDescent="0.3">
      <c r="A125">
        <v>25342750</v>
      </c>
      <c r="B125" t="s">
        <v>442</v>
      </c>
      <c r="C125" t="s">
        <v>443</v>
      </c>
      <c r="D125" t="s">
        <v>444</v>
      </c>
      <c r="E125" t="s">
        <v>445</v>
      </c>
      <c r="F125" t="str">
        <f>""</f>
        <v/>
      </c>
      <c r="G125" t="str">
        <f>""</f>
        <v/>
      </c>
      <c r="H125">
        <v>0</v>
      </c>
      <c r="I125">
        <v>4.2</v>
      </c>
      <c r="J125" t="s">
        <v>446</v>
      </c>
      <c r="K125" t="s">
        <v>57</v>
      </c>
      <c r="L125">
        <v>270</v>
      </c>
      <c r="M125">
        <v>2015</v>
      </c>
      <c r="N125">
        <v>2012</v>
      </c>
      <c r="P125" s="1">
        <v>43037</v>
      </c>
      <c r="Q125" t="s">
        <v>36</v>
      </c>
      <c r="R125" t="s">
        <v>447</v>
      </c>
      <c r="S125" t="s">
        <v>36</v>
      </c>
      <c r="W125">
        <v>0</v>
      </c>
      <c r="Z125">
        <v>0</v>
      </c>
    </row>
    <row r="126" spans="1:26" x14ac:dyDescent="0.3">
      <c r="A126">
        <v>22500562</v>
      </c>
      <c r="B126" t="s">
        <v>448</v>
      </c>
      <c r="C126" t="s">
        <v>449</v>
      </c>
      <c r="D126" t="s">
        <v>450</v>
      </c>
      <c r="F126" t="str">
        <f>""</f>
        <v/>
      </c>
      <c r="G126" t="str">
        <f>""</f>
        <v/>
      </c>
      <c r="H126">
        <v>0</v>
      </c>
      <c r="I126">
        <v>4.0999999999999996</v>
      </c>
      <c r="K126" t="s">
        <v>57</v>
      </c>
      <c r="L126">
        <v>239</v>
      </c>
      <c r="M126">
        <v>2014</v>
      </c>
      <c r="N126">
        <v>2014</v>
      </c>
      <c r="P126" s="1">
        <v>43037</v>
      </c>
      <c r="Q126" t="s">
        <v>36</v>
      </c>
      <c r="R126" t="s">
        <v>451</v>
      </c>
      <c r="S126" t="s">
        <v>36</v>
      </c>
      <c r="W126">
        <v>0</v>
      </c>
      <c r="Z126">
        <v>0</v>
      </c>
    </row>
    <row r="127" spans="1:26" x14ac:dyDescent="0.3">
      <c r="A127">
        <v>28385685</v>
      </c>
      <c r="B127" t="s">
        <v>452</v>
      </c>
      <c r="C127" t="s">
        <v>453</v>
      </c>
      <c r="D127" t="s">
        <v>454</v>
      </c>
      <c r="F127" t="str">
        <f>""</f>
        <v/>
      </c>
      <c r="G127" t="str">
        <f>""</f>
        <v/>
      </c>
      <c r="H127">
        <v>0</v>
      </c>
      <c r="I127">
        <v>4.24</v>
      </c>
      <c r="J127" t="s">
        <v>453</v>
      </c>
      <c r="K127" t="s">
        <v>57</v>
      </c>
      <c r="L127">
        <v>483</v>
      </c>
      <c r="M127">
        <v>2015</v>
      </c>
      <c r="N127">
        <v>2015</v>
      </c>
      <c r="P127" s="1">
        <v>43037</v>
      </c>
      <c r="Q127" t="s">
        <v>36</v>
      </c>
      <c r="R127" t="s">
        <v>455</v>
      </c>
      <c r="S127" t="s">
        <v>36</v>
      </c>
      <c r="W127">
        <v>0</v>
      </c>
      <c r="Z127">
        <v>0</v>
      </c>
    </row>
    <row r="128" spans="1:26" x14ac:dyDescent="0.3">
      <c r="A128">
        <v>28182262</v>
      </c>
      <c r="B128" t="s">
        <v>456</v>
      </c>
      <c r="C128" t="s">
        <v>457</v>
      </c>
      <c r="D128" t="s">
        <v>458</v>
      </c>
      <c r="F128" t="str">
        <f>""</f>
        <v/>
      </c>
      <c r="G128" t="str">
        <f>""</f>
        <v/>
      </c>
      <c r="H128">
        <v>0</v>
      </c>
      <c r="I128">
        <v>4.13</v>
      </c>
      <c r="J128" t="s">
        <v>459</v>
      </c>
      <c r="K128" t="s">
        <v>57</v>
      </c>
      <c r="L128">
        <v>282</v>
      </c>
      <c r="M128">
        <v>2015</v>
      </c>
      <c r="N128">
        <v>2015</v>
      </c>
      <c r="P128" s="1">
        <v>43037</v>
      </c>
      <c r="Q128" t="s">
        <v>36</v>
      </c>
      <c r="R128" t="s">
        <v>460</v>
      </c>
      <c r="S128" t="s">
        <v>36</v>
      </c>
      <c r="W128">
        <v>0</v>
      </c>
      <c r="Z128">
        <v>0</v>
      </c>
    </row>
    <row r="129" spans="1:26" x14ac:dyDescent="0.3">
      <c r="A129">
        <v>18122</v>
      </c>
      <c r="B129" t="s">
        <v>461</v>
      </c>
      <c r="C129" t="s">
        <v>462</v>
      </c>
      <c r="D129" t="s">
        <v>463</v>
      </c>
      <c r="F129" t="str">
        <f>"0440238153"</f>
        <v>0440238153</v>
      </c>
      <c r="G129" t="str">
        <f>"9780440238157"</f>
        <v>9780440238157</v>
      </c>
      <c r="H129">
        <v>3</v>
      </c>
      <c r="I129">
        <v>4.09</v>
      </c>
      <c r="J129" t="s">
        <v>464</v>
      </c>
      <c r="K129" t="s">
        <v>257</v>
      </c>
      <c r="L129">
        <v>465</v>
      </c>
      <c r="M129">
        <v>2003</v>
      </c>
      <c r="N129">
        <v>2000</v>
      </c>
      <c r="P129" s="1">
        <v>43007</v>
      </c>
      <c r="S129" t="s">
        <v>43</v>
      </c>
      <c r="W129">
        <v>1</v>
      </c>
      <c r="Z129">
        <v>0</v>
      </c>
    </row>
    <row r="130" spans="1:26" x14ac:dyDescent="0.3">
      <c r="A130">
        <v>119324</v>
      </c>
      <c r="B130" t="s">
        <v>465</v>
      </c>
      <c r="C130" t="s">
        <v>462</v>
      </c>
      <c r="D130" t="s">
        <v>463</v>
      </c>
      <c r="F130" t="str">
        <f>"0679879250"</f>
        <v>0679879250</v>
      </c>
      <c r="G130" t="str">
        <f>"9780679879251"</f>
        <v>9780679879251</v>
      </c>
      <c r="H130">
        <v>3</v>
      </c>
      <c r="I130">
        <v>4.1399999999999997</v>
      </c>
      <c r="J130" t="s">
        <v>466</v>
      </c>
      <c r="K130" t="s">
        <v>42</v>
      </c>
      <c r="L130">
        <v>326</v>
      </c>
      <c r="M130">
        <v>1997</v>
      </c>
      <c r="N130">
        <v>1997</v>
      </c>
      <c r="P130" s="1">
        <v>43007</v>
      </c>
      <c r="S130" t="s">
        <v>43</v>
      </c>
      <c r="W130">
        <v>1</v>
      </c>
      <c r="Z130">
        <v>0</v>
      </c>
    </row>
    <row r="131" spans="1:26" x14ac:dyDescent="0.3">
      <c r="A131">
        <v>32283133</v>
      </c>
      <c r="B131" t="s">
        <v>467</v>
      </c>
      <c r="C131" t="s">
        <v>468</v>
      </c>
      <c r="D131" t="s">
        <v>469</v>
      </c>
      <c r="F131" t="str">
        <f>"0385514239"</f>
        <v>0385514239</v>
      </c>
      <c r="G131" t="str">
        <f>"9780385514231"</f>
        <v>9780385514231</v>
      </c>
      <c r="H131">
        <v>0</v>
      </c>
      <c r="I131">
        <v>3.88</v>
      </c>
      <c r="J131" t="s">
        <v>470</v>
      </c>
      <c r="K131" t="s">
        <v>42</v>
      </c>
      <c r="L131">
        <v>456</v>
      </c>
      <c r="M131">
        <v>2017</v>
      </c>
      <c r="N131">
        <v>2017</v>
      </c>
      <c r="P131" s="1">
        <v>43007</v>
      </c>
      <c r="Q131" t="s">
        <v>36</v>
      </c>
      <c r="R131" t="s">
        <v>471</v>
      </c>
      <c r="S131" t="s">
        <v>36</v>
      </c>
      <c r="W131">
        <v>0</v>
      </c>
      <c r="Z131">
        <v>0</v>
      </c>
    </row>
    <row r="132" spans="1:26" x14ac:dyDescent="0.3">
      <c r="A132">
        <v>29936142</v>
      </c>
      <c r="B132" t="s">
        <v>472</v>
      </c>
      <c r="C132" t="s">
        <v>431</v>
      </c>
      <c r="D132" t="s">
        <v>432</v>
      </c>
      <c r="F132" t="str">
        <f>""</f>
        <v/>
      </c>
      <c r="G132" t="str">
        <f>""</f>
        <v/>
      </c>
      <c r="H132">
        <v>3</v>
      </c>
      <c r="I132">
        <v>4.0199999999999996</v>
      </c>
      <c r="K132" t="s">
        <v>57</v>
      </c>
      <c r="L132">
        <v>461</v>
      </c>
      <c r="M132">
        <v>2016</v>
      </c>
      <c r="N132">
        <v>2016</v>
      </c>
      <c r="O132" s="1">
        <v>43002</v>
      </c>
      <c r="P132" s="1">
        <v>42965</v>
      </c>
      <c r="S132" t="s">
        <v>43</v>
      </c>
      <c r="W132">
        <v>1</v>
      </c>
      <c r="Z132">
        <v>0</v>
      </c>
    </row>
    <row r="133" spans="1:26" x14ac:dyDescent="0.3">
      <c r="A133">
        <v>29940794</v>
      </c>
      <c r="B133" t="s">
        <v>473</v>
      </c>
      <c r="C133" t="s">
        <v>474</v>
      </c>
      <c r="D133" t="s">
        <v>475</v>
      </c>
      <c r="F133" t="str">
        <f>""</f>
        <v/>
      </c>
      <c r="G133" t="str">
        <f>""</f>
        <v/>
      </c>
      <c r="H133">
        <v>0</v>
      </c>
      <c r="I133">
        <v>4.0199999999999996</v>
      </c>
      <c r="J133" t="s">
        <v>476</v>
      </c>
      <c r="K133" t="s">
        <v>57</v>
      </c>
      <c r="L133">
        <v>228</v>
      </c>
      <c r="M133">
        <v>2016</v>
      </c>
      <c r="N133">
        <v>2016</v>
      </c>
      <c r="P133" s="1">
        <v>42996</v>
      </c>
      <c r="Q133" t="s">
        <v>36</v>
      </c>
      <c r="R133" t="s">
        <v>477</v>
      </c>
      <c r="S133" t="s">
        <v>36</v>
      </c>
      <c r="W133">
        <v>0</v>
      </c>
      <c r="Z133">
        <v>0</v>
      </c>
    </row>
    <row r="134" spans="1:26" x14ac:dyDescent="0.3">
      <c r="A134">
        <v>17554595</v>
      </c>
      <c r="B134" t="s">
        <v>478</v>
      </c>
      <c r="C134" t="s">
        <v>479</v>
      </c>
      <c r="D134" t="s">
        <v>480</v>
      </c>
      <c r="F134" t="str">
        <f>"1482590956"</f>
        <v>1482590956</v>
      </c>
      <c r="G134" t="str">
        <f>"9781482590951"</f>
        <v>9781482590951</v>
      </c>
      <c r="H134">
        <v>0</v>
      </c>
      <c r="I134">
        <v>4.1500000000000004</v>
      </c>
      <c r="J134" t="s">
        <v>335</v>
      </c>
      <c r="K134" t="s">
        <v>102</v>
      </c>
      <c r="L134">
        <v>361</v>
      </c>
      <c r="M134">
        <v>2013</v>
      </c>
      <c r="N134">
        <v>2013</v>
      </c>
      <c r="P134" s="1">
        <v>42996</v>
      </c>
      <c r="Q134" t="s">
        <v>36</v>
      </c>
      <c r="R134" t="s">
        <v>481</v>
      </c>
      <c r="S134" t="s">
        <v>36</v>
      </c>
      <c r="W134">
        <v>0</v>
      </c>
      <c r="Z134">
        <v>0</v>
      </c>
    </row>
    <row r="135" spans="1:26" x14ac:dyDescent="0.3">
      <c r="A135">
        <v>7165300</v>
      </c>
      <c r="B135" t="s">
        <v>482</v>
      </c>
      <c r="C135" t="s">
        <v>483</v>
      </c>
      <c r="D135" t="s">
        <v>484</v>
      </c>
      <c r="F135" t="str">
        <f>"0316075558"</f>
        <v>0316075558</v>
      </c>
      <c r="G135" t="str">
        <f>"9780316075558"</f>
        <v>9780316075558</v>
      </c>
      <c r="H135">
        <v>0</v>
      </c>
      <c r="I135">
        <v>4.22</v>
      </c>
      <c r="J135" t="s">
        <v>205</v>
      </c>
      <c r="K135" t="s">
        <v>42</v>
      </c>
      <c r="L135">
        <v>629</v>
      </c>
      <c r="M135">
        <v>2010</v>
      </c>
      <c r="N135">
        <v>2010</v>
      </c>
      <c r="P135" s="1">
        <v>42990</v>
      </c>
      <c r="Q135" t="s">
        <v>36</v>
      </c>
      <c r="R135" t="s">
        <v>485</v>
      </c>
      <c r="S135" t="s">
        <v>36</v>
      </c>
      <c r="W135">
        <v>0</v>
      </c>
      <c r="Z135">
        <v>0</v>
      </c>
    </row>
    <row r="136" spans="1:26" x14ac:dyDescent="0.3">
      <c r="A136">
        <v>35506021</v>
      </c>
      <c r="B136" t="s">
        <v>486</v>
      </c>
      <c r="C136" t="s">
        <v>60</v>
      </c>
      <c r="D136" t="s">
        <v>61</v>
      </c>
      <c r="F136" t="str">
        <f>""</f>
        <v/>
      </c>
      <c r="G136" t="str">
        <f>""</f>
        <v/>
      </c>
      <c r="H136">
        <v>4</v>
      </c>
      <c r="I136">
        <v>4.41</v>
      </c>
      <c r="J136" t="s">
        <v>487</v>
      </c>
      <c r="K136" t="s">
        <v>57</v>
      </c>
      <c r="L136">
        <v>260</v>
      </c>
      <c r="M136">
        <v>2017</v>
      </c>
      <c r="N136">
        <v>2017</v>
      </c>
      <c r="O136" s="1">
        <v>42981</v>
      </c>
      <c r="P136" s="1">
        <v>42802</v>
      </c>
      <c r="S136" t="s">
        <v>43</v>
      </c>
      <c r="W136">
        <v>1</v>
      </c>
      <c r="Z136">
        <v>0</v>
      </c>
    </row>
    <row r="137" spans="1:26" x14ac:dyDescent="0.3">
      <c r="A137">
        <v>33395557</v>
      </c>
      <c r="B137" t="s">
        <v>488</v>
      </c>
      <c r="C137" t="s">
        <v>60</v>
      </c>
      <c r="D137" t="s">
        <v>61</v>
      </c>
      <c r="E137" t="s">
        <v>62</v>
      </c>
      <c r="F137" t="str">
        <f>""</f>
        <v/>
      </c>
      <c r="G137" t="str">
        <f>""</f>
        <v/>
      </c>
      <c r="H137">
        <v>4</v>
      </c>
      <c r="I137">
        <v>4.37</v>
      </c>
      <c r="J137" t="s">
        <v>63</v>
      </c>
      <c r="K137" t="s">
        <v>102</v>
      </c>
      <c r="L137">
        <v>320</v>
      </c>
      <c r="M137">
        <v>2017</v>
      </c>
      <c r="N137">
        <v>2017</v>
      </c>
      <c r="O137" s="1">
        <v>42979</v>
      </c>
      <c r="P137" s="1">
        <v>42802</v>
      </c>
      <c r="S137" t="s">
        <v>43</v>
      </c>
      <c r="W137">
        <v>1</v>
      </c>
      <c r="Z137">
        <v>0</v>
      </c>
    </row>
    <row r="138" spans="1:26" x14ac:dyDescent="0.3">
      <c r="A138">
        <v>16119044</v>
      </c>
      <c r="B138" t="s">
        <v>489</v>
      </c>
      <c r="C138" t="s">
        <v>99</v>
      </c>
      <c r="D138" t="s">
        <v>100</v>
      </c>
      <c r="F138" t="str">
        <f>"0007512392"</f>
        <v>0007512392</v>
      </c>
      <c r="G138" t="str">
        <f>"9780007512393"</f>
        <v>9780007512393</v>
      </c>
      <c r="H138">
        <v>4</v>
      </c>
      <c r="I138">
        <v>4.34</v>
      </c>
      <c r="J138" t="s">
        <v>490</v>
      </c>
      <c r="K138" t="s">
        <v>35</v>
      </c>
      <c r="L138">
        <v>288</v>
      </c>
      <c r="M138">
        <v>2013</v>
      </c>
      <c r="N138">
        <v>2013</v>
      </c>
      <c r="O138" s="1">
        <v>42974</v>
      </c>
      <c r="P138" s="1">
        <v>42952</v>
      </c>
      <c r="S138" t="s">
        <v>43</v>
      </c>
      <c r="W138">
        <v>1</v>
      </c>
      <c r="Z138">
        <v>0</v>
      </c>
    </row>
    <row r="139" spans="1:26" x14ac:dyDescent="0.3">
      <c r="A139">
        <v>29564630</v>
      </c>
      <c r="B139" t="s">
        <v>491</v>
      </c>
      <c r="C139" t="s">
        <v>99</v>
      </c>
      <c r="D139" t="s">
        <v>100</v>
      </c>
      <c r="F139" t="str">
        <f>"0008157103"</f>
        <v>0008157103</v>
      </c>
      <c r="G139" t="str">
        <f>"9780008157104"</f>
        <v>9780008157104</v>
      </c>
      <c r="H139">
        <v>3</v>
      </c>
      <c r="I139">
        <v>4.13</v>
      </c>
      <c r="J139" t="s">
        <v>490</v>
      </c>
      <c r="K139" t="s">
        <v>42</v>
      </c>
      <c r="L139">
        <v>364</v>
      </c>
      <c r="M139">
        <v>2016</v>
      </c>
      <c r="N139">
        <v>2016</v>
      </c>
      <c r="O139" s="1">
        <v>42965</v>
      </c>
      <c r="P139" s="1">
        <v>42961</v>
      </c>
      <c r="S139" t="s">
        <v>43</v>
      </c>
      <c r="W139">
        <v>1</v>
      </c>
      <c r="Z139">
        <v>0</v>
      </c>
    </row>
    <row r="140" spans="1:26" x14ac:dyDescent="0.3">
      <c r="A140">
        <v>26791238</v>
      </c>
      <c r="B140" t="s">
        <v>492</v>
      </c>
      <c r="C140" t="s">
        <v>99</v>
      </c>
      <c r="D140" t="s">
        <v>100</v>
      </c>
      <c r="F140" t="str">
        <f>"0008156980"</f>
        <v>0008156980</v>
      </c>
      <c r="G140" t="str">
        <f>"9780008156985"</f>
        <v>9780008156985</v>
      </c>
      <c r="H140">
        <v>3</v>
      </c>
      <c r="I140">
        <v>3.98</v>
      </c>
      <c r="J140" t="s">
        <v>493</v>
      </c>
      <c r="K140" t="s">
        <v>42</v>
      </c>
      <c r="L140">
        <v>460</v>
      </c>
      <c r="M140">
        <v>2016</v>
      </c>
      <c r="N140">
        <v>2016</v>
      </c>
      <c r="O140" s="1">
        <v>42960</v>
      </c>
      <c r="P140" s="1">
        <v>42958</v>
      </c>
      <c r="S140" t="s">
        <v>43</v>
      </c>
      <c r="W140">
        <v>1</v>
      </c>
      <c r="Z140">
        <v>0</v>
      </c>
    </row>
    <row r="141" spans="1:26" x14ac:dyDescent="0.3">
      <c r="A141">
        <v>23253921</v>
      </c>
      <c r="B141" t="s">
        <v>494</v>
      </c>
      <c r="C141" t="s">
        <v>99</v>
      </c>
      <c r="D141" t="s">
        <v>100</v>
      </c>
      <c r="F141" t="str">
        <f>""</f>
        <v/>
      </c>
      <c r="G141" t="str">
        <f>""</f>
        <v/>
      </c>
      <c r="H141">
        <v>3</v>
      </c>
      <c r="I141">
        <v>4.01</v>
      </c>
      <c r="J141" t="s">
        <v>495</v>
      </c>
      <c r="K141" t="s">
        <v>42</v>
      </c>
      <c r="L141">
        <v>507</v>
      </c>
      <c r="M141">
        <v>2015</v>
      </c>
      <c r="N141">
        <v>2015</v>
      </c>
      <c r="O141" s="1">
        <v>42957</v>
      </c>
      <c r="P141" s="1">
        <v>42953</v>
      </c>
      <c r="S141" t="s">
        <v>43</v>
      </c>
      <c r="W141">
        <v>1</v>
      </c>
      <c r="Z141">
        <v>0</v>
      </c>
    </row>
    <row r="142" spans="1:26" x14ac:dyDescent="0.3">
      <c r="A142">
        <v>18809484</v>
      </c>
      <c r="B142" t="s">
        <v>496</v>
      </c>
      <c r="C142" t="s">
        <v>99</v>
      </c>
      <c r="D142" t="s">
        <v>100</v>
      </c>
      <c r="F142" t="str">
        <f>"000756211X"</f>
        <v>000756211X</v>
      </c>
      <c r="G142" t="str">
        <f>"9780007562114"</f>
        <v>9780007562114</v>
      </c>
      <c r="H142">
        <v>4</v>
      </c>
      <c r="I142">
        <v>4.4000000000000004</v>
      </c>
      <c r="J142" t="s">
        <v>490</v>
      </c>
      <c r="K142" t="s">
        <v>102</v>
      </c>
      <c r="L142">
        <v>480</v>
      </c>
      <c r="M142">
        <v>2014</v>
      </c>
      <c r="N142">
        <v>2014</v>
      </c>
      <c r="O142" s="1">
        <v>42953</v>
      </c>
      <c r="P142" s="1">
        <v>42947</v>
      </c>
      <c r="S142" t="s">
        <v>43</v>
      </c>
      <c r="W142">
        <v>1</v>
      </c>
      <c r="Z142">
        <v>0</v>
      </c>
    </row>
    <row r="143" spans="1:26" x14ac:dyDescent="0.3">
      <c r="A143">
        <v>33617257</v>
      </c>
      <c r="B143" t="s">
        <v>497</v>
      </c>
      <c r="C143" t="s">
        <v>99</v>
      </c>
      <c r="D143" t="s">
        <v>100</v>
      </c>
      <c r="F143" t="str">
        <f>""</f>
        <v/>
      </c>
      <c r="G143" t="str">
        <f>""</f>
        <v/>
      </c>
      <c r="H143">
        <v>4</v>
      </c>
      <c r="I143">
        <v>4.34</v>
      </c>
      <c r="J143" t="s">
        <v>498</v>
      </c>
      <c r="K143" t="s">
        <v>57</v>
      </c>
      <c r="L143">
        <v>433</v>
      </c>
      <c r="M143">
        <v>2017</v>
      </c>
      <c r="N143">
        <v>2017</v>
      </c>
      <c r="O143" s="1">
        <v>42946</v>
      </c>
      <c r="P143" s="1">
        <v>42945</v>
      </c>
      <c r="S143" t="s">
        <v>43</v>
      </c>
      <c r="W143">
        <v>1</v>
      </c>
      <c r="Z143">
        <v>0</v>
      </c>
    </row>
    <row r="144" spans="1:26" x14ac:dyDescent="0.3">
      <c r="A144">
        <v>18131799</v>
      </c>
      <c r="B144" t="s">
        <v>499</v>
      </c>
      <c r="C144" t="s">
        <v>99</v>
      </c>
      <c r="D144" t="s">
        <v>100</v>
      </c>
      <c r="F144" t="str">
        <f>"0007489250"</f>
        <v>0007489250</v>
      </c>
      <c r="G144" t="str">
        <f>"9780007489251"</f>
        <v>9780007489251</v>
      </c>
      <c r="H144">
        <v>5</v>
      </c>
      <c r="I144">
        <v>4.6100000000000003</v>
      </c>
      <c r="J144" t="s">
        <v>490</v>
      </c>
      <c r="K144" t="s">
        <v>42</v>
      </c>
      <c r="L144">
        <v>605</v>
      </c>
      <c r="M144">
        <v>2014</v>
      </c>
      <c r="N144">
        <v>2014</v>
      </c>
      <c r="O144" s="1">
        <v>42940</v>
      </c>
      <c r="P144" s="1">
        <v>42935</v>
      </c>
      <c r="S144" t="s">
        <v>43</v>
      </c>
      <c r="W144">
        <v>1</v>
      </c>
      <c r="Z144">
        <v>0</v>
      </c>
    </row>
    <row r="145" spans="1:26" x14ac:dyDescent="0.3">
      <c r="A145">
        <v>16123975</v>
      </c>
      <c r="B145" t="s">
        <v>500</v>
      </c>
      <c r="C145" t="s">
        <v>99</v>
      </c>
      <c r="D145" t="s">
        <v>100</v>
      </c>
      <c r="F145" t="str">
        <f>"000748920X"</f>
        <v>000748920X</v>
      </c>
      <c r="G145" t="str">
        <f>"9780007489206"</f>
        <v>9780007489206</v>
      </c>
      <c r="H145">
        <v>4</v>
      </c>
      <c r="I145">
        <v>4.59</v>
      </c>
      <c r="J145" t="s">
        <v>490</v>
      </c>
      <c r="K145" t="s">
        <v>42</v>
      </c>
      <c r="L145">
        <v>604</v>
      </c>
      <c r="M145">
        <v>2013</v>
      </c>
      <c r="N145">
        <v>2013</v>
      </c>
      <c r="O145" s="1">
        <v>42935</v>
      </c>
      <c r="P145" s="1">
        <v>42933</v>
      </c>
      <c r="S145" t="s">
        <v>43</v>
      </c>
      <c r="W145">
        <v>1</v>
      </c>
      <c r="Z145">
        <v>0</v>
      </c>
    </row>
    <row r="146" spans="1:26" x14ac:dyDescent="0.3">
      <c r="A146">
        <v>13541180</v>
      </c>
      <c r="B146" t="s">
        <v>501</v>
      </c>
      <c r="C146" t="s">
        <v>99</v>
      </c>
      <c r="D146" t="s">
        <v>100</v>
      </c>
      <c r="F146" t="str">
        <f>""</f>
        <v/>
      </c>
      <c r="G146" t="str">
        <f>""</f>
        <v/>
      </c>
      <c r="H146">
        <v>5</v>
      </c>
      <c r="I146">
        <v>4.49</v>
      </c>
      <c r="J146" t="s">
        <v>490</v>
      </c>
      <c r="K146" t="s">
        <v>57</v>
      </c>
      <c r="L146">
        <v>609</v>
      </c>
      <c r="M146">
        <v>2012</v>
      </c>
      <c r="N146">
        <v>2012</v>
      </c>
      <c r="O146" s="1">
        <v>42932</v>
      </c>
      <c r="P146" s="1">
        <v>42929</v>
      </c>
      <c r="S146" t="s">
        <v>43</v>
      </c>
      <c r="W146">
        <v>1</v>
      </c>
      <c r="Z146">
        <v>0</v>
      </c>
    </row>
    <row r="147" spans="1:26" x14ac:dyDescent="0.3">
      <c r="A147">
        <v>10221341</v>
      </c>
      <c r="B147" t="s">
        <v>502</v>
      </c>
      <c r="C147" t="s">
        <v>99</v>
      </c>
      <c r="D147" t="s">
        <v>100</v>
      </c>
      <c r="F147" t="str">
        <f>"0007426194"</f>
        <v>0007426194</v>
      </c>
      <c r="G147" t="str">
        <f>"9780007426195"</f>
        <v>9780007426195</v>
      </c>
      <c r="H147">
        <v>3</v>
      </c>
      <c r="I147">
        <v>4.4800000000000004</v>
      </c>
      <c r="J147" t="s">
        <v>503</v>
      </c>
      <c r="K147" t="s">
        <v>504</v>
      </c>
      <c r="L147">
        <v>609</v>
      </c>
      <c r="M147">
        <v>2011</v>
      </c>
      <c r="N147">
        <v>2011</v>
      </c>
      <c r="O147" s="1">
        <v>42929</v>
      </c>
      <c r="P147" s="1">
        <v>42924</v>
      </c>
      <c r="S147" t="s">
        <v>43</v>
      </c>
      <c r="W147">
        <v>1</v>
      </c>
      <c r="Z147">
        <v>0</v>
      </c>
    </row>
    <row r="148" spans="1:26" x14ac:dyDescent="0.3">
      <c r="A148">
        <v>8113344</v>
      </c>
      <c r="B148" t="s">
        <v>505</v>
      </c>
      <c r="C148" t="s">
        <v>99</v>
      </c>
      <c r="D148" t="s">
        <v>100</v>
      </c>
      <c r="F148" t="str">
        <f>"0007325983"</f>
        <v>0007325983</v>
      </c>
      <c r="G148" t="str">
        <f>"9780007325986"</f>
        <v>9780007325986</v>
      </c>
      <c r="H148">
        <v>4</v>
      </c>
      <c r="I148">
        <v>4.46</v>
      </c>
      <c r="J148" t="s">
        <v>495</v>
      </c>
      <c r="K148" t="s">
        <v>42</v>
      </c>
      <c r="L148">
        <v>604</v>
      </c>
      <c r="M148">
        <v>2010</v>
      </c>
      <c r="N148">
        <v>2010</v>
      </c>
      <c r="O148" s="1">
        <v>42923</v>
      </c>
      <c r="P148" s="1">
        <v>42916</v>
      </c>
      <c r="S148" t="s">
        <v>43</v>
      </c>
      <c r="W148">
        <v>1</v>
      </c>
      <c r="Z148">
        <v>0</v>
      </c>
    </row>
    <row r="149" spans="1:26" x14ac:dyDescent="0.3">
      <c r="A149">
        <v>18138189</v>
      </c>
      <c r="B149" t="s">
        <v>506</v>
      </c>
      <c r="C149" t="s">
        <v>364</v>
      </c>
      <c r="D149" t="s">
        <v>365</v>
      </c>
      <c r="F149" t="str">
        <f>"0425265625"</f>
        <v>0425265625</v>
      </c>
      <c r="G149" t="str">
        <f>"9780425265628"</f>
        <v>9780425265628</v>
      </c>
      <c r="H149">
        <v>4</v>
      </c>
      <c r="I149">
        <v>4.17</v>
      </c>
      <c r="J149" t="s">
        <v>507</v>
      </c>
      <c r="K149" t="s">
        <v>42</v>
      </c>
      <c r="L149">
        <v>602</v>
      </c>
      <c r="M149">
        <v>2014</v>
      </c>
      <c r="N149">
        <v>2014</v>
      </c>
      <c r="O149" s="1">
        <v>41850</v>
      </c>
      <c r="P149" s="1">
        <v>41836</v>
      </c>
      <c r="S149" t="s">
        <v>43</v>
      </c>
      <c r="W149">
        <v>1</v>
      </c>
      <c r="Z149">
        <v>0</v>
      </c>
    </row>
    <row r="150" spans="1:26" x14ac:dyDescent="0.3">
      <c r="A150">
        <v>26862220</v>
      </c>
      <c r="B150" t="s">
        <v>508</v>
      </c>
      <c r="C150" t="s">
        <v>364</v>
      </c>
      <c r="D150" t="s">
        <v>365</v>
      </c>
      <c r="F150" t="str">
        <f>""</f>
        <v/>
      </c>
      <c r="G150" t="str">
        <f>""</f>
        <v/>
      </c>
      <c r="H150">
        <v>0</v>
      </c>
      <c r="I150">
        <v>4.28</v>
      </c>
      <c r="K150" t="s">
        <v>57</v>
      </c>
      <c r="L150">
        <v>434</v>
      </c>
      <c r="M150">
        <v>2015</v>
      </c>
      <c r="N150">
        <v>2015</v>
      </c>
      <c r="P150" s="1">
        <v>42922</v>
      </c>
      <c r="Q150" t="s">
        <v>36</v>
      </c>
      <c r="R150" t="s">
        <v>509</v>
      </c>
      <c r="S150" t="s">
        <v>36</v>
      </c>
      <c r="W150">
        <v>0</v>
      </c>
      <c r="Z150">
        <v>0</v>
      </c>
    </row>
    <row r="151" spans="1:26" x14ac:dyDescent="0.3">
      <c r="A151">
        <v>7261549</v>
      </c>
      <c r="B151" t="s">
        <v>510</v>
      </c>
      <c r="C151" t="s">
        <v>99</v>
      </c>
      <c r="D151" t="s">
        <v>100</v>
      </c>
      <c r="F151" t="str">
        <f>"0007325940"</f>
        <v>0007325940</v>
      </c>
      <c r="G151" t="str">
        <f>"9780007325948"</f>
        <v>9780007325948</v>
      </c>
      <c r="H151">
        <v>3</v>
      </c>
      <c r="I151">
        <v>4.43</v>
      </c>
      <c r="J151" t="s">
        <v>511</v>
      </c>
      <c r="K151" t="s">
        <v>42</v>
      </c>
      <c r="L151">
        <v>415</v>
      </c>
      <c r="M151">
        <v>2010</v>
      </c>
      <c r="N151">
        <v>2010</v>
      </c>
      <c r="O151" s="1">
        <v>42916</v>
      </c>
      <c r="P151" s="1">
        <v>42907</v>
      </c>
      <c r="S151" t="s">
        <v>43</v>
      </c>
      <c r="W151">
        <v>1</v>
      </c>
      <c r="Z151">
        <v>0</v>
      </c>
    </row>
    <row r="152" spans="1:26" x14ac:dyDescent="0.3">
      <c r="A152">
        <v>32714413</v>
      </c>
      <c r="B152" t="s">
        <v>512</v>
      </c>
      <c r="C152" t="s">
        <v>200</v>
      </c>
      <c r="D152" t="s">
        <v>201</v>
      </c>
      <c r="F152" t="str">
        <f>"0399181733"</f>
        <v>0399181733</v>
      </c>
      <c r="G152" t="str">
        <f>"9780399181733"</f>
        <v>9780399181733</v>
      </c>
      <c r="H152">
        <v>0</v>
      </c>
      <c r="I152">
        <v>4.22</v>
      </c>
      <c r="J152" t="s">
        <v>223</v>
      </c>
      <c r="K152" t="s">
        <v>42</v>
      </c>
      <c r="L152">
        <v>235</v>
      </c>
      <c r="M152">
        <v>2017</v>
      </c>
      <c r="N152">
        <v>2017</v>
      </c>
      <c r="P152" s="1">
        <v>42914</v>
      </c>
      <c r="Q152" t="s">
        <v>36</v>
      </c>
      <c r="R152" t="s">
        <v>513</v>
      </c>
      <c r="S152" t="s">
        <v>36</v>
      </c>
      <c r="W152">
        <v>0</v>
      </c>
      <c r="Z152">
        <v>0</v>
      </c>
    </row>
    <row r="153" spans="1:26" x14ac:dyDescent="0.3">
      <c r="A153">
        <v>32610569</v>
      </c>
      <c r="B153" t="s">
        <v>514</v>
      </c>
      <c r="C153" t="s">
        <v>364</v>
      </c>
      <c r="D153" t="s">
        <v>365</v>
      </c>
      <c r="F153" t="str">
        <f>""</f>
        <v/>
      </c>
      <c r="G153" t="str">
        <f>""</f>
        <v/>
      </c>
      <c r="H153">
        <v>0</v>
      </c>
      <c r="I153">
        <v>4.1500000000000004</v>
      </c>
      <c r="J153" t="s">
        <v>205</v>
      </c>
      <c r="K153" t="s">
        <v>57</v>
      </c>
      <c r="L153">
        <v>576</v>
      </c>
      <c r="M153">
        <v>2017</v>
      </c>
      <c r="N153">
        <v>2017</v>
      </c>
      <c r="P153" s="1">
        <v>42914</v>
      </c>
      <c r="Q153" t="s">
        <v>36</v>
      </c>
      <c r="R153" t="s">
        <v>515</v>
      </c>
      <c r="S153" t="s">
        <v>36</v>
      </c>
      <c r="W153">
        <v>0</v>
      </c>
      <c r="Z153">
        <v>0</v>
      </c>
    </row>
    <row r="154" spans="1:26" x14ac:dyDescent="0.3">
      <c r="A154">
        <v>4893390</v>
      </c>
      <c r="B154" t="s">
        <v>516</v>
      </c>
      <c r="C154" t="s">
        <v>99</v>
      </c>
      <c r="D154" t="s">
        <v>100</v>
      </c>
      <c r="F154" t="str">
        <f>"0007302142"</f>
        <v>0007302142</v>
      </c>
      <c r="G154" t="str">
        <f>"9780007302147"</f>
        <v>9780007302147</v>
      </c>
      <c r="H154">
        <v>3</v>
      </c>
      <c r="I154">
        <v>4.4000000000000004</v>
      </c>
      <c r="J154" t="s">
        <v>495</v>
      </c>
      <c r="K154" t="s">
        <v>42</v>
      </c>
      <c r="L154">
        <v>395</v>
      </c>
      <c r="M154">
        <v>2009</v>
      </c>
      <c r="N154">
        <v>2008</v>
      </c>
      <c r="O154" s="1">
        <v>42902</v>
      </c>
      <c r="P154" s="1">
        <v>42897</v>
      </c>
      <c r="S154" t="s">
        <v>43</v>
      </c>
      <c r="W154">
        <v>1</v>
      </c>
      <c r="Z154">
        <v>0</v>
      </c>
    </row>
    <row r="155" spans="1:26" x14ac:dyDescent="0.3">
      <c r="A155">
        <v>2157243</v>
      </c>
      <c r="B155" t="s">
        <v>517</v>
      </c>
      <c r="C155" t="s">
        <v>99</v>
      </c>
      <c r="D155" t="s">
        <v>100</v>
      </c>
      <c r="F155" t="str">
        <f>"0061240885"</f>
        <v>0061240885</v>
      </c>
      <c r="G155" t="str">
        <f>"9780061240881"</f>
        <v>9780061240881</v>
      </c>
      <c r="H155">
        <v>3</v>
      </c>
      <c r="I155">
        <v>4.3</v>
      </c>
      <c r="J155" t="s">
        <v>518</v>
      </c>
      <c r="K155" t="s">
        <v>42</v>
      </c>
      <c r="L155">
        <v>389</v>
      </c>
      <c r="M155">
        <v>2008</v>
      </c>
      <c r="N155">
        <v>2008</v>
      </c>
      <c r="O155" s="1">
        <v>42897</v>
      </c>
      <c r="P155" s="1">
        <v>42891</v>
      </c>
      <c r="S155" t="s">
        <v>43</v>
      </c>
      <c r="W155">
        <v>1</v>
      </c>
      <c r="Z155">
        <v>0</v>
      </c>
    </row>
    <row r="156" spans="1:26" x14ac:dyDescent="0.3">
      <c r="A156">
        <v>284440</v>
      </c>
      <c r="B156" t="s">
        <v>519</v>
      </c>
      <c r="C156" t="s">
        <v>99</v>
      </c>
      <c r="D156" t="s">
        <v>100</v>
      </c>
      <c r="E156" t="s">
        <v>520</v>
      </c>
      <c r="F156" t="str">
        <f>"0061231150"</f>
        <v>0061231150</v>
      </c>
      <c r="G156" t="str">
        <f>"9780061231155"</f>
        <v>9780061231155</v>
      </c>
      <c r="H156">
        <v>4</v>
      </c>
      <c r="I156">
        <v>4.16</v>
      </c>
      <c r="J156" t="s">
        <v>518</v>
      </c>
      <c r="K156" t="s">
        <v>42</v>
      </c>
      <c r="L156">
        <v>392</v>
      </c>
      <c r="M156">
        <v>2007</v>
      </c>
      <c r="N156">
        <v>2007</v>
      </c>
      <c r="O156" s="1">
        <v>42890</v>
      </c>
      <c r="P156" s="1">
        <v>42881</v>
      </c>
      <c r="S156" t="s">
        <v>43</v>
      </c>
      <c r="W156">
        <v>1</v>
      </c>
      <c r="Z156">
        <v>0</v>
      </c>
    </row>
    <row r="157" spans="1:26" x14ac:dyDescent="0.3">
      <c r="A157">
        <v>25367735</v>
      </c>
      <c r="B157" t="s">
        <v>521</v>
      </c>
      <c r="C157" t="s">
        <v>69</v>
      </c>
      <c r="D157" t="s">
        <v>70</v>
      </c>
      <c r="F157" t="str">
        <f>""</f>
        <v/>
      </c>
      <c r="G157" t="str">
        <f>""</f>
        <v/>
      </c>
      <c r="H157">
        <v>0</v>
      </c>
      <c r="I157">
        <v>4.24</v>
      </c>
      <c r="J157" t="s">
        <v>88</v>
      </c>
      <c r="K157" t="s">
        <v>57</v>
      </c>
      <c r="L157">
        <v>298</v>
      </c>
      <c r="M157">
        <v>2015</v>
      </c>
      <c r="N157">
        <v>2015</v>
      </c>
      <c r="P157" s="1">
        <v>42885</v>
      </c>
      <c r="Q157" t="s">
        <v>36</v>
      </c>
      <c r="R157" t="s">
        <v>522</v>
      </c>
      <c r="S157" t="s">
        <v>36</v>
      </c>
      <c r="W157">
        <v>0</v>
      </c>
      <c r="Z157">
        <v>0</v>
      </c>
    </row>
    <row r="158" spans="1:26" x14ac:dyDescent="0.3">
      <c r="A158">
        <v>34538192</v>
      </c>
      <c r="B158" t="s">
        <v>523</v>
      </c>
      <c r="C158" t="s">
        <v>69</v>
      </c>
      <c r="D158" t="s">
        <v>70</v>
      </c>
      <c r="F158" t="str">
        <f>""</f>
        <v/>
      </c>
      <c r="G158" t="str">
        <f>""</f>
        <v/>
      </c>
      <c r="H158">
        <v>4</v>
      </c>
      <c r="I158">
        <v>4.3499999999999996</v>
      </c>
      <c r="J158" t="s">
        <v>88</v>
      </c>
      <c r="K158" t="s">
        <v>57</v>
      </c>
      <c r="L158">
        <v>270</v>
      </c>
      <c r="M158">
        <v>2017</v>
      </c>
      <c r="N158">
        <v>2017</v>
      </c>
      <c r="O158" s="1">
        <v>42885</v>
      </c>
      <c r="P158" s="1">
        <v>42857</v>
      </c>
      <c r="S158" t="s">
        <v>43</v>
      </c>
      <c r="W158">
        <v>1</v>
      </c>
      <c r="Z158">
        <v>0</v>
      </c>
    </row>
    <row r="159" spans="1:26" x14ac:dyDescent="0.3">
      <c r="A159">
        <v>32056417</v>
      </c>
      <c r="B159" t="s">
        <v>524</v>
      </c>
      <c r="C159" t="s">
        <v>69</v>
      </c>
      <c r="D159" t="s">
        <v>70</v>
      </c>
      <c r="F159" t="str">
        <f>""</f>
        <v/>
      </c>
      <c r="G159" t="str">
        <f>""</f>
        <v/>
      </c>
      <c r="H159">
        <v>4</v>
      </c>
      <c r="I159">
        <v>4.33</v>
      </c>
      <c r="J159" t="s">
        <v>88</v>
      </c>
      <c r="K159" t="s">
        <v>57</v>
      </c>
      <c r="L159">
        <v>313</v>
      </c>
      <c r="M159">
        <v>2016</v>
      </c>
      <c r="N159">
        <v>2016</v>
      </c>
      <c r="O159" s="1">
        <v>42882</v>
      </c>
      <c r="P159" s="1">
        <v>42857</v>
      </c>
      <c r="S159" t="s">
        <v>43</v>
      </c>
      <c r="W159">
        <v>1</v>
      </c>
      <c r="Z159">
        <v>0</v>
      </c>
    </row>
    <row r="160" spans="1:26" x14ac:dyDescent="0.3">
      <c r="A160">
        <v>29420590</v>
      </c>
      <c r="B160" t="s">
        <v>525</v>
      </c>
      <c r="C160" t="s">
        <v>69</v>
      </c>
      <c r="D160" t="s">
        <v>70</v>
      </c>
      <c r="F160" t="str">
        <f>""</f>
        <v/>
      </c>
      <c r="G160" t="str">
        <f>""</f>
        <v/>
      </c>
      <c r="H160">
        <v>4</v>
      </c>
      <c r="I160">
        <v>4.3099999999999996</v>
      </c>
      <c r="J160" t="s">
        <v>279</v>
      </c>
      <c r="K160" t="s">
        <v>57</v>
      </c>
      <c r="L160">
        <v>310</v>
      </c>
      <c r="M160">
        <v>2016</v>
      </c>
      <c r="N160">
        <v>2016</v>
      </c>
      <c r="O160" s="1">
        <v>42881</v>
      </c>
      <c r="P160" s="1">
        <v>42876</v>
      </c>
      <c r="S160" t="s">
        <v>43</v>
      </c>
      <c r="W160">
        <v>1</v>
      </c>
      <c r="Z160">
        <v>0</v>
      </c>
    </row>
    <row r="161" spans="1:26" x14ac:dyDescent="0.3">
      <c r="A161">
        <v>26816562</v>
      </c>
      <c r="B161" t="s">
        <v>526</v>
      </c>
      <c r="C161" t="s">
        <v>69</v>
      </c>
      <c r="D161" t="s">
        <v>70</v>
      </c>
      <c r="F161" t="str">
        <f>""</f>
        <v/>
      </c>
      <c r="G161" t="str">
        <f>""</f>
        <v/>
      </c>
      <c r="H161">
        <v>4</v>
      </c>
      <c r="I161">
        <v>4.29</v>
      </c>
      <c r="J161" t="s">
        <v>527</v>
      </c>
      <c r="K161" t="s">
        <v>57</v>
      </c>
      <c r="L161">
        <v>279</v>
      </c>
      <c r="M161">
        <v>2015</v>
      </c>
      <c r="N161">
        <v>2015</v>
      </c>
      <c r="O161" s="1">
        <v>42864</v>
      </c>
      <c r="P161" s="1">
        <v>42857</v>
      </c>
      <c r="S161" t="s">
        <v>43</v>
      </c>
      <c r="W161">
        <v>1</v>
      </c>
      <c r="Z161">
        <v>0</v>
      </c>
    </row>
    <row r="162" spans="1:26" x14ac:dyDescent="0.3">
      <c r="A162">
        <v>34703445</v>
      </c>
      <c r="B162" t="s">
        <v>528</v>
      </c>
      <c r="C162" t="s">
        <v>45</v>
      </c>
      <c r="D162" t="s">
        <v>46</v>
      </c>
      <c r="F162" t="str">
        <f>"1250166543"</f>
        <v>1250166543</v>
      </c>
      <c r="G162" t="str">
        <f>"9781250166548"</f>
        <v>9781250166548</v>
      </c>
      <c r="H162">
        <v>0</v>
      </c>
      <c r="I162">
        <v>4.26</v>
      </c>
      <c r="J162" t="s">
        <v>56</v>
      </c>
      <c r="K162" t="s">
        <v>42</v>
      </c>
      <c r="L162">
        <v>272</v>
      </c>
      <c r="M162">
        <v>2017</v>
      </c>
      <c r="N162">
        <v>2017</v>
      </c>
      <c r="P162" s="1">
        <v>42876</v>
      </c>
      <c r="Q162" t="s">
        <v>36</v>
      </c>
      <c r="R162" t="s">
        <v>529</v>
      </c>
      <c r="S162" t="s">
        <v>36</v>
      </c>
      <c r="W162">
        <v>0</v>
      </c>
      <c r="Z162">
        <v>0</v>
      </c>
    </row>
    <row r="163" spans="1:26" x14ac:dyDescent="0.3">
      <c r="A163">
        <v>30688013</v>
      </c>
      <c r="B163" t="s">
        <v>530</v>
      </c>
      <c r="C163" t="s">
        <v>531</v>
      </c>
      <c r="D163" t="s">
        <v>532</v>
      </c>
      <c r="F163" t="str">
        <f>"0553392956"</f>
        <v>0553392956</v>
      </c>
      <c r="G163" t="str">
        <f>"9780553392951"</f>
        <v>9780553392951</v>
      </c>
      <c r="H163">
        <v>5</v>
      </c>
      <c r="I163">
        <v>4.6399999999999997</v>
      </c>
      <c r="J163" t="s">
        <v>223</v>
      </c>
      <c r="K163" t="s">
        <v>42</v>
      </c>
      <c r="L163">
        <v>847</v>
      </c>
      <c r="M163">
        <v>2017</v>
      </c>
      <c r="N163">
        <v>2017</v>
      </c>
      <c r="O163" s="1">
        <v>42876</v>
      </c>
      <c r="P163" s="1">
        <v>42869</v>
      </c>
      <c r="S163" t="s">
        <v>43</v>
      </c>
      <c r="W163">
        <v>1</v>
      </c>
      <c r="Z163">
        <v>0</v>
      </c>
    </row>
    <row r="164" spans="1:26" x14ac:dyDescent="0.3">
      <c r="A164">
        <v>34605782</v>
      </c>
      <c r="B164" t="s">
        <v>533</v>
      </c>
      <c r="C164" t="s">
        <v>534</v>
      </c>
      <c r="D164" t="s">
        <v>535</v>
      </c>
      <c r="F164" t="str">
        <f>""</f>
        <v/>
      </c>
      <c r="G164" t="str">
        <f>""</f>
        <v/>
      </c>
      <c r="H164">
        <v>0</v>
      </c>
      <c r="I164">
        <v>4.1900000000000004</v>
      </c>
      <c r="J164" t="s">
        <v>534</v>
      </c>
      <c r="K164" t="s">
        <v>57</v>
      </c>
      <c r="L164">
        <v>375</v>
      </c>
      <c r="M164">
        <v>2017</v>
      </c>
      <c r="N164">
        <v>2017</v>
      </c>
      <c r="P164" s="1">
        <v>42857</v>
      </c>
      <c r="Q164" t="s">
        <v>36</v>
      </c>
      <c r="R164" t="s">
        <v>536</v>
      </c>
      <c r="S164" t="s">
        <v>36</v>
      </c>
      <c r="W164">
        <v>0</v>
      </c>
      <c r="Z164">
        <v>0</v>
      </c>
    </row>
    <row r="165" spans="1:26" x14ac:dyDescent="0.3">
      <c r="A165">
        <v>32507304</v>
      </c>
      <c r="B165" t="s">
        <v>537</v>
      </c>
      <c r="C165" t="s">
        <v>105</v>
      </c>
      <c r="D165" t="s">
        <v>106</v>
      </c>
      <c r="F165" t="str">
        <f>""</f>
        <v/>
      </c>
      <c r="G165" t="str">
        <f>""</f>
        <v/>
      </c>
      <c r="H165">
        <v>0</v>
      </c>
      <c r="I165">
        <v>4.12</v>
      </c>
      <c r="K165" t="s">
        <v>57</v>
      </c>
      <c r="L165">
        <v>326</v>
      </c>
      <c r="M165">
        <v>2016</v>
      </c>
      <c r="N165">
        <v>2016</v>
      </c>
      <c r="P165" s="1">
        <v>42857</v>
      </c>
      <c r="Q165" t="s">
        <v>36</v>
      </c>
      <c r="R165" t="s">
        <v>538</v>
      </c>
      <c r="S165" t="s">
        <v>36</v>
      </c>
      <c r="W165">
        <v>0</v>
      </c>
      <c r="Z165">
        <v>0</v>
      </c>
    </row>
    <row r="166" spans="1:26" x14ac:dyDescent="0.3">
      <c r="A166">
        <v>34757519</v>
      </c>
      <c r="B166" t="s">
        <v>539</v>
      </c>
      <c r="C166" t="s">
        <v>540</v>
      </c>
      <c r="D166" t="s">
        <v>541</v>
      </c>
      <c r="F166" t="str">
        <f>""</f>
        <v/>
      </c>
      <c r="G166" t="str">
        <f>""</f>
        <v/>
      </c>
      <c r="H166">
        <v>0</v>
      </c>
      <c r="I166">
        <v>3.96</v>
      </c>
      <c r="J166" t="s">
        <v>542</v>
      </c>
      <c r="K166" t="s">
        <v>57</v>
      </c>
      <c r="L166">
        <v>358</v>
      </c>
      <c r="M166">
        <v>2017</v>
      </c>
      <c r="P166" s="1">
        <v>42857</v>
      </c>
      <c r="Q166" t="s">
        <v>36</v>
      </c>
      <c r="R166" t="s">
        <v>543</v>
      </c>
      <c r="S166" t="s">
        <v>36</v>
      </c>
      <c r="W166">
        <v>0</v>
      </c>
      <c r="Z166">
        <v>0</v>
      </c>
    </row>
    <row r="167" spans="1:26" x14ac:dyDescent="0.3">
      <c r="A167">
        <v>34809441</v>
      </c>
      <c r="B167" t="s">
        <v>544</v>
      </c>
      <c r="C167" t="s">
        <v>545</v>
      </c>
      <c r="D167" t="s">
        <v>546</v>
      </c>
      <c r="F167" t="str">
        <f>""</f>
        <v/>
      </c>
      <c r="G167" t="str">
        <f>""</f>
        <v/>
      </c>
      <c r="H167">
        <v>0</v>
      </c>
      <c r="I167">
        <v>3.93</v>
      </c>
      <c r="K167" t="s">
        <v>57</v>
      </c>
      <c r="L167">
        <v>251</v>
      </c>
      <c r="M167">
        <v>2017</v>
      </c>
      <c r="P167" s="1">
        <v>42857</v>
      </c>
      <c r="Q167" t="s">
        <v>36</v>
      </c>
      <c r="R167" t="s">
        <v>547</v>
      </c>
      <c r="S167" t="s">
        <v>36</v>
      </c>
      <c r="W167">
        <v>0</v>
      </c>
      <c r="Z167">
        <v>0</v>
      </c>
    </row>
    <row r="168" spans="1:26" x14ac:dyDescent="0.3">
      <c r="A168">
        <v>27419654</v>
      </c>
      <c r="B168" t="s">
        <v>548</v>
      </c>
      <c r="C168" t="s">
        <v>549</v>
      </c>
      <c r="D168" t="s">
        <v>550</v>
      </c>
      <c r="F168" t="str">
        <f>""</f>
        <v/>
      </c>
      <c r="G168" t="str">
        <f>""</f>
        <v/>
      </c>
      <c r="H168">
        <v>0</v>
      </c>
      <c r="I168">
        <v>3.79</v>
      </c>
      <c r="J168" t="s">
        <v>551</v>
      </c>
      <c r="K168" t="s">
        <v>57</v>
      </c>
      <c r="L168">
        <v>386</v>
      </c>
      <c r="M168">
        <v>2016</v>
      </c>
      <c r="N168">
        <v>2016</v>
      </c>
      <c r="P168" s="1">
        <v>42857</v>
      </c>
      <c r="Q168" t="s">
        <v>36</v>
      </c>
      <c r="R168" t="s">
        <v>552</v>
      </c>
      <c r="S168" t="s">
        <v>36</v>
      </c>
      <c r="W168">
        <v>0</v>
      </c>
      <c r="Z168">
        <v>0</v>
      </c>
    </row>
    <row r="169" spans="1:26" x14ac:dyDescent="0.3">
      <c r="A169">
        <v>34829165</v>
      </c>
      <c r="B169" t="s">
        <v>553</v>
      </c>
      <c r="C169" t="s">
        <v>554</v>
      </c>
      <c r="D169" t="s">
        <v>555</v>
      </c>
      <c r="F169" t="str">
        <f>""</f>
        <v/>
      </c>
      <c r="G169" t="str">
        <f>""</f>
        <v/>
      </c>
      <c r="H169">
        <v>0</v>
      </c>
      <c r="I169">
        <v>4.04</v>
      </c>
      <c r="K169" t="s">
        <v>57</v>
      </c>
      <c r="L169">
        <v>441</v>
      </c>
      <c r="M169">
        <v>2017</v>
      </c>
      <c r="N169">
        <v>2017</v>
      </c>
      <c r="P169" s="1">
        <v>42857</v>
      </c>
      <c r="Q169" t="s">
        <v>36</v>
      </c>
      <c r="R169" t="s">
        <v>556</v>
      </c>
      <c r="S169" t="s">
        <v>36</v>
      </c>
      <c r="W169">
        <v>0</v>
      </c>
      <c r="Z169">
        <v>0</v>
      </c>
    </row>
    <row r="170" spans="1:26" x14ac:dyDescent="0.3">
      <c r="A170">
        <v>25830594</v>
      </c>
      <c r="B170" t="s">
        <v>557</v>
      </c>
      <c r="C170" t="s">
        <v>558</v>
      </c>
      <c r="D170" t="s">
        <v>559</v>
      </c>
      <c r="F170" t="str">
        <f>""</f>
        <v/>
      </c>
      <c r="G170" t="str">
        <f>""</f>
        <v/>
      </c>
      <c r="H170">
        <v>0</v>
      </c>
      <c r="I170">
        <v>3.94</v>
      </c>
      <c r="J170" t="s">
        <v>560</v>
      </c>
      <c r="K170" t="s">
        <v>57</v>
      </c>
      <c r="L170">
        <v>236</v>
      </c>
      <c r="M170">
        <v>2015</v>
      </c>
      <c r="N170">
        <v>2015</v>
      </c>
      <c r="P170" s="1">
        <v>42857</v>
      </c>
      <c r="Q170" t="s">
        <v>36</v>
      </c>
      <c r="R170" t="s">
        <v>561</v>
      </c>
      <c r="S170" t="s">
        <v>36</v>
      </c>
      <c r="W170">
        <v>0</v>
      </c>
      <c r="Z170">
        <v>0</v>
      </c>
    </row>
    <row r="171" spans="1:26" x14ac:dyDescent="0.3">
      <c r="A171">
        <v>34776204</v>
      </c>
      <c r="B171" t="s">
        <v>562</v>
      </c>
      <c r="C171" t="s">
        <v>563</v>
      </c>
      <c r="D171" t="s">
        <v>564</v>
      </c>
      <c r="F171" t="str">
        <f>""</f>
        <v/>
      </c>
      <c r="G171" t="str">
        <f>""</f>
        <v/>
      </c>
      <c r="H171">
        <v>0</v>
      </c>
      <c r="I171">
        <v>4.2</v>
      </c>
      <c r="J171" t="s">
        <v>565</v>
      </c>
      <c r="K171" t="s">
        <v>57</v>
      </c>
      <c r="L171">
        <v>366</v>
      </c>
      <c r="M171">
        <v>2017</v>
      </c>
      <c r="P171" s="1">
        <v>42857</v>
      </c>
      <c r="Q171" t="s">
        <v>36</v>
      </c>
      <c r="R171" t="s">
        <v>566</v>
      </c>
      <c r="S171" t="s">
        <v>36</v>
      </c>
      <c r="W171">
        <v>0</v>
      </c>
      <c r="Z171">
        <v>0</v>
      </c>
    </row>
    <row r="172" spans="1:26" x14ac:dyDescent="0.3">
      <c r="A172">
        <v>34740470</v>
      </c>
      <c r="B172" t="s">
        <v>567</v>
      </c>
      <c r="C172" t="s">
        <v>558</v>
      </c>
      <c r="D172" t="s">
        <v>559</v>
      </c>
      <c r="F172" t="str">
        <f>""</f>
        <v/>
      </c>
      <c r="G172" t="str">
        <f>""</f>
        <v/>
      </c>
      <c r="H172">
        <v>0</v>
      </c>
      <c r="I172">
        <v>4.2</v>
      </c>
      <c r="J172" t="s">
        <v>560</v>
      </c>
      <c r="K172" t="s">
        <v>57</v>
      </c>
      <c r="L172">
        <v>376</v>
      </c>
      <c r="M172">
        <v>2017</v>
      </c>
      <c r="P172" s="1">
        <v>42857</v>
      </c>
      <c r="Q172" t="s">
        <v>36</v>
      </c>
      <c r="R172" t="s">
        <v>568</v>
      </c>
      <c r="S172" t="s">
        <v>36</v>
      </c>
      <c r="W172">
        <v>0</v>
      </c>
      <c r="Z172">
        <v>0</v>
      </c>
    </row>
    <row r="173" spans="1:26" x14ac:dyDescent="0.3">
      <c r="A173">
        <v>25729359</v>
      </c>
      <c r="B173" t="s">
        <v>569</v>
      </c>
      <c r="C173" t="s">
        <v>69</v>
      </c>
      <c r="D173" t="s">
        <v>70</v>
      </c>
      <c r="F173" t="str">
        <f>""</f>
        <v/>
      </c>
      <c r="G173" t="str">
        <f>""</f>
        <v/>
      </c>
      <c r="H173">
        <v>0</v>
      </c>
      <c r="I173">
        <v>4.1500000000000004</v>
      </c>
      <c r="J173" t="s">
        <v>88</v>
      </c>
      <c r="K173" t="s">
        <v>57</v>
      </c>
      <c r="L173">
        <v>343</v>
      </c>
      <c r="M173">
        <v>2015</v>
      </c>
      <c r="N173">
        <v>2015</v>
      </c>
      <c r="P173" s="1">
        <v>42853</v>
      </c>
      <c r="Q173" t="s">
        <v>36</v>
      </c>
      <c r="R173" t="s">
        <v>570</v>
      </c>
      <c r="S173" t="s">
        <v>36</v>
      </c>
      <c r="W173">
        <v>0</v>
      </c>
      <c r="Z173">
        <v>0</v>
      </c>
    </row>
    <row r="174" spans="1:26" x14ac:dyDescent="0.3">
      <c r="A174">
        <v>23848809</v>
      </c>
      <c r="B174" t="s">
        <v>571</v>
      </c>
      <c r="C174" t="s">
        <v>69</v>
      </c>
      <c r="D174" t="s">
        <v>70</v>
      </c>
      <c r="F174" t="str">
        <f>""</f>
        <v/>
      </c>
      <c r="G174" t="str">
        <f>""</f>
        <v/>
      </c>
      <c r="H174">
        <v>5</v>
      </c>
      <c r="I174">
        <v>4.21</v>
      </c>
      <c r="J174" t="s">
        <v>88</v>
      </c>
      <c r="K174" t="s">
        <v>57</v>
      </c>
      <c r="L174">
        <v>299</v>
      </c>
      <c r="M174">
        <v>2014</v>
      </c>
      <c r="N174">
        <v>2014</v>
      </c>
      <c r="O174" s="1">
        <v>42853</v>
      </c>
      <c r="P174" s="1">
        <v>42847</v>
      </c>
      <c r="S174" t="s">
        <v>43</v>
      </c>
      <c r="W174">
        <v>1</v>
      </c>
      <c r="Z174">
        <v>0</v>
      </c>
    </row>
    <row r="175" spans="1:26" x14ac:dyDescent="0.3">
      <c r="A175">
        <v>15784263</v>
      </c>
      <c r="B175" t="s">
        <v>572</v>
      </c>
      <c r="C175" t="s">
        <v>573</v>
      </c>
      <c r="D175" t="s">
        <v>574</v>
      </c>
      <c r="F175" t="str">
        <f>"0756407745"</f>
        <v>0756407745</v>
      </c>
      <c r="G175" t="str">
        <f>"9780756407742"</f>
        <v>9780756407742</v>
      </c>
      <c r="H175">
        <v>0</v>
      </c>
      <c r="I175">
        <v>3.8</v>
      </c>
      <c r="J175" t="s">
        <v>370</v>
      </c>
      <c r="K175" t="s">
        <v>257</v>
      </c>
      <c r="L175">
        <v>295</v>
      </c>
      <c r="M175">
        <v>2013</v>
      </c>
      <c r="N175">
        <v>2013</v>
      </c>
      <c r="P175" s="1">
        <v>42850</v>
      </c>
      <c r="Q175" t="s">
        <v>36</v>
      </c>
      <c r="R175" t="s">
        <v>575</v>
      </c>
      <c r="S175" t="s">
        <v>36</v>
      </c>
      <c r="W175">
        <v>0</v>
      </c>
      <c r="Z175">
        <v>0</v>
      </c>
    </row>
    <row r="176" spans="1:26" x14ac:dyDescent="0.3">
      <c r="A176">
        <v>30736665</v>
      </c>
      <c r="B176" t="s">
        <v>576</v>
      </c>
      <c r="C176" t="s">
        <v>577</v>
      </c>
      <c r="D176" t="s">
        <v>578</v>
      </c>
      <c r="E176" t="s">
        <v>579</v>
      </c>
      <c r="F176" t="str">
        <f>"1780895313"</f>
        <v>1780895313</v>
      </c>
      <c r="G176" t="str">
        <f>"9781780895314"</f>
        <v>9781780895314</v>
      </c>
      <c r="H176">
        <v>0</v>
      </c>
      <c r="I176">
        <v>4.2699999999999996</v>
      </c>
      <c r="J176" t="s">
        <v>580</v>
      </c>
      <c r="K176" t="s">
        <v>42</v>
      </c>
      <c r="L176">
        <v>418</v>
      </c>
      <c r="M176">
        <v>2017</v>
      </c>
      <c r="N176">
        <v>2017</v>
      </c>
      <c r="P176" s="1">
        <v>42847</v>
      </c>
      <c r="Q176" t="s">
        <v>36</v>
      </c>
      <c r="R176" t="s">
        <v>581</v>
      </c>
      <c r="S176" t="s">
        <v>36</v>
      </c>
      <c r="W176">
        <v>0</v>
      </c>
      <c r="Z176">
        <v>0</v>
      </c>
    </row>
    <row r="177" spans="1:26" x14ac:dyDescent="0.3">
      <c r="A177">
        <v>33025240</v>
      </c>
      <c r="B177" t="s">
        <v>582</v>
      </c>
      <c r="C177" t="s">
        <v>200</v>
      </c>
      <c r="D177" t="s">
        <v>201</v>
      </c>
      <c r="F177" t="str">
        <f>""</f>
        <v/>
      </c>
      <c r="G177" t="str">
        <f>"9780345548610"</f>
        <v>9780345548610</v>
      </c>
      <c r="H177">
        <v>0</v>
      </c>
      <c r="I177">
        <v>4.0599999999999996</v>
      </c>
      <c r="J177" t="s">
        <v>202</v>
      </c>
      <c r="K177" t="s">
        <v>35</v>
      </c>
      <c r="L177">
        <v>624</v>
      </c>
      <c r="M177">
        <v>2017</v>
      </c>
      <c r="N177">
        <v>2017</v>
      </c>
      <c r="P177" s="1">
        <v>42847</v>
      </c>
      <c r="Q177" t="s">
        <v>36</v>
      </c>
      <c r="R177" t="s">
        <v>583</v>
      </c>
      <c r="S177" t="s">
        <v>36</v>
      </c>
      <c r="W177">
        <v>0</v>
      </c>
      <c r="Z177">
        <v>0</v>
      </c>
    </row>
    <row r="178" spans="1:26" x14ac:dyDescent="0.3">
      <c r="A178">
        <v>34403860</v>
      </c>
      <c r="B178" t="s">
        <v>584</v>
      </c>
      <c r="C178" t="s">
        <v>585</v>
      </c>
      <c r="D178" t="s">
        <v>586</v>
      </c>
      <c r="F178" t="str">
        <f>""</f>
        <v/>
      </c>
      <c r="G178" t="str">
        <f>""</f>
        <v/>
      </c>
      <c r="H178">
        <v>0</v>
      </c>
      <c r="I178">
        <v>4.1500000000000004</v>
      </c>
      <c r="K178" t="s">
        <v>57</v>
      </c>
      <c r="L178">
        <v>621</v>
      </c>
      <c r="M178">
        <v>2017</v>
      </c>
      <c r="N178">
        <v>2017</v>
      </c>
      <c r="P178" s="1">
        <v>42829</v>
      </c>
      <c r="Q178" t="s">
        <v>36</v>
      </c>
      <c r="R178" t="s">
        <v>587</v>
      </c>
      <c r="S178" t="s">
        <v>36</v>
      </c>
      <c r="W178">
        <v>0</v>
      </c>
      <c r="Z178">
        <v>0</v>
      </c>
    </row>
    <row r="179" spans="1:26" x14ac:dyDescent="0.3">
      <c r="A179">
        <v>32109569</v>
      </c>
      <c r="B179" t="s">
        <v>588</v>
      </c>
      <c r="C179" t="s">
        <v>60</v>
      </c>
      <c r="D179" t="s">
        <v>61</v>
      </c>
      <c r="F179" t="str">
        <f>""</f>
        <v/>
      </c>
      <c r="G179" t="str">
        <f>""</f>
        <v/>
      </c>
      <c r="H179">
        <v>4</v>
      </c>
      <c r="I179">
        <v>4.28</v>
      </c>
      <c r="J179" t="s">
        <v>487</v>
      </c>
      <c r="K179" t="s">
        <v>57</v>
      </c>
      <c r="L179">
        <v>383</v>
      </c>
      <c r="M179">
        <v>2016</v>
      </c>
      <c r="N179">
        <v>2016</v>
      </c>
      <c r="O179" s="1">
        <v>42821</v>
      </c>
      <c r="P179" s="1">
        <v>42794</v>
      </c>
      <c r="S179" t="s">
        <v>43</v>
      </c>
      <c r="W179">
        <v>1</v>
      </c>
      <c r="Z179">
        <v>0</v>
      </c>
    </row>
    <row r="180" spans="1:26" x14ac:dyDescent="0.3">
      <c r="A180">
        <v>31396262</v>
      </c>
      <c r="B180" t="s">
        <v>589</v>
      </c>
      <c r="C180" t="s">
        <v>590</v>
      </c>
      <c r="D180" t="s">
        <v>591</v>
      </c>
      <c r="F180" t="str">
        <f>"110198466X"</f>
        <v>110198466X</v>
      </c>
      <c r="G180" t="str">
        <f>"9781101984666"</f>
        <v>9781101984666</v>
      </c>
      <c r="H180">
        <v>0</v>
      </c>
      <c r="I180">
        <v>3.97</v>
      </c>
      <c r="J180" t="s">
        <v>592</v>
      </c>
      <c r="K180" t="s">
        <v>42</v>
      </c>
      <c r="L180">
        <v>416</v>
      </c>
      <c r="M180">
        <v>2017</v>
      </c>
      <c r="N180">
        <v>2017</v>
      </c>
      <c r="P180" s="1">
        <v>42824</v>
      </c>
      <c r="Q180" t="s">
        <v>36</v>
      </c>
      <c r="R180" t="s">
        <v>593</v>
      </c>
      <c r="S180" t="s">
        <v>36</v>
      </c>
      <c r="W180">
        <v>0</v>
      </c>
      <c r="Z180">
        <v>0</v>
      </c>
    </row>
    <row r="181" spans="1:26" x14ac:dyDescent="0.3">
      <c r="A181">
        <v>29612579</v>
      </c>
      <c r="B181" t="s">
        <v>594</v>
      </c>
      <c r="C181" t="s">
        <v>595</v>
      </c>
      <c r="D181" t="s">
        <v>596</v>
      </c>
      <c r="F181" t="str">
        <f>""</f>
        <v/>
      </c>
      <c r="G181" t="str">
        <f>""</f>
        <v/>
      </c>
      <c r="H181">
        <v>0</v>
      </c>
      <c r="I181">
        <v>4.05</v>
      </c>
      <c r="K181" t="s">
        <v>57</v>
      </c>
      <c r="L181">
        <v>419</v>
      </c>
      <c r="M181">
        <v>2016</v>
      </c>
      <c r="N181">
        <v>2016</v>
      </c>
      <c r="P181" s="1">
        <v>42813</v>
      </c>
      <c r="Q181" t="s">
        <v>36</v>
      </c>
      <c r="R181" t="s">
        <v>597</v>
      </c>
      <c r="S181" t="s">
        <v>36</v>
      </c>
      <c r="W181">
        <v>0</v>
      </c>
      <c r="Z181">
        <v>0</v>
      </c>
    </row>
    <row r="182" spans="1:26" x14ac:dyDescent="0.3">
      <c r="A182">
        <v>23559647</v>
      </c>
      <c r="B182" t="s">
        <v>598</v>
      </c>
      <c r="C182" t="s">
        <v>599</v>
      </c>
      <c r="D182" t="s">
        <v>600</v>
      </c>
      <c r="F182" t="str">
        <f>"0007593082"</f>
        <v>0007593082</v>
      </c>
      <c r="G182" t="str">
        <f>"9780007593088"</f>
        <v>9780007593088</v>
      </c>
      <c r="H182">
        <v>0</v>
      </c>
      <c r="I182">
        <v>3.66</v>
      </c>
      <c r="J182" t="s">
        <v>601</v>
      </c>
      <c r="K182" t="s">
        <v>102</v>
      </c>
      <c r="L182">
        <v>400</v>
      </c>
      <c r="M182">
        <v>2015</v>
      </c>
      <c r="N182">
        <v>2015</v>
      </c>
      <c r="P182" s="1">
        <v>42813</v>
      </c>
      <c r="Q182" t="s">
        <v>36</v>
      </c>
      <c r="R182" t="s">
        <v>602</v>
      </c>
      <c r="S182" t="s">
        <v>36</v>
      </c>
      <c r="W182">
        <v>0</v>
      </c>
      <c r="Z182">
        <v>0</v>
      </c>
    </row>
    <row r="183" spans="1:26" x14ac:dyDescent="0.3">
      <c r="A183">
        <v>30078567</v>
      </c>
      <c r="B183" t="s">
        <v>603</v>
      </c>
      <c r="C183" t="s">
        <v>604</v>
      </c>
      <c r="D183" t="s">
        <v>605</v>
      </c>
      <c r="F183" t="str">
        <f>"0765388898"</f>
        <v>0765388898</v>
      </c>
      <c r="G183" t="str">
        <f>"9780765388896"</f>
        <v>9780765388896</v>
      </c>
      <c r="H183">
        <v>0</v>
      </c>
      <c r="I183">
        <v>4.1100000000000003</v>
      </c>
      <c r="J183" t="s">
        <v>56</v>
      </c>
      <c r="K183" t="s">
        <v>35</v>
      </c>
      <c r="L183">
        <v>336</v>
      </c>
      <c r="M183">
        <v>2017</v>
      </c>
      <c r="N183">
        <v>2017</v>
      </c>
      <c r="P183" s="1">
        <v>42813</v>
      </c>
      <c r="Q183" t="s">
        <v>36</v>
      </c>
      <c r="R183" t="s">
        <v>606</v>
      </c>
      <c r="S183" t="s">
        <v>36</v>
      </c>
      <c r="W183">
        <v>0</v>
      </c>
      <c r="Z183">
        <v>0</v>
      </c>
    </row>
    <row r="184" spans="1:26" x14ac:dyDescent="0.3">
      <c r="A184">
        <v>1455439</v>
      </c>
      <c r="B184" t="s">
        <v>607</v>
      </c>
      <c r="C184" t="s">
        <v>608</v>
      </c>
      <c r="D184" t="s">
        <v>609</v>
      </c>
      <c r="F184" t="str">
        <f>"0812516257"</f>
        <v>0812516257</v>
      </c>
      <c r="G184" t="str">
        <f>"9780812516258"</f>
        <v>9780812516258</v>
      </c>
      <c r="H184">
        <v>0</v>
      </c>
      <c r="I184">
        <v>4.04</v>
      </c>
      <c r="J184" t="s">
        <v>56</v>
      </c>
      <c r="K184" t="s">
        <v>102</v>
      </c>
      <c r="L184">
        <v>333</v>
      </c>
      <c r="M184">
        <v>1993</v>
      </c>
      <c r="N184">
        <v>1993</v>
      </c>
      <c r="P184" s="1">
        <v>42809</v>
      </c>
      <c r="Q184" t="s">
        <v>36</v>
      </c>
      <c r="R184" t="s">
        <v>610</v>
      </c>
      <c r="S184" t="s">
        <v>36</v>
      </c>
      <c r="W184">
        <v>0</v>
      </c>
      <c r="Z184">
        <v>0</v>
      </c>
    </row>
    <row r="185" spans="1:26" x14ac:dyDescent="0.3">
      <c r="A185">
        <v>34101303</v>
      </c>
      <c r="B185" t="s">
        <v>611</v>
      </c>
      <c r="C185" t="s">
        <v>612</v>
      </c>
      <c r="D185" t="s">
        <v>613</v>
      </c>
      <c r="F185" t="str">
        <f>""</f>
        <v/>
      </c>
      <c r="G185" t="str">
        <f>""</f>
        <v/>
      </c>
      <c r="H185">
        <v>0</v>
      </c>
      <c r="I185">
        <v>4.1900000000000004</v>
      </c>
      <c r="J185" t="s">
        <v>612</v>
      </c>
      <c r="K185" t="s">
        <v>57</v>
      </c>
      <c r="L185">
        <v>394</v>
      </c>
      <c r="M185">
        <v>2017</v>
      </c>
      <c r="N185">
        <v>2017</v>
      </c>
      <c r="P185" s="1">
        <v>42806</v>
      </c>
      <c r="Q185" t="s">
        <v>36</v>
      </c>
      <c r="R185" t="s">
        <v>614</v>
      </c>
      <c r="S185" t="s">
        <v>36</v>
      </c>
      <c r="W185">
        <v>0</v>
      </c>
      <c r="Z185">
        <v>0</v>
      </c>
    </row>
    <row r="186" spans="1:26" x14ac:dyDescent="0.3">
      <c r="A186">
        <v>30243858</v>
      </c>
      <c r="B186" t="s">
        <v>615</v>
      </c>
      <c r="C186" t="s">
        <v>95</v>
      </c>
      <c r="D186" t="s">
        <v>96</v>
      </c>
      <c r="F186" t="str">
        <f>""</f>
        <v/>
      </c>
      <c r="G186" t="str">
        <f>""</f>
        <v/>
      </c>
      <c r="H186">
        <v>4</v>
      </c>
      <c r="I186">
        <v>4.33</v>
      </c>
      <c r="J186" t="s">
        <v>97</v>
      </c>
      <c r="K186" t="s">
        <v>57</v>
      </c>
      <c r="L186">
        <v>280</v>
      </c>
      <c r="M186">
        <v>2017</v>
      </c>
      <c r="N186">
        <v>2017</v>
      </c>
      <c r="O186" s="1">
        <v>42801</v>
      </c>
      <c r="P186" s="1">
        <v>42772</v>
      </c>
      <c r="S186" t="s">
        <v>43</v>
      </c>
      <c r="W186">
        <v>1</v>
      </c>
      <c r="Z186">
        <v>0</v>
      </c>
    </row>
    <row r="187" spans="1:26" x14ac:dyDescent="0.3">
      <c r="A187">
        <v>23397921</v>
      </c>
      <c r="B187" t="s">
        <v>616</v>
      </c>
      <c r="C187" t="s">
        <v>45</v>
      </c>
      <c r="D187" t="s">
        <v>46</v>
      </c>
      <c r="F187" t="str">
        <f>""</f>
        <v/>
      </c>
      <c r="G187" t="str">
        <f>""</f>
        <v/>
      </c>
      <c r="H187">
        <v>3</v>
      </c>
      <c r="I187">
        <v>4.24</v>
      </c>
      <c r="J187" t="s">
        <v>617</v>
      </c>
      <c r="K187" t="s">
        <v>57</v>
      </c>
      <c r="L187">
        <v>59</v>
      </c>
      <c r="M187">
        <v>2014</v>
      </c>
      <c r="N187">
        <v>2014</v>
      </c>
      <c r="O187" s="1">
        <v>42791</v>
      </c>
      <c r="P187" s="1">
        <v>41943</v>
      </c>
      <c r="S187" t="s">
        <v>43</v>
      </c>
      <c r="W187">
        <v>1</v>
      </c>
      <c r="Z187">
        <v>0</v>
      </c>
    </row>
    <row r="188" spans="1:26" x14ac:dyDescent="0.3">
      <c r="A188">
        <v>31176804</v>
      </c>
      <c r="B188" t="s">
        <v>618</v>
      </c>
      <c r="C188" t="s">
        <v>45</v>
      </c>
      <c r="D188" t="s">
        <v>46</v>
      </c>
      <c r="F188" t="str">
        <f>""</f>
        <v/>
      </c>
      <c r="G188" t="str">
        <f>"9780998559902"</f>
        <v>9780998559902</v>
      </c>
      <c r="H188">
        <v>4</v>
      </c>
      <c r="I188">
        <v>4.07</v>
      </c>
      <c r="J188" t="s">
        <v>619</v>
      </c>
      <c r="K188" t="s">
        <v>620</v>
      </c>
      <c r="L188">
        <v>123</v>
      </c>
      <c r="M188">
        <v>2017</v>
      </c>
      <c r="N188">
        <v>2017</v>
      </c>
      <c r="O188" s="1">
        <v>42789</v>
      </c>
      <c r="P188" s="1">
        <v>42787</v>
      </c>
      <c r="S188" t="s">
        <v>43</v>
      </c>
      <c r="W188">
        <v>1</v>
      </c>
      <c r="Z188">
        <v>0</v>
      </c>
    </row>
    <row r="189" spans="1:26" x14ac:dyDescent="0.3">
      <c r="A189">
        <v>12796771</v>
      </c>
      <c r="B189" t="s">
        <v>621</v>
      </c>
      <c r="C189" t="s">
        <v>45</v>
      </c>
      <c r="D189" t="s">
        <v>46</v>
      </c>
      <c r="F189" t="str">
        <f>""</f>
        <v/>
      </c>
      <c r="G189" t="str">
        <f>""</f>
        <v/>
      </c>
      <c r="H189">
        <v>0</v>
      </c>
      <c r="I189">
        <v>3.87</v>
      </c>
      <c r="J189" t="s">
        <v>622</v>
      </c>
      <c r="K189" t="s">
        <v>57</v>
      </c>
      <c r="L189">
        <v>128</v>
      </c>
      <c r="M189">
        <v>2011</v>
      </c>
      <c r="N189">
        <v>2011</v>
      </c>
      <c r="P189" s="1">
        <v>42789</v>
      </c>
      <c r="Q189" t="s">
        <v>36</v>
      </c>
      <c r="R189" t="s">
        <v>623</v>
      </c>
      <c r="S189" t="s">
        <v>36</v>
      </c>
      <c r="W189">
        <v>0</v>
      </c>
      <c r="Z189">
        <v>0</v>
      </c>
    </row>
    <row r="190" spans="1:26" x14ac:dyDescent="0.3">
      <c r="A190">
        <v>8562526</v>
      </c>
      <c r="B190" t="s">
        <v>624</v>
      </c>
      <c r="C190" t="s">
        <v>45</v>
      </c>
      <c r="D190" t="s">
        <v>46</v>
      </c>
      <c r="F190" t="str">
        <f>""</f>
        <v/>
      </c>
      <c r="G190" t="str">
        <f>""</f>
        <v/>
      </c>
      <c r="H190">
        <v>0</v>
      </c>
      <c r="I190">
        <v>3.97</v>
      </c>
      <c r="J190" t="s">
        <v>56</v>
      </c>
      <c r="K190" t="s">
        <v>57</v>
      </c>
      <c r="L190">
        <v>48</v>
      </c>
      <c r="M190">
        <v>2010</v>
      </c>
      <c r="N190">
        <v>2008</v>
      </c>
      <c r="P190" s="1">
        <v>42787</v>
      </c>
      <c r="Q190" t="s">
        <v>36</v>
      </c>
      <c r="R190" t="s">
        <v>625</v>
      </c>
      <c r="S190" t="s">
        <v>36</v>
      </c>
      <c r="W190">
        <v>0</v>
      </c>
      <c r="Z190">
        <v>0</v>
      </c>
    </row>
    <row r="191" spans="1:26" x14ac:dyDescent="0.3">
      <c r="A191">
        <v>7683254</v>
      </c>
      <c r="B191" t="s">
        <v>626</v>
      </c>
      <c r="C191" t="s">
        <v>627</v>
      </c>
      <c r="D191" t="s">
        <v>628</v>
      </c>
      <c r="F191" t="str">
        <f>"1439133913"</f>
        <v>1439133913</v>
      </c>
      <c r="G191" t="str">
        <f>"9781439133910"</f>
        <v>9781439133910</v>
      </c>
      <c r="H191">
        <v>3</v>
      </c>
      <c r="I191">
        <v>4.25</v>
      </c>
      <c r="J191" t="s">
        <v>629</v>
      </c>
      <c r="K191" t="s">
        <v>257</v>
      </c>
      <c r="L191">
        <v>612</v>
      </c>
      <c r="M191">
        <v>2010</v>
      </c>
      <c r="N191">
        <v>2010</v>
      </c>
      <c r="O191" s="1">
        <v>42786</v>
      </c>
      <c r="P191" s="1">
        <v>42784</v>
      </c>
      <c r="S191" t="s">
        <v>43</v>
      </c>
      <c r="W191">
        <v>1</v>
      </c>
      <c r="Z191">
        <v>0</v>
      </c>
    </row>
    <row r="192" spans="1:26" x14ac:dyDescent="0.3">
      <c r="A192">
        <v>91981</v>
      </c>
      <c r="B192" t="s">
        <v>630</v>
      </c>
      <c r="C192" t="s">
        <v>631</v>
      </c>
      <c r="D192" t="s">
        <v>632</v>
      </c>
      <c r="F192" t="str">
        <f>"0756402697"</f>
        <v>0756402697</v>
      </c>
      <c r="G192" t="str">
        <f>"9780756402693"</f>
        <v>9780756402693</v>
      </c>
      <c r="H192">
        <v>0</v>
      </c>
      <c r="I192">
        <v>3.95</v>
      </c>
      <c r="J192" t="s">
        <v>370</v>
      </c>
      <c r="K192" t="s">
        <v>102</v>
      </c>
      <c r="L192">
        <v>672</v>
      </c>
      <c r="M192">
        <v>2005</v>
      </c>
      <c r="N192">
        <v>1988</v>
      </c>
      <c r="P192" s="1">
        <v>42784</v>
      </c>
      <c r="Q192" t="s">
        <v>36</v>
      </c>
      <c r="R192" t="s">
        <v>633</v>
      </c>
      <c r="S192" t="s">
        <v>36</v>
      </c>
      <c r="W192">
        <v>0</v>
      </c>
      <c r="Z192">
        <v>0</v>
      </c>
    </row>
    <row r="193" spans="1:26" x14ac:dyDescent="0.3">
      <c r="A193">
        <v>2570856</v>
      </c>
      <c r="B193" t="s">
        <v>634</v>
      </c>
      <c r="C193" t="s">
        <v>627</v>
      </c>
      <c r="D193" t="s">
        <v>628</v>
      </c>
      <c r="F193" t="str">
        <f>"0741444569"</f>
        <v>0741444569</v>
      </c>
      <c r="G193" t="str">
        <f>"9780741444561"</f>
        <v>9780741444561</v>
      </c>
      <c r="H193">
        <v>3</v>
      </c>
      <c r="I193">
        <v>4.05</v>
      </c>
      <c r="J193" t="s">
        <v>635</v>
      </c>
      <c r="K193" t="s">
        <v>102</v>
      </c>
      <c r="L193">
        <v>557</v>
      </c>
      <c r="M193">
        <v>2009</v>
      </c>
      <c r="N193">
        <v>2009</v>
      </c>
      <c r="O193" s="1">
        <v>42779</v>
      </c>
      <c r="P193" s="1">
        <v>42749</v>
      </c>
      <c r="S193" t="s">
        <v>43</v>
      </c>
      <c r="W193">
        <v>1</v>
      </c>
      <c r="Z193">
        <v>0</v>
      </c>
    </row>
    <row r="194" spans="1:26" x14ac:dyDescent="0.3">
      <c r="A194">
        <v>25877663</v>
      </c>
      <c r="B194" t="s">
        <v>636</v>
      </c>
      <c r="C194" t="s">
        <v>129</v>
      </c>
      <c r="D194" t="s">
        <v>130</v>
      </c>
      <c r="F194" t="str">
        <f>"0356504263"</f>
        <v>0356504263</v>
      </c>
      <c r="G194" t="str">
        <f>"9780356504261"</f>
        <v>9780356504261</v>
      </c>
      <c r="H194">
        <v>3</v>
      </c>
      <c r="I194">
        <v>4.2300000000000004</v>
      </c>
      <c r="J194" t="s">
        <v>205</v>
      </c>
      <c r="K194" t="s">
        <v>42</v>
      </c>
      <c r="L194">
        <v>538</v>
      </c>
      <c r="M194">
        <v>2016</v>
      </c>
      <c r="N194">
        <v>2016</v>
      </c>
      <c r="O194" s="1">
        <v>42767</v>
      </c>
      <c r="P194" s="1">
        <v>42491</v>
      </c>
      <c r="S194" t="s">
        <v>43</v>
      </c>
      <c r="W194">
        <v>1</v>
      </c>
      <c r="Z194">
        <v>0</v>
      </c>
    </row>
    <row r="195" spans="1:26" x14ac:dyDescent="0.3">
      <c r="A195">
        <v>944076</v>
      </c>
      <c r="B195" t="s">
        <v>637</v>
      </c>
      <c r="C195" t="s">
        <v>638</v>
      </c>
      <c r="D195" t="s">
        <v>639</v>
      </c>
      <c r="F195" t="str">
        <f>"0575077905"</f>
        <v>0575077905</v>
      </c>
      <c r="G195" t="str">
        <f>"9780575077904"</f>
        <v>9780575077904</v>
      </c>
      <c r="H195">
        <v>4</v>
      </c>
      <c r="I195">
        <v>4.3</v>
      </c>
      <c r="J195" t="s">
        <v>307</v>
      </c>
      <c r="K195" t="s">
        <v>640</v>
      </c>
      <c r="L195">
        <v>536</v>
      </c>
      <c r="M195">
        <v>2008</v>
      </c>
      <c r="N195">
        <v>2008</v>
      </c>
      <c r="O195" s="1">
        <v>42750</v>
      </c>
      <c r="P195" s="1">
        <v>42731</v>
      </c>
      <c r="S195" t="s">
        <v>43</v>
      </c>
      <c r="W195">
        <v>1</v>
      </c>
      <c r="Z195">
        <v>0</v>
      </c>
    </row>
    <row r="196" spans="1:26" x14ac:dyDescent="0.3">
      <c r="A196">
        <v>2315892</v>
      </c>
      <c r="B196" t="s">
        <v>641</v>
      </c>
      <c r="C196" t="s">
        <v>638</v>
      </c>
      <c r="D196" t="s">
        <v>639</v>
      </c>
      <c r="F196" t="str">
        <f>"0575082453"</f>
        <v>0575082453</v>
      </c>
      <c r="G196" t="str">
        <f>"9780575082458"</f>
        <v>9780575082458</v>
      </c>
      <c r="H196">
        <v>0</v>
      </c>
      <c r="I196">
        <v>4.1900000000000004</v>
      </c>
      <c r="J196" t="s">
        <v>307</v>
      </c>
      <c r="K196" t="s">
        <v>42</v>
      </c>
      <c r="L196">
        <v>534</v>
      </c>
      <c r="M196">
        <v>2009</v>
      </c>
      <c r="N196">
        <v>2009</v>
      </c>
      <c r="P196" s="1">
        <v>42731</v>
      </c>
      <c r="Q196" t="s">
        <v>36</v>
      </c>
      <c r="R196" t="s">
        <v>642</v>
      </c>
      <c r="S196" t="s">
        <v>36</v>
      </c>
      <c r="W196">
        <v>0</v>
      </c>
      <c r="Z196">
        <v>0</v>
      </c>
    </row>
    <row r="197" spans="1:26" x14ac:dyDescent="0.3">
      <c r="A197">
        <v>902715</v>
      </c>
      <c r="B197" t="s">
        <v>643</v>
      </c>
      <c r="C197" t="s">
        <v>638</v>
      </c>
      <c r="D197" t="s">
        <v>639</v>
      </c>
      <c r="F197" t="str">
        <f>"0575077883"</f>
        <v>0575077883</v>
      </c>
      <c r="G197" t="str">
        <f>"9780575077881"</f>
        <v>9780575077881</v>
      </c>
      <c r="H197">
        <v>4</v>
      </c>
      <c r="I197">
        <v>4.3099999999999996</v>
      </c>
      <c r="J197" t="s">
        <v>307</v>
      </c>
      <c r="K197" t="s">
        <v>640</v>
      </c>
      <c r="L197">
        <v>441</v>
      </c>
      <c r="M197">
        <v>2007</v>
      </c>
      <c r="N197">
        <v>2007</v>
      </c>
      <c r="O197" s="1">
        <v>42731</v>
      </c>
      <c r="P197" s="1">
        <v>41886</v>
      </c>
      <c r="S197" t="s">
        <v>43</v>
      </c>
      <c r="W197">
        <v>1</v>
      </c>
      <c r="Z197">
        <v>0</v>
      </c>
    </row>
    <row r="198" spans="1:26" x14ac:dyDescent="0.3">
      <c r="A198">
        <v>23848192</v>
      </c>
      <c r="B198" t="s">
        <v>644</v>
      </c>
      <c r="C198" t="s">
        <v>645</v>
      </c>
      <c r="D198" t="s">
        <v>646</v>
      </c>
      <c r="F198" t="str">
        <f>"0765380315"</f>
        <v>0765380315</v>
      </c>
      <c r="G198" t="str">
        <f>"9780765380319"</f>
        <v>9780765380319</v>
      </c>
      <c r="H198">
        <v>0</v>
      </c>
      <c r="I198">
        <v>3.56</v>
      </c>
      <c r="J198" t="s">
        <v>56</v>
      </c>
      <c r="K198" t="s">
        <v>42</v>
      </c>
      <c r="L198">
        <v>416</v>
      </c>
      <c r="M198">
        <v>2015</v>
      </c>
      <c r="N198">
        <v>2015</v>
      </c>
      <c r="P198" s="1">
        <v>42728</v>
      </c>
      <c r="Q198" t="s">
        <v>36</v>
      </c>
      <c r="R198" t="s">
        <v>647</v>
      </c>
      <c r="S198" t="s">
        <v>36</v>
      </c>
      <c r="W198">
        <v>0</v>
      </c>
      <c r="Z198">
        <v>0</v>
      </c>
    </row>
    <row r="199" spans="1:26" x14ac:dyDescent="0.3">
      <c r="A199">
        <v>944073</v>
      </c>
      <c r="B199" t="s">
        <v>648</v>
      </c>
      <c r="C199" t="s">
        <v>638</v>
      </c>
      <c r="D199" t="s">
        <v>639</v>
      </c>
      <c r="F199" t="str">
        <f>"0575079797"</f>
        <v>0575079797</v>
      </c>
      <c r="G199" t="str">
        <f>"9780575079793"</f>
        <v>9780575079793</v>
      </c>
      <c r="H199">
        <v>4</v>
      </c>
      <c r="I199">
        <v>4.18</v>
      </c>
      <c r="J199" t="s">
        <v>307</v>
      </c>
      <c r="K199" t="s">
        <v>102</v>
      </c>
      <c r="L199">
        <v>515</v>
      </c>
      <c r="M199">
        <v>2007</v>
      </c>
      <c r="N199">
        <v>2006</v>
      </c>
      <c r="O199" s="1">
        <v>42719</v>
      </c>
      <c r="P199" s="1">
        <v>41833</v>
      </c>
      <c r="S199" t="s">
        <v>43</v>
      </c>
      <c r="W199">
        <v>1</v>
      </c>
      <c r="Z199">
        <v>0</v>
      </c>
    </row>
    <row r="200" spans="1:26" x14ac:dyDescent="0.3">
      <c r="A200">
        <v>30229083</v>
      </c>
      <c r="B200" t="s">
        <v>649</v>
      </c>
      <c r="C200" t="s">
        <v>397</v>
      </c>
      <c r="D200" t="s">
        <v>398</v>
      </c>
      <c r="F200" t="str">
        <f>"1503940063"</f>
        <v>1503940063</v>
      </c>
      <c r="G200" t="str">
        <f>"9781503940062"</f>
        <v>9781503940062</v>
      </c>
      <c r="H200">
        <v>2</v>
      </c>
      <c r="I200">
        <v>4.45</v>
      </c>
      <c r="J200" t="s">
        <v>97</v>
      </c>
      <c r="K200" t="s">
        <v>102</v>
      </c>
      <c r="L200">
        <v>547</v>
      </c>
      <c r="M200">
        <v>2016</v>
      </c>
      <c r="N200">
        <v>2016</v>
      </c>
      <c r="P200" s="1">
        <v>42669</v>
      </c>
      <c r="S200" t="s">
        <v>43</v>
      </c>
      <c r="W200">
        <v>1</v>
      </c>
      <c r="Z200">
        <v>0</v>
      </c>
    </row>
    <row r="201" spans="1:26" x14ac:dyDescent="0.3">
      <c r="A201">
        <v>28603698</v>
      </c>
      <c r="B201" t="s">
        <v>650</v>
      </c>
      <c r="C201" t="s">
        <v>397</v>
      </c>
      <c r="D201" t="s">
        <v>398</v>
      </c>
      <c r="F201" t="str">
        <f>""</f>
        <v/>
      </c>
      <c r="G201" t="str">
        <f>""</f>
        <v/>
      </c>
      <c r="H201">
        <v>2</v>
      </c>
      <c r="I201">
        <v>4.45</v>
      </c>
      <c r="J201" t="s">
        <v>97</v>
      </c>
      <c r="K201" t="s">
        <v>57</v>
      </c>
      <c r="M201">
        <v>2016</v>
      </c>
      <c r="N201">
        <v>2016</v>
      </c>
      <c r="O201" s="1">
        <v>42705</v>
      </c>
      <c r="P201" s="1">
        <v>42701</v>
      </c>
      <c r="S201" t="s">
        <v>43</v>
      </c>
      <c r="W201">
        <v>1</v>
      </c>
      <c r="Z201">
        <v>0</v>
      </c>
    </row>
    <row r="202" spans="1:26" x14ac:dyDescent="0.3">
      <c r="A202">
        <v>23157777</v>
      </c>
      <c r="B202" t="s">
        <v>651</v>
      </c>
      <c r="C202" t="s">
        <v>531</v>
      </c>
      <c r="D202" t="s">
        <v>532</v>
      </c>
      <c r="F202" t="str">
        <f>"0553392921"</f>
        <v>0553392921</v>
      </c>
      <c r="G202" t="str">
        <f>"9780553392920"</f>
        <v>9780553392920</v>
      </c>
      <c r="H202">
        <v>4</v>
      </c>
      <c r="I202">
        <v>4.5199999999999996</v>
      </c>
      <c r="J202" t="s">
        <v>223</v>
      </c>
      <c r="K202" t="s">
        <v>42</v>
      </c>
      <c r="L202">
        <v>768</v>
      </c>
      <c r="M202">
        <v>2015</v>
      </c>
      <c r="N202">
        <v>2015</v>
      </c>
      <c r="O202" s="1">
        <v>42701</v>
      </c>
      <c r="P202" s="1">
        <v>42692</v>
      </c>
      <c r="S202" t="s">
        <v>43</v>
      </c>
      <c r="W202">
        <v>1</v>
      </c>
      <c r="Z202">
        <v>0</v>
      </c>
    </row>
    <row r="203" spans="1:26" x14ac:dyDescent="0.3">
      <c r="A203">
        <v>23437156</v>
      </c>
      <c r="B203" t="s">
        <v>652</v>
      </c>
      <c r="C203" t="s">
        <v>83</v>
      </c>
      <c r="D203" t="s">
        <v>84</v>
      </c>
      <c r="F203" t="str">
        <f>"1627792120"</f>
        <v>1627792120</v>
      </c>
      <c r="G203" t="str">
        <f>"9781627792127"</f>
        <v>9781627792127</v>
      </c>
      <c r="H203">
        <v>0</v>
      </c>
      <c r="I203">
        <v>4.49</v>
      </c>
      <c r="J203" t="s">
        <v>85</v>
      </c>
      <c r="K203" t="s">
        <v>42</v>
      </c>
      <c r="L203">
        <v>465</v>
      </c>
      <c r="M203">
        <v>2015</v>
      </c>
      <c r="N203">
        <v>2015</v>
      </c>
      <c r="P203" s="1">
        <v>42698</v>
      </c>
      <c r="Q203" t="s">
        <v>36</v>
      </c>
      <c r="R203" t="s">
        <v>653</v>
      </c>
      <c r="S203" t="s">
        <v>36</v>
      </c>
      <c r="W203">
        <v>0</v>
      </c>
      <c r="Z203">
        <v>0</v>
      </c>
    </row>
    <row r="204" spans="1:26" x14ac:dyDescent="0.3">
      <c r="A204">
        <v>26863057</v>
      </c>
      <c r="B204" t="s">
        <v>654</v>
      </c>
      <c r="C204" t="s">
        <v>655</v>
      </c>
      <c r="D204" t="s">
        <v>656</v>
      </c>
      <c r="F204" t="str">
        <f>"1101965339"</f>
        <v>1101965339</v>
      </c>
      <c r="G204" t="str">
        <f>"9781101965337"</f>
        <v>9781101965337</v>
      </c>
      <c r="H204">
        <v>0</v>
      </c>
      <c r="I204">
        <v>4.2300000000000004</v>
      </c>
      <c r="J204" t="s">
        <v>223</v>
      </c>
      <c r="K204" t="s">
        <v>42</v>
      </c>
      <c r="L204">
        <v>432</v>
      </c>
      <c r="M204">
        <v>2016</v>
      </c>
      <c r="N204">
        <v>2016</v>
      </c>
      <c r="P204" s="1">
        <v>42693</v>
      </c>
      <c r="Q204" t="s">
        <v>36</v>
      </c>
      <c r="R204" t="s">
        <v>657</v>
      </c>
      <c r="S204" t="s">
        <v>36</v>
      </c>
      <c r="W204">
        <v>0</v>
      </c>
      <c r="Z204">
        <v>0</v>
      </c>
    </row>
    <row r="205" spans="1:26" x14ac:dyDescent="0.3">
      <c r="A205">
        <v>19288321</v>
      </c>
      <c r="B205" t="s">
        <v>658</v>
      </c>
      <c r="C205" t="s">
        <v>531</v>
      </c>
      <c r="D205" t="s">
        <v>532</v>
      </c>
      <c r="F205" t="str">
        <f>"0553392425"</f>
        <v>0553392425</v>
      </c>
      <c r="G205" t="str">
        <f>"9780553392425"</f>
        <v>9780553392425</v>
      </c>
      <c r="H205">
        <v>5</v>
      </c>
      <c r="I205">
        <v>4.3899999999999997</v>
      </c>
      <c r="J205" t="s">
        <v>223</v>
      </c>
      <c r="K205" t="s">
        <v>42</v>
      </c>
      <c r="L205">
        <v>688</v>
      </c>
      <c r="M205">
        <v>2014</v>
      </c>
      <c r="N205">
        <v>2014</v>
      </c>
      <c r="O205" s="1">
        <v>42691</v>
      </c>
      <c r="P205" s="1">
        <v>42005</v>
      </c>
      <c r="S205" t="s">
        <v>43</v>
      </c>
      <c r="W205">
        <v>1</v>
      </c>
      <c r="Z205">
        <v>0</v>
      </c>
    </row>
    <row r="206" spans="1:26" x14ac:dyDescent="0.3">
      <c r="A206">
        <v>45108</v>
      </c>
      <c r="B206" t="s">
        <v>659</v>
      </c>
      <c r="C206" t="s">
        <v>531</v>
      </c>
      <c r="D206" t="s">
        <v>532</v>
      </c>
      <c r="F206" t="str">
        <f>"0553582461"</f>
        <v>0553582461</v>
      </c>
      <c r="G206" t="str">
        <f>"9780553582468"</f>
        <v>9780553582468</v>
      </c>
      <c r="H206">
        <v>5</v>
      </c>
      <c r="I206">
        <v>4.4400000000000004</v>
      </c>
      <c r="J206" t="s">
        <v>660</v>
      </c>
      <c r="K206" t="s">
        <v>102</v>
      </c>
      <c r="L206">
        <v>914</v>
      </c>
      <c r="M206">
        <v>2004</v>
      </c>
      <c r="N206">
        <v>2003</v>
      </c>
      <c r="O206" s="1">
        <v>42687</v>
      </c>
      <c r="P206" s="1">
        <v>42683</v>
      </c>
      <c r="S206" t="s">
        <v>43</v>
      </c>
      <c r="W206">
        <v>1</v>
      </c>
      <c r="Z206">
        <v>0</v>
      </c>
    </row>
    <row r="207" spans="1:26" x14ac:dyDescent="0.3">
      <c r="A207">
        <v>45109</v>
      </c>
      <c r="B207" t="s">
        <v>661</v>
      </c>
      <c r="C207" t="s">
        <v>531</v>
      </c>
      <c r="D207" t="s">
        <v>532</v>
      </c>
      <c r="F207" t="str">
        <f>"0553582453"</f>
        <v>0553582453</v>
      </c>
      <c r="G207" t="str">
        <f>"9780553582451"</f>
        <v>9780553582451</v>
      </c>
      <c r="H207">
        <v>5</v>
      </c>
      <c r="I207">
        <v>4.33</v>
      </c>
      <c r="J207" t="s">
        <v>660</v>
      </c>
      <c r="K207" t="s">
        <v>257</v>
      </c>
      <c r="L207">
        <v>709</v>
      </c>
      <c r="M207">
        <v>2003</v>
      </c>
      <c r="N207">
        <v>2002</v>
      </c>
      <c r="O207" s="1">
        <v>42681</v>
      </c>
      <c r="P207" s="1">
        <v>42673</v>
      </c>
      <c r="S207" t="s">
        <v>43</v>
      </c>
      <c r="W207">
        <v>1</v>
      </c>
      <c r="Z207">
        <v>0</v>
      </c>
    </row>
    <row r="208" spans="1:26" x14ac:dyDescent="0.3">
      <c r="A208">
        <v>29384742</v>
      </c>
      <c r="B208" t="s">
        <v>662</v>
      </c>
      <c r="C208" t="s">
        <v>45</v>
      </c>
      <c r="D208" t="s">
        <v>46</v>
      </c>
      <c r="F208" t="str">
        <f>""</f>
        <v/>
      </c>
      <c r="G208" t="str">
        <f>""</f>
        <v/>
      </c>
      <c r="H208">
        <v>0</v>
      </c>
      <c r="I208">
        <v>3.36</v>
      </c>
      <c r="J208" t="s">
        <v>663</v>
      </c>
      <c r="P208" s="1">
        <v>42680</v>
      </c>
      <c r="Q208" t="s">
        <v>36</v>
      </c>
      <c r="R208" t="s">
        <v>664</v>
      </c>
      <c r="S208" t="s">
        <v>36</v>
      </c>
      <c r="W208">
        <v>0</v>
      </c>
      <c r="Z208">
        <v>0</v>
      </c>
    </row>
    <row r="209" spans="1:26" x14ac:dyDescent="0.3">
      <c r="A209">
        <v>26068046</v>
      </c>
      <c r="B209" t="s">
        <v>665</v>
      </c>
      <c r="C209" t="s">
        <v>666</v>
      </c>
      <c r="D209" t="s">
        <v>667</v>
      </c>
      <c r="F209" t="str">
        <f>"0756408334"</f>
        <v>0756408334</v>
      </c>
      <c r="G209" t="str">
        <f>"9780756408336"</f>
        <v>9780756408336</v>
      </c>
      <c r="H209">
        <v>0</v>
      </c>
      <c r="I209">
        <v>4.0599999999999996</v>
      </c>
      <c r="J209" t="s">
        <v>370</v>
      </c>
      <c r="K209" t="s">
        <v>42</v>
      </c>
      <c r="L209">
        <v>496</v>
      </c>
      <c r="M209">
        <v>2016</v>
      </c>
      <c r="N209">
        <v>2016</v>
      </c>
      <c r="P209" s="1">
        <v>42680</v>
      </c>
      <c r="Q209" t="s">
        <v>36</v>
      </c>
      <c r="R209" t="s">
        <v>668</v>
      </c>
      <c r="S209" t="s">
        <v>36</v>
      </c>
      <c r="W209">
        <v>0</v>
      </c>
      <c r="Z209">
        <v>0</v>
      </c>
    </row>
    <row r="210" spans="1:26" x14ac:dyDescent="0.3">
      <c r="A210">
        <v>68488</v>
      </c>
      <c r="B210" t="s">
        <v>669</v>
      </c>
      <c r="C210" t="s">
        <v>531</v>
      </c>
      <c r="D210" t="s">
        <v>532</v>
      </c>
      <c r="F210" t="str">
        <f>""</f>
        <v/>
      </c>
      <c r="G210" t="str">
        <f>""</f>
        <v/>
      </c>
      <c r="H210">
        <v>4</v>
      </c>
      <c r="I210">
        <v>4.32</v>
      </c>
      <c r="J210" t="s">
        <v>670</v>
      </c>
      <c r="K210" t="s">
        <v>257</v>
      </c>
      <c r="L210">
        <v>661</v>
      </c>
      <c r="M210">
        <v>2002</v>
      </c>
      <c r="N210">
        <v>2001</v>
      </c>
      <c r="O210" s="1">
        <v>42673</v>
      </c>
      <c r="P210" s="1">
        <v>41688</v>
      </c>
      <c r="S210" t="s">
        <v>43</v>
      </c>
      <c r="W210">
        <v>1</v>
      </c>
      <c r="Z210">
        <v>0</v>
      </c>
    </row>
    <row r="211" spans="1:26" x14ac:dyDescent="0.3">
      <c r="A211">
        <v>29868610</v>
      </c>
      <c r="B211" t="s">
        <v>671</v>
      </c>
      <c r="C211" t="s">
        <v>672</v>
      </c>
      <c r="D211" t="s">
        <v>673</v>
      </c>
      <c r="F211" t="str">
        <f>"1501117203"</f>
        <v>1501117203</v>
      </c>
      <c r="G211" t="str">
        <f>"9781501117206"</f>
        <v>9781501117206</v>
      </c>
      <c r="H211">
        <v>0</v>
      </c>
      <c r="I211">
        <v>3.86</v>
      </c>
      <c r="J211" t="s">
        <v>674</v>
      </c>
      <c r="K211" t="s">
        <v>42</v>
      </c>
      <c r="L211">
        <v>275</v>
      </c>
      <c r="M211">
        <v>2016</v>
      </c>
      <c r="N211">
        <v>2016</v>
      </c>
      <c r="P211" s="1">
        <v>42673</v>
      </c>
      <c r="Q211" t="s">
        <v>36</v>
      </c>
      <c r="R211" t="s">
        <v>675</v>
      </c>
      <c r="S211" t="s">
        <v>36</v>
      </c>
      <c r="W211">
        <v>0</v>
      </c>
      <c r="Z211">
        <v>0</v>
      </c>
    </row>
    <row r="212" spans="1:26" x14ac:dyDescent="0.3">
      <c r="A212">
        <v>45110</v>
      </c>
      <c r="B212" t="s">
        <v>676</v>
      </c>
      <c r="C212" t="s">
        <v>531</v>
      </c>
      <c r="D212" t="s">
        <v>532</v>
      </c>
      <c r="F212" t="str">
        <f>"0060758287"</f>
        <v>0060758287</v>
      </c>
      <c r="G212" t="str">
        <f>"9780060758288"</f>
        <v>9780060758288</v>
      </c>
      <c r="H212">
        <v>0</v>
      </c>
      <c r="I212">
        <v>3.48</v>
      </c>
      <c r="J212" t="s">
        <v>34</v>
      </c>
      <c r="K212" t="s">
        <v>257</v>
      </c>
      <c r="L212">
        <v>591</v>
      </c>
      <c r="M212">
        <v>2006</v>
      </c>
      <c r="N212">
        <v>2005</v>
      </c>
      <c r="P212" s="1">
        <v>42673</v>
      </c>
      <c r="Q212" t="s">
        <v>36</v>
      </c>
      <c r="R212" t="s">
        <v>677</v>
      </c>
      <c r="S212" t="s">
        <v>36</v>
      </c>
      <c r="W212">
        <v>0</v>
      </c>
      <c r="Z212">
        <v>0</v>
      </c>
    </row>
    <row r="213" spans="1:26" x14ac:dyDescent="0.3">
      <c r="A213">
        <v>4407</v>
      </c>
      <c r="B213" t="s">
        <v>678</v>
      </c>
      <c r="C213" t="s">
        <v>679</v>
      </c>
      <c r="D213" t="s">
        <v>680</v>
      </c>
      <c r="F213" t="str">
        <f>""</f>
        <v/>
      </c>
      <c r="G213" t="str">
        <f>""</f>
        <v/>
      </c>
      <c r="H213">
        <v>3</v>
      </c>
      <c r="I213">
        <v>4.1100000000000003</v>
      </c>
      <c r="J213" t="s">
        <v>681</v>
      </c>
      <c r="K213" t="s">
        <v>102</v>
      </c>
      <c r="L213">
        <v>635</v>
      </c>
      <c r="M213">
        <v>2005</v>
      </c>
      <c r="N213">
        <v>2001</v>
      </c>
      <c r="O213" s="1">
        <v>42370</v>
      </c>
      <c r="P213" s="1">
        <v>41886</v>
      </c>
      <c r="S213" t="s">
        <v>43</v>
      </c>
      <c r="W213">
        <v>1</v>
      </c>
      <c r="Z213">
        <v>0</v>
      </c>
    </row>
    <row r="214" spans="1:26" x14ac:dyDescent="0.3">
      <c r="A214">
        <v>45102</v>
      </c>
      <c r="B214" t="s">
        <v>682</v>
      </c>
      <c r="C214" t="s">
        <v>531</v>
      </c>
      <c r="D214" t="s">
        <v>532</v>
      </c>
      <c r="F214" t="str">
        <f>"0553575651"</f>
        <v>0553575651</v>
      </c>
      <c r="G214" t="str">
        <f>"9780553575651"</f>
        <v>9780553575651</v>
      </c>
      <c r="H214">
        <v>3</v>
      </c>
      <c r="I214">
        <v>4.2300000000000004</v>
      </c>
      <c r="J214" t="s">
        <v>683</v>
      </c>
      <c r="K214" t="s">
        <v>102</v>
      </c>
      <c r="L214">
        <v>789</v>
      </c>
      <c r="M214">
        <v>2001</v>
      </c>
      <c r="N214">
        <v>2000</v>
      </c>
      <c r="O214" s="1">
        <v>42664</v>
      </c>
      <c r="P214" s="1">
        <v>42649</v>
      </c>
      <c r="S214" t="s">
        <v>43</v>
      </c>
      <c r="W214">
        <v>1</v>
      </c>
      <c r="Z214">
        <v>0</v>
      </c>
    </row>
    <row r="215" spans="1:26" x14ac:dyDescent="0.3">
      <c r="A215">
        <v>45101</v>
      </c>
      <c r="B215" t="s">
        <v>684</v>
      </c>
      <c r="C215" t="s">
        <v>531</v>
      </c>
      <c r="D215" t="s">
        <v>532</v>
      </c>
      <c r="F215" t="str">
        <f>"0006498868"</f>
        <v>0006498868</v>
      </c>
      <c r="G215" t="str">
        <f>"9780006498865"</f>
        <v>9780006498865</v>
      </c>
      <c r="H215">
        <v>3</v>
      </c>
      <c r="I215">
        <v>4.24</v>
      </c>
      <c r="J215" t="s">
        <v>34</v>
      </c>
      <c r="K215" t="s">
        <v>257</v>
      </c>
      <c r="L215">
        <v>906</v>
      </c>
      <c r="M215">
        <v>2008</v>
      </c>
      <c r="N215">
        <v>1999</v>
      </c>
      <c r="P215" s="1">
        <v>42649</v>
      </c>
      <c r="S215" t="s">
        <v>43</v>
      </c>
      <c r="W215">
        <v>1</v>
      </c>
      <c r="Z215">
        <v>0</v>
      </c>
    </row>
    <row r="216" spans="1:26" x14ac:dyDescent="0.3">
      <c r="A216">
        <v>45100</v>
      </c>
      <c r="B216" t="s">
        <v>685</v>
      </c>
      <c r="C216" t="s">
        <v>531</v>
      </c>
      <c r="D216" t="s">
        <v>532</v>
      </c>
      <c r="F216" t="str">
        <f>"000649885X"</f>
        <v>000649885X</v>
      </c>
      <c r="G216" t="str">
        <f>"9780006498858"</f>
        <v>9780006498858</v>
      </c>
      <c r="H216">
        <v>3</v>
      </c>
      <c r="I216">
        <v>4.16</v>
      </c>
      <c r="J216" t="s">
        <v>670</v>
      </c>
      <c r="K216" t="s">
        <v>257</v>
      </c>
      <c r="L216">
        <v>880</v>
      </c>
      <c r="M216">
        <v>1999</v>
      </c>
      <c r="N216">
        <v>1998</v>
      </c>
      <c r="O216" s="1">
        <v>42647</v>
      </c>
      <c r="P216" s="1">
        <v>42589</v>
      </c>
      <c r="S216" t="s">
        <v>43</v>
      </c>
      <c r="W216">
        <v>1</v>
      </c>
      <c r="Z216">
        <v>0</v>
      </c>
    </row>
    <row r="217" spans="1:26" x14ac:dyDescent="0.3">
      <c r="A217">
        <v>45112</v>
      </c>
      <c r="B217" t="s">
        <v>686</v>
      </c>
      <c r="C217" t="s">
        <v>531</v>
      </c>
      <c r="D217" t="s">
        <v>532</v>
      </c>
      <c r="F217" t="str">
        <f>"0553565699"</f>
        <v>0553565699</v>
      </c>
      <c r="G217" t="str">
        <f>"9780553565690"</f>
        <v>9780553565690</v>
      </c>
      <c r="H217">
        <v>4</v>
      </c>
      <c r="I217">
        <v>4.18</v>
      </c>
      <c r="J217" t="s">
        <v>660</v>
      </c>
      <c r="K217" t="s">
        <v>257</v>
      </c>
      <c r="L217">
        <v>757</v>
      </c>
      <c r="M217">
        <v>1998</v>
      </c>
      <c r="N217">
        <v>1997</v>
      </c>
      <c r="O217" s="1">
        <v>42617</v>
      </c>
      <c r="P217" s="1">
        <v>42603</v>
      </c>
      <c r="S217" t="s">
        <v>43</v>
      </c>
      <c r="W217">
        <v>1</v>
      </c>
      <c r="Z217">
        <v>0</v>
      </c>
    </row>
    <row r="218" spans="1:26" x14ac:dyDescent="0.3">
      <c r="A218">
        <v>337132</v>
      </c>
      <c r="B218" t="s">
        <v>687</v>
      </c>
      <c r="C218" t="s">
        <v>688</v>
      </c>
      <c r="D218" t="s">
        <v>689</v>
      </c>
      <c r="F218" t="str">
        <f>"0812580346"</f>
        <v>0812580346</v>
      </c>
      <c r="G218" t="str">
        <f>"9780812580341"</f>
        <v>9780812580341</v>
      </c>
      <c r="H218">
        <v>0</v>
      </c>
      <c r="I218">
        <v>3.64</v>
      </c>
      <c r="J218" t="s">
        <v>56</v>
      </c>
      <c r="K218" t="s">
        <v>102</v>
      </c>
      <c r="L218">
        <v>320</v>
      </c>
      <c r="M218">
        <v>2000</v>
      </c>
      <c r="N218">
        <v>1999</v>
      </c>
      <c r="P218" s="1">
        <v>42607</v>
      </c>
      <c r="Q218" t="s">
        <v>36</v>
      </c>
      <c r="R218" t="s">
        <v>690</v>
      </c>
      <c r="S218" t="s">
        <v>36</v>
      </c>
      <c r="W218">
        <v>0</v>
      </c>
      <c r="Z218">
        <v>0</v>
      </c>
    </row>
    <row r="219" spans="1:26" x14ac:dyDescent="0.3">
      <c r="A219">
        <v>6352142</v>
      </c>
      <c r="B219" t="s">
        <v>691</v>
      </c>
      <c r="C219" t="s">
        <v>531</v>
      </c>
      <c r="D219" t="s">
        <v>532</v>
      </c>
      <c r="F219" t="str">
        <f>""</f>
        <v/>
      </c>
      <c r="G219" t="str">
        <f>""</f>
        <v/>
      </c>
      <c r="H219">
        <v>4</v>
      </c>
      <c r="I219">
        <v>4.24</v>
      </c>
      <c r="J219" t="s">
        <v>660</v>
      </c>
      <c r="K219" t="s">
        <v>57</v>
      </c>
      <c r="L219">
        <v>675</v>
      </c>
      <c r="M219">
        <v>2002</v>
      </c>
      <c r="N219">
        <v>1996</v>
      </c>
      <c r="O219" s="1">
        <v>42603</v>
      </c>
      <c r="P219" s="1">
        <v>42589</v>
      </c>
      <c r="S219" t="s">
        <v>43</v>
      </c>
      <c r="W219">
        <v>1</v>
      </c>
      <c r="Z219">
        <v>0</v>
      </c>
    </row>
    <row r="220" spans="1:26" x14ac:dyDescent="0.3">
      <c r="A220">
        <v>4703450</v>
      </c>
      <c r="B220" t="s">
        <v>692</v>
      </c>
      <c r="C220" t="s">
        <v>531</v>
      </c>
      <c r="D220" t="s">
        <v>532</v>
      </c>
      <c r="F220" t="str">
        <f>"0007273746"</f>
        <v>0007273746</v>
      </c>
      <c r="G220" t="str">
        <f>"9780007273744"</f>
        <v>9780007273744</v>
      </c>
      <c r="H220">
        <v>0</v>
      </c>
      <c r="I220">
        <v>3.94</v>
      </c>
      <c r="J220" t="s">
        <v>670</v>
      </c>
      <c r="K220" t="s">
        <v>42</v>
      </c>
      <c r="L220">
        <v>553</v>
      </c>
      <c r="M220">
        <v>2009</v>
      </c>
      <c r="N220">
        <v>2009</v>
      </c>
      <c r="P220" s="1">
        <v>42589</v>
      </c>
      <c r="Q220" t="s">
        <v>36</v>
      </c>
      <c r="R220" t="s">
        <v>693</v>
      </c>
      <c r="S220" t="s">
        <v>36</v>
      </c>
      <c r="W220">
        <v>0</v>
      </c>
      <c r="Z220">
        <v>0</v>
      </c>
    </row>
    <row r="221" spans="1:26" x14ac:dyDescent="0.3">
      <c r="A221">
        <v>45107</v>
      </c>
      <c r="B221" t="s">
        <v>694</v>
      </c>
      <c r="C221" t="s">
        <v>531</v>
      </c>
      <c r="D221" t="s">
        <v>532</v>
      </c>
      <c r="F221" t="str">
        <f>"0006480098"</f>
        <v>0006480098</v>
      </c>
      <c r="G221" t="str">
        <f>"9780006480099"</f>
        <v>9780006480099</v>
      </c>
      <c r="H221">
        <v>4</v>
      </c>
      <c r="I221">
        <v>4.16</v>
      </c>
      <c r="J221" t="s">
        <v>670</v>
      </c>
      <c r="K221" t="s">
        <v>257</v>
      </c>
      <c r="L221">
        <v>460</v>
      </c>
      <c r="M221">
        <v>1996</v>
      </c>
      <c r="N221">
        <v>1995</v>
      </c>
      <c r="O221" s="1">
        <v>42589</v>
      </c>
      <c r="P221" s="1">
        <v>41688</v>
      </c>
      <c r="S221" t="s">
        <v>43</v>
      </c>
      <c r="W221">
        <v>1</v>
      </c>
      <c r="Z221">
        <v>0</v>
      </c>
    </row>
    <row r="222" spans="1:26" x14ac:dyDescent="0.3">
      <c r="A222">
        <v>30165203</v>
      </c>
      <c r="B222" t="s">
        <v>678</v>
      </c>
      <c r="C222" t="s">
        <v>679</v>
      </c>
      <c r="D222" t="s">
        <v>680</v>
      </c>
      <c r="F222" t="str">
        <f>""</f>
        <v/>
      </c>
      <c r="G222" t="str">
        <f>""</f>
        <v/>
      </c>
      <c r="H222">
        <v>3</v>
      </c>
      <c r="I222">
        <v>4.1100000000000003</v>
      </c>
      <c r="J222" t="s">
        <v>695</v>
      </c>
      <c r="K222" t="s">
        <v>57</v>
      </c>
      <c r="L222">
        <v>635</v>
      </c>
      <c r="M222">
        <v>2011</v>
      </c>
      <c r="N222">
        <v>2001</v>
      </c>
      <c r="O222" s="1">
        <v>42558</v>
      </c>
      <c r="P222" s="1">
        <v>42558</v>
      </c>
      <c r="S222" t="s">
        <v>43</v>
      </c>
      <c r="W222">
        <v>1</v>
      </c>
      <c r="Z222">
        <v>0</v>
      </c>
    </row>
    <row r="223" spans="1:26" x14ac:dyDescent="0.3">
      <c r="A223">
        <v>16847978</v>
      </c>
      <c r="B223" t="s">
        <v>696</v>
      </c>
      <c r="C223" t="s">
        <v>39</v>
      </c>
      <c r="D223" t="s">
        <v>40</v>
      </c>
      <c r="F223" t="str">
        <f>""</f>
        <v/>
      </c>
      <c r="G223" t="str">
        <f>""</f>
        <v/>
      </c>
      <c r="H223">
        <v>5</v>
      </c>
      <c r="I223">
        <v>4.4000000000000004</v>
      </c>
      <c r="K223" t="s">
        <v>57</v>
      </c>
      <c r="L223">
        <v>342</v>
      </c>
      <c r="M223">
        <v>2012</v>
      </c>
      <c r="N223">
        <v>2011</v>
      </c>
      <c r="O223" s="1">
        <v>42285</v>
      </c>
      <c r="P223" s="1">
        <v>41852</v>
      </c>
      <c r="S223" t="s">
        <v>43</v>
      </c>
      <c r="W223">
        <v>1</v>
      </c>
      <c r="Z223">
        <v>0</v>
      </c>
    </row>
    <row r="224" spans="1:26" x14ac:dyDescent="0.3">
      <c r="A224">
        <v>22886612</v>
      </c>
      <c r="B224" t="s">
        <v>697</v>
      </c>
      <c r="C224" t="s">
        <v>129</v>
      </c>
      <c r="D224" t="s">
        <v>130</v>
      </c>
      <c r="F224" t="str">
        <f>""</f>
        <v/>
      </c>
      <c r="G224" t="str">
        <f>""</f>
        <v/>
      </c>
      <c r="H224">
        <v>4</v>
      </c>
      <c r="I224">
        <v>4.42</v>
      </c>
      <c r="J224" t="s">
        <v>205</v>
      </c>
      <c r="K224" t="s">
        <v>57</v>
      </c>
      <c r="L224">
        <v>536</v>
      </c>
      <c r="M224">
        <v>2015</v>
      </c>
      <c r="N224">
        <v>2015</v>
      </c>
      <c r="O224" s="1">
        <v>42550</v>
      </c>
      <c r="P224" s="1">
        <v>42491</v>
      </c>
      <c r="S224" t="s">
        <v>43</v>
      </c>
      <c r="W224">
        <v>1</v>
      </c>
      <c r="Z224">
        <v>0</v>
      </c>
    </row>
    <row r="225" spans="1:26" x14ac:dyDescent="0.3">
      <c r="A225">
        <v>25972177</v>
      </c>
      <c r="B225" t="s">
        <v>698</v>
      </c>
      <c r="C225" t="s">
        <v>364</v>
      </c>
      <c r="D225" t="s">
        <v>365</v>
      </c>
      <c r="F225" t="str">
        <f>"0356506398"</f>
        <v>0356506398</v>
      </c>
      <c r="G225" t="str">
        <f>"9780356506395"</f>
        <v>9780356506395</v>
      </c>
      <c r="H225">
        <v>0</v>
      </c>
      <c r="I225">
        <v>4.0599999999999996</v>
      </c>
      <c r="J225" t="s">
        <v>205</v>
      </c>
      <c r="K225" t="s">
        <v>42</v>
      </c>
      <c r="L225">
        <v>592</v>
      </c>
      <c r="M225">
        <v>2016</v>
      </c>
      <c r="N225">
        <v>2016</v>
      </c>
      <c r="P225" s="1">
        <v>42544</v>
      </c>
      <c r="Q225" t="s">
        <v>36</v>
      </c>
      <c r="R225" t="s">
        <v>699</v>
      </c>
      <c r="S225" t="s">
        <v>36</v>
      </c>
      <c r="W225">
        <v>0</v>
      </c>
      <c r="Z225">
        <v>0</v>
      </c>
    </row>
    <row r="226" spans="1:26" x14ac:dyDescent="0.3">
      <c r="A226">
        <v>8935689</v>
      </c>
      <c r="B226" t="s">
        <v>700</v>
      </c>
      <c r="C226" t="s">
        <v>701</v>
      </c>
      <c r="D226" t="s">
        <v>702</v>
      </c>
      <c r="F226" t="str">
        <f>"1857231384"</f>
        <v>1857231384</v>
      </c>
      <c r="G226" t="str">
        <f>"9781857231380"</f>
        <v>9781857231380</v>
      </c>
      <c r="H226">
        <v>0</v>
      </c>
      <c r="I226">
        <v>3.86</v>
      </c>
      <c r="J226" t="s">
        <v>205</v>
      </c>
      <c r="K226" t="s">
        <v>102</v>
      </c>
      <c r="L226">
        <v>471</v>
      </c>
      <c r="M226">
        <v>1988</v>
      </c>
      <c r="N226">
        <v>1987</v>
      </c>
      <c r="P226" s="1">
        <v>42536</v>
      </c>
      <c r="Q226" t="s">
        <v>36</v>
      </c>
      <c r="R226" t="s">
        <v>703</v>
      </c>
      <c r="S226" t="s">
        <v>36</v>
      </c>
      <c r="W226">
        <v>0</v>
      </c>
      <c r="Z226">
        <v>0</v>
      </c>
    </row>
    <row r="227" spans="1:26" x14ac:dyDescent="0.3">
      <c r="A227">
        <v>89187</v>
      </c>
      <c r="B227" t="s">
        <v>704</v>
      </c>
      <c r="C227" t="s">
        <v>705</v>
      </c>
      <c r="D227" t="s">
        <v>706</v>
      </c>
      <c r="F227" t="str">
        <f>"0441009425"</f>
        <v>0441009425</v>
      </c>
      <c r="G227" t="str">
        <f>"9780441009428"</f>
        <v>9780441009428</v>
      </c>
      <c r="H227">
        <v>0</v>
      </c>
      <c r="I227">
        <v>3.99</v>
      </c>
      <c r="J227" t="s">
        <v>189</v>
      </c>
      <c r="K227" t="s">
        <v>257</v>
      </c>
      <c r="L227">
        <v>585</v>
      </c>
      <c r="M227">
        <v>2002</v>
      </c>
      <c r="N227">
        <v>2000</v>
      </c>
      <c r="P227" s="1">
        <v>42536</v>
      </c>
      <c r="Q227" t="s">
        <v>36</v>
      </c>
      <c r="R227" t="s">
        <v>707</v>
      </c>
      <c r="S227" t="s">
        <v>36</v>
      </c>
      <c r="W227">
        <v>0</v>
      </c>
      <c r="Z227">
        <v>0</v>
      </c>
    </row>
    <row r="228" spans="1:26" x14ac:dyDescent="0.3">
      <c r="A228">
        <v>26771521</v>
      </c>
      <c r="B228" t="s">
        <v>708</v>
      </c>
      <c r="C228" t="s">
        <v>709</v>
      </c>
      <c r="D228" t="s">
        <v>710</v>
      </c>
      <c r="F228" t="str">
        <f>"1516865871"</f>
        <v>1516865871</v>
      </c>
      <c r="G228" t="str">
        <f>"9781516865871"</f>
        <v>9781516865871</v>
      </c>
      <c r="H228">
        <v>0</v>
      </c>
      <c r="I228">
        <v>3.91</v>
      </c>
      <c r="J228" t="s">
        <v>711</v>
      </c>
      <c r="K228" t="s">
        <v>102</v>
      </c>
      <c r="L228">
        <v>254</v>
      </c>
      <c r="M228">
        <v>2015</v>
      </c>
      <c r="N228">
        <v>2015</v>
      </c>
      <c r="P228" s="1">
        <v>42536</v>
      </c>
      <c r="Q228" t="s">
        <v>36</v>
      </c>
      <c r="R228" t="s">
        <v>712</v>
      </c>
      <c r="S228" t="s">
        <v>36</v>
      </c>
      <c r="W228">
        <v>0</v>
      </c>
      <c r="Z228">
        <v>0</v>
      </c>
    </row>
    <row r="229" spans="1:26" x14ac:dyDescent="0.3">
      <c r="A229">
        <v>20662430</v>
      </c>
      <c r="B229" t="s">
        <v>713</v>
      </c>
      <c r="C229" t="s">
        <v>709</v>
      </c>
      <c r="D229" t="s">
        <v>710</v>
      </c>
      <c r="F229" t="str">
        <f>"009959515X"</f>
        <v>009959515X</v>
      </c>
      <c r="G229" t="str">
        <f>"9780099595151"</f>
        <v>9780099595151</v>
      </c>
      <c r="H229">
        <v>0</v>
      </c>
      <c r="I229">
        <v>3.97</v>
      </c>
      <c r="J229" t="s">
        <v>714</v>
      </c>
      <c r="K229" t="s">
        <v>102</v>
      </c>
      <c r="L229">
        <v>372</v>
      </c>
      <c r="M229">
        <v>2014</v>
      </c>
      <c r="N229">
        <v>2014</v>
      </c>
      <c r="P229" s="1">
        <v>42536</v>
      </c>
      <c r="Q229" t="s">
        <v>36</v>
      </c>
      <c r="R229" t="s">
        <v>715</v>
      </c>
      <c r="S229" t="s">
        <v>36</v>
      </c>
      <c r="W229">
        <v>0</v>
      </c>
      <c r="Z229">
        <v>0</v>
      </c>
    </row>
    <row r="230" spans="1:26" x14ac:dyDescent="0.3">
      <c r="A230">
        <v>22171697</v>
      </c>
      <c r="B230" t="s">
        <v>716</v>
      </c>
      <c r="C230" t="s">
        <v>717</v>
      </c>
      <c r="D230" t="s">
        <v>718</v>
      </c>
      <c r="F230" t="str">
        <f>""</f>
        <v/>
      </c>
      <c r="G230" t="str">
        <f>""</f>
        <v/>
      </c>
      <c r="H230">
        <v>0</v>
      </c>
      <c r="I230">
        <v>4.08</v>
      </c>
      <c r="J230" t="s">
        <v>719</v>
      </c>
      <c r="K230" t="s">
        <v>57</v>
      </c>
      <c r="L230">
        <v>394</v>
      </c>
      <c r="M230">
        <v>2014</v>
      </c>
      <c r="N230">
        <v>2014</v>
      </c>
      <c r="P230" s="1">
        <v>42536</v>
      </c>
      <c r="Q230" t="s">
        <v>36</v>
      </c>
      <c r="R230" t="s">
        <v>720</v>
      </c>
      <c r="S230" t="s">
        <v>36</v>
      </c>
      <c r="W230">
        <v>0</v>
      </c>
      <c r="Z230">
        <v>0</v>
      </c>
    </row>
    <row r="231" spans="1:26" x14ac:dyDescent="0.3">
      <c r="A231">
        <v>77566</v>
      </c>
      <c r="B231" t="s">
        <v>721</v>
      </c>
      <c r="C231" t="s">
        <v>722</v>
      </c>
      <c r="D231" t="s">
        <v>723</v>
      </c>
      <c r="E231" t="s">
        <v>724</v>
      </c>
      <c r="F231" t="str">
        <f>"0553283685"</f>
        <v>0553283685</v>
      </c>
      <c r="G231" t="str">
        <f>"9780553283686"</f>
        <v>9780553283686</v>
      </c>
      <c r="H231">
        <v>0</v>
      </c>
      <c r="I231">
        <v>4.24</v>
      </c>
      <c r="J231" t="s">
        <v>725</v>
      </c>
      <c r="K231" t="s">
        <v>257</v>
      </c>
      <c r="L231">
        <v>482</v>
      </c>
      <c r="M231">
        <v>1990</v>
      </c>
      <c r="N231">
        <v>1989</v>
      </c>
      <c r="P231" s="1">
        <v>42536</v>
      </c>
      <c r="Q231" t="s">
        <v>36</v>
      </c>
      <c r="R231" t="s">
        <v>726</v>
      </c>
      <c r="S231" t="s">
        <v>36</v>
      </c>
      <c r="W231">
        <v>0</v>
      </c>
      <c r="Z231">
        <v>0</v>
      </c>
    </row>
    <row r="232" spans="1:26" x14ac:dyDescent="0.3">
      <c r="A232">
        <v>325661</v>
      </c>
      <c r="B232" t="s">
        <v>727</v>
      </c>
      <c r="C232" t="s">
        <v>728</v>
      </c>
      <c r="D232" t="s">
        <v>729</v>
      </c>
      <c r="E232" t="s">
        <v>730</v>
      </c>
      <c r="F232" t="str">
        <f>"0743487184"</f>
        <v>0743487184</v>
      </c>
      <c r="G232" t="str">
        <f>"9780743487184"</f>
        <v>9780743487184</v>
      </c>
      <c r="H232">
        <v>0</v>
      </c>
      <c r="I232">
        <v>3.85</v>
      </c>
      <c r="J232" t="s">
        <v>731</v>
      </c>
      <c r="K232" t="s">
        <v>102</v>
      </c>
      <c r="L232">
        <v>483</v>
      </c>
      <c r="M232">
        <v>2004</v>
      </c>
      <c r="N232">
        <v>1984</v>
      </c>
      <c r="P232" s="1">
        <v>42536</v>
      </c>
      <c r="Q232" t="s">
        <v>36</v>
      </c>
      <c r="R232" t="s">
        <v>732</v>
      </c>
      <c r="S232" t="s">
        <v>36</v>
      </c>
      <c r="W232">
        <v>0</v>
      </c>
      <c r="Z232">
        <v>0</v>
      </c>
    </row>
    <row r="233" spans="1:26" x14ac:dyDescent="0.3">
      <c r="A233">
        <v>147908</v>
      </c>
      <c r="B233" t="s">
        <v>733</v>
      </c>
      <c r="C233" t="s">
        <v>734</v>
      </c>
      <c r="D233" t="s">
        <v>735</v>
      </c>
      <c r="E233" t="s">
        <v>736</v>
      </c>
      <c r="F233" t="str">
        <f>"1596872829"</f>
        <v>1596872829</v>
      </c>
      <c r="G233" t="str">
        <f>"9781596872820"</f>
        <v>9781596872820</v>
      </c>
      <c r="H233">
        <v>0</v>
      </c>
      <c r="I233">
        <v>3.69</v>
      </c>
      <c r="J233" t="s">
        <v>731</v>
      </c>
      <c r="K233" t="s">
        <v>102</v>
      </c>
      <c r="L233">
        <v>432</v>
      </c>
      <c r="M233">
        <v>2007</v>
      </c>
      <c r="N233">
        <v>1986</v>
      </c>
      <c r="P233" s="1">
        <v>42536</v>
      </c>
      <c r="Q233" t="s">
        <v>36</v>
      </c>
      <c r="R233" t="s">
        <v>737</v>
      </c>
      <c r="S233" t="s">
        <v>36</v>
      </c>
      <c r="W233">
        <v>0</v>
      </c>
      <c r="Z233">
        <v>0</v>
      </c>
    </row>
    <row r="234" spans="1:26" x14ac:dyDescent="0.3">
      <c r="A234">
        <v>18656030</v>
      </c>
      <c r="B234" t="s">
        <v>738</v>
      </c>
      <c r="C234" t="s">
        <v>129</v>
      </c>
      <c r="D234" t="s">
        <v>130</v>
      </c>
      <c r="F234" t="str">
        <f>""</f>
        <v/>
      </c>
      <c r="G234" t="str">
        <f>""</f>
        <v/>
      </c>
      <c r="H234">
        <v>3</v>
      </c>
      <c r="I234">
        <v>4.2</v>
      </c>
      <c r="J234" t="s">
        <v>205</v>
      </c>
      <c r="K234" t="s">
        <v>42</v>
      </c>
      <c r="L234">
        <v>581</v>
      </c>
      <c r="M234">
        <v>2014</v>
      </c>
      <c r="N234">
        <v>2014</v>
      </c>
      <c r="O234" s="1">
        <v>42512</v>
      </c>
      <c r="P234" s="1">
        <v>42491</v>
      </c>
      <c r="S234" t="s">
        <v>43</v>
      </c>
      <c r="W234">
        <v>1</v>
      </c>
      <c r="Z234">
        <v>0</v>
      </c>
    </row>
    <row r="235" spans="1:26" x14ac:dyDescent="0.3">
      <c r="A235">
        <v>25648897</v>
      </c>
      <c r="B235" t="s">
        <v>739</v>
      </c>
      <c r="C235" t="s">
        <v>95</v>
      </c>
      <c r="D235" t="s">
        <v>96</v>
      </c>
      <c r="F235" t="str">
        <f>""</f>
        <v/>
      </c>
      <c r="G235" t="str">
        <f>""</f>
        <v/>
      </c>
      <c r="H235">
        <v>4</v>
      </c>
      <c r="I235">
        <v>4.2699999999999996</v>
      </c>
      <c r="J235" t="s">
        <v>97</v>
      </c>
      <c r="K235" t="s">
        <v>57</v>
      </c>
      <c r="L235">
        <v>386</v>
      </c>
      <c r="M235">
        <v>2016</v>
      </c>
      <c r="N235">
        <v>2016</v>
      </c>
      <c r="O235" s="1">
        <v>42497</v>
      </c>
      <c r="P235" s="1">
        <v>42470</v>
      </c>
      <c r="S235" t="s">
        <v>43</v>
      </c>
      <c r="W235">
        <v>1</v>
      </c>
      <c r="Z235">
        <v>0</v>
      </c>
    </row>
    <row r="236" spans="1:26" x14ac:dyDescent="0.3">
      <c r="A236">
        <v>25733990</v>
      </c>
      <c r="B236" t="s">
        <v>740</v>
      </c>
      <c r="C236" t="s">
        <v>741</v>
      </c>
      <c r="D236" t="s">
        <v>742</v>
      </c>
      <c r="F236" t="str">
        <f>"1101886692"</f>
        <v>1101886692</v>
      </c>
      <c r="G236" t="str">
        <f>"9781101886694"</f>
        <v>9781101886694</v>
      </c>
      <c r="H236">
        <v>0</v>
      </c>
      <c r="I236">
        <v>3.83</v>
      </c>
      <c r="J236" t="s">
        <v>223</v>
      </c>
      <c r="K236" t="s">
        <v>42</v>
      </c>
      <c r="L236">
        <v>320</v>
      </c>
      <c r="M236">
        <v>2016</v>
      </c>
      <c r="N236">
        <v>2016</v>
      </c>
      <c r="P236" s="1">
        <v>42492</v>
      </c>
      <c r="Q236" t="s">
        <v>36</v>
      </c>
      <c r="R236" t="s">
        <v>743</v>
      </c>
      <c r="S236" t="s">
        <v>36</v>
      </c>
      <c r="W236">
        <v>0</v>
      </c>
      <c r="Z236">
        <v>0</v>
      </c>
    </row>
    <row r="237" spans="1:26" x14ac:dyDescent="0.3">
      <c r="A237">
        <v>26170028</v>
      </c>
      <c r="B237" t="s">
        <v>744</v>
      </c>
      <c r="C237" t="s">
        <v>129</v>
      </c>
      <c r="D237" t="s">
        <v>130</v>
      </c>
      <c r="F237" t="str">
        <f>"0316217565"</f>
        <v>0316217565</v>
      </c>
      <c r="G237" t="str">
        <f>"9780316217569"</f>
        <v>9780316217569</v>
      </c>
      <c r="H237">
        <v>0</v>
      </c>
      <c r="I237">
        <v>3.89</v>
      </c>
      <c r="J237" t="s">
        <v>205</v>
      </c>
      <c r="K237" t="s">
        <v>35</v>
      </c>
      <c r="L237">
        <v>75</v>
      </c>
      <c r="M237">
        <v>2015</v>
      </c>
      <c r="N237">
        <v>2015</v>
      </c>
      <c r="P237" s="1">
        <v>42491</v>
      </c>
      <c r="Q237" t="s">
        <v>36</v>
      </c>
      <c r="R237" t="s">
        <v>745</v>
      </c>
      <c r="S237" t="s">
        <v>36</v>
      </c>
      <c r="W237">
        <v>0</v>
      </c>
      <c r="Z237">
        <v>0</v>
      </c>
    </row>
    <row r="238" spans="1:26" x14ac:dyDescent="0.3">
      <c r="A238">
        <v>16131032</v>
      </c>
      <c r="B238" t="s">
        <v>746</v>
      </c>
      <c r="C238" t="s">
        <v>129</v>
      </c>
      <c r="D238" t="s">
        <v>130</v>
      </c>
      <c r="F238" t="str">
        <f>"0316129070"</f>
        <v>0316129070</v>
      </c>
      <c r="G238" t="str">
        <f>"9780316129077"</f>
        <v>9780316129077</v>
      </c>
      <c r="H238">
        <v>4</v>
      </c>
      <c r="I238">
        <v>4.25</v>
      </c>
      <c r="J238" t="s">
        <v>205</v>
      </c>
      <c r="K238" t="s">
        <v>102</v>
      </c>
      <c r="L238">
        <v>539</v>
      </c>
      <c r="M238">
        <v>2013</v>
      </c>
      <c r="N238">
        <v>2013</v>
      </c>
      <c r="O238" s="1">
        <v>42491</v>
      </c>
      <c r="P238" s="1">
        <v>42470</v>
      </c>
      <c r="S238" t="s">
        <v>43</v>
      </c>
      <c r="W238">
        <v>1</v>
      </c>
      <c r="Z238">
        <v>0</v>
      </c>
    </row>
    <row r="239" spans="1:26" x14ac:dyDescent="0.3">
      <c r="A239">
        <v>15837317</v>
      </c>
      <c r="B239" t="s">
        <v>747</v>
      </c>
      <c r="C239" t="s">
        <v>129</v>
      </c>
      <c r="D239" t="s">
        <v>130</v>
      </c>
      <c r="F239" t="str">
        <f>""</f>
        <v/>
      </c>
      <c r="G239" t="str">
        <f>""</f>
        <v/>
      </c>
      <c r="H239">
        <v>3</v>
      </c>
      <c r="I239">
        <v>3.72</v>
      </c>
      <c r="J239" t="s">
        <v>205</v>
      </c>
      <c r="K239" t="s">
        <v>57</v>
      </c>
      <c r="L239">
        <v>68</v>
      </c>
      <c r="M239">
        <v>2012</v>
      </c>
      <c r="N239">
        <v>2012</v>
      </c>
      <c r="O239" s="1">
        <v>42473</v>
      </c>
      <c r="P239" s="1">
        <v>42470</v>
      </c>
      <c r="S239" t="s">
        <v>43</v>
      </c>
      <c r="W239">
        <v>1</v>
      </c>
      <c r="Z239">
        <v>0</v>
      </c>
    </row>
    <row r="240" spans="1:26" x14ac:dyDescent="0.3">
      <c r="A240">
        <v>17332218</v>
      </c>
      <c r="B240" t="s">
        <v>748</v>
      </c>
      <c r="C240" t="s">
        <v>45</v>
      </c>
      <c r="D240" t="s">
        <v>46</v>
      </c>
      <c r="F240" t="str">
        <f>"0765326361"</f>
        <v>0765326361</v>
      </c>
      <c r="G240" t="str">
        <f>"9780765326362"</f>
        <v>9780765326362</v>
      </c>
      <c r="H240">
        <v>5</v>
      </c>
      <c r="I240">
        <v>4.75</v>
      </c>
      <c r="J240" t="s">
        <v>56</v>
      </c>
      <c r="K240" t="s">
        <v>42</v>
      </c>
      <c r="L240">
        <v>1087</v>
      </c>
      <c r="M240">
        <v>2014</v>
      </c>
      <c r="N240">
        <v>2014</v>
      </c>
      <c r="O240" s="1">
        <v>42469</v>
      </c>
      <c r="P240" s="1">
        <v>41794</v>
      </c>
      <c r="S240" t="s">
        <v>43</v>
      </c>
      <c r="W240">
        <v>1</v>
      </c>
      <c r="Z240">
        <v>0</v>
      </c>
    </row>
    <row r="241" spans="1:26" x14ac:dyDescent="0.3">
      <c r="A241">
        <v>20886354</v>
      </c>
      <c r="B241" t="s">
        <v>749</v>
      </c>
      <c r="C241" t="s">
        <v>45</v>
      </c>
      <c r="D241" t="s">
        <v>46</v>
      </c>
      <c r="E241" t="s">
        <v>750</v>
      </c>
      <c r="F241" t="str">
        <f>""</f>
        <v/>
      </c>
      <c r="G241" t="str">
        <f>""</f>
        <v/>
      </c>
      <c r="H241">
        <v>4</v>
      </c>
      <c r="I241">
        <v>4.13</v>
      </c>
      <c r="J241" t="s">
        <v>751</v>
      </c>
      <c r="K241" t="s">
        <v>620</v>
      </c>
      <c r="L241">
        <v>208</v>
      </c>
      <c r="M241">
        <v>2014</v>
      </c>
      <c r="N241">
        <v>2014</v>
      </c>
      <c r="O241" s="1">
        <v>42435</v>
      </c>
      <c r="P241" s="1">
        <v>41943</v>
      </c>
      <c r="S241" t="s">
        <v>43</v>
      </c>
      <c r="W241">
        <v>1</v>
      </c>
      <c r="Z241">
        <v>0</v>
      </c>
    </row>
    <row r="242" spans="1:26" x14ac:dyDescent="0.3">
      <c r="A242">
        <v>7235533</v>
      </c>
      <c r="B242" t="s">
        <v>752</v>
      </c>
      <c r="C242" t="s">
        <v>45</v>
      </c>
      <c r="D242" t="s">
        <v>46</v>
      </c>
      <c r="F242" t="str">
        <f>"0765326353"</f>
        <v>0765326353</v>
      </c>
      <c r="G242" t="str">
        <f>"9780765326355"</f>
        <v>9780765326355</v>
      </c>
      <c r="H242">
        <v>5</v>
      </c>
      <c r="I242">
        <v>4.63</v>
      </c>
      <c r="J242" t="s">
        <v>56</v>
      </c>
      <c r="K242" t="s">
        <v>42</v>
      </c>
      <c r="L242">
        <v>1007</v>
      </c>
      <c r="M242">
        <v>2010</v>
      </c>
      <c r="N242">
        <v>2010</v>
      </c>
      <c r="O242" s="1">
        <v>42459</v>
      </c>
      <c r="P242" s="1">
        <v>41646</v>
      </c>
      <c r="S242" t="s">
        <v>43</v>
      </c>
      <c r="W242">
        <v>1</v>
      </c>
      <c r="Z242">
        <v>0</v>
      </c>
    </row>
    <row r="243" spans="1:26" x14ac:dyDescent="0.3">
      <c r="A243">
        <v>28881</v>
      </c>
      <c r="B243" t="s">
        <v>753</v>
      </c>
      <c r="C243" t="s">
        <v>754</v>
      </c>
      <c r="D243" t="s">
        <v>755</v>
      </c>
      <c r="F243" t="str">
        <f>"0380813815"</f>
        <v>0380813815</v>
      </c>
      <c r="G243" t="str">
        <f>"9780380813810"</f>
        <v>9780380813810</v>
      </c>
      <c r="H243">
        <v>0</v>
      </c>
      <c r="I243">
        <v>4.22</v>
      </c>
      <c r="J243" t="s">
        <v>756</v>
      </c>
      <c r="K243" t="s">
        <v>102</v>
      </c>
      <c r="L243">
        <v>444</v>
      </c>
      <c r="M243">
        <v>2004</v>
      </c>
      <c r="N243">
        <v>2002</v>
      </c>
      <c r="P243" s="1">
        <v>42428</v>
      </c>
      <c r="Q243" t="s">
        <v>36</v>
      </c>
      <c r="R243" t="s">
        <v>757</v>
      </c>
      <c r="S243" t="s">
        <v>36</v>
      </c>
      <c r="W243">
        <v>0</v>
      </c>
      <c r="Z243">
        <v>0</v>
      </c>
    </row>
    <row r="244" spans="1:26" x14ac:dyDescent="0.3">
      <c r="A244">
        <v>13452375</v>
      </c>
      <c r="B244" t="s">
        <v>758</v>
      </c>
      <c r="C244" t="s">
        <v>45</v>
      </c>
      <c r="D244" t="s">
        <v>46</v>
      </c>
      <c r="E244" t="s">
        <v>759</v>
      </c>
      <c r="F244" t="str">
        <f>"1596064854"</f>
        <v>1596064854</v>
      </c>
      <c r="G244" t="str">
        <f>"9781596064850"</f>
        <v>9781596064850</v>
      </c>
      <c r="H244">
        <v>4</v>
      </c>
      <c r="I244">
        <v>4.1399999999999997</v>
      </c>
      <c r="J244" t="s">
        <v>309</v>
      </c>
      <c r="K244" t="s">
        <v>42</v>
      </c>
      <c r="L244">
        <v>88</v>
      </c>
      <c r="M244">
        <v>2012</v>
      </c>
      <c r="N244">
        <v>2012</v>
      </c>
      <c r="P244" s="1">
        <v>41974</v>
      </c>
      <c r="S244" t="s">
        <v>43</v>
      </c>
      <c r="W244">
        <v>1</v>
      </c>
      <c r="Z244">
        <v>0</v>
      </c>
    </row>
    <row r="245" spans="1:26" x14ac:dyDescent="0.3">
      <c r="A245">
        <v>21411388</v>
      </c>
      <c r="B245" t="s">
        <v>760</v>
      </c>
      <c r="C245" t="s">
        <v>45</v>
      </c>
      <c r="D245" t="s">
        <v>46</v>
      </c>
      <c r="F245" t="str">
        <f>""</f>
        <v/>
      </c>
      <c r="G245" t="str">
        <f>""</f>
        <v/>
      </c>
      <c r="H245">
        <v>0</v>
      </c>
      <c r="I245">
        <v>4.2</v>
      </c>
      <c r="J245" t="s">
        <v>56</v>
      </c>
      <c r="L245">
        <v>50</v>
      </c>
      <c r="M245">
        <v>2013</v>
      </c>
      <c r="N245">
        <v>2013</v>
      </c>
      <c r="P245" s="1">
        <v>42425</v>
      </c>
      <c r="Q245" t="s">
        <v>36</v>
      </c>
      <c r="R245" t="s">
        <v>761</v>
      </c>
      <c r="S245" t="s">
        <v>36</v>
      </c>
      <c r="W245">
        <v>0</v>
      </c>
      <c r="Z245">
        <v>0</v>
      </c>
    </row>
    <row r="246" spans="1:26" x14ac:dyDescent="0.3">
      <c r="A246">
        <v>25188109</v>
      </c>
      <c r="B246" t="s">
        <v>762</v>
      </c>
      <c r="C246" t="s">
        <v>45</v>
      </c>
      <c r="D246" t="s">
        <v>46</v>
      </c>
      <c r="F246" t="str">
        <f>""</f>
        <v/>
      </c>
      <c r="G246" t="str">
        <f>""</f>
        <v/>
      </c>
      <c r="H246">
        <v>0</v>
      </c>
      <c r="I246">
        <v>4.0599999999999996</v>
      </c>
      <c r="J246" t="s">
        <v>251</v>
      </c>
      <c r="K246" t="s">
        <v>57</v>
      </c>
      <c r="L246">
        <v>87</v>
      </c>
      <c r="M246">
        <v>2015</v>
      </c>
      <c r="N246">
        <v>2015</v>
      </c>
      <c r="P246" s="1">
        <v>42425</v>
      </c>
      <c r="Q246" t="s">
        <v>36</v>
      </c>
      <c r="R246" t="s">
        <v>763</v>
      </c>
      <c r="S246" t="s">
        <v>36</v>
      </c>
      <c r="W246">
        <v>0</v>
      </c>
      <c r="Z246">
        <v>0</v>
      </c>
    </row>
    <row r="247" spans="1:26" x14ac:dyDescent="0.3">
      <c r="A247">
        <v>623976</v>
      </c>
      <c r="B247" t="s">
        <v>764</v>
      </c>
      <c r="C247" t="s">
        <v>45</v>
      </c>
      <c r="D247" t="s">
        <v>46</v>
      </c>
      <c r="F247" t="str">
        <f>"0439925509"</f>
        <v>0439925509</v>
      </c>
      <c r="G247" t="str">
        <f>"9780439925501"</f>
        <v>9780439925501</v>
      </c>
      <c r="H247">
        <v>0</v>
      </c>
      <c r="I247">
        <v>3.9</v>
      </c>
      <c r="J247" t="s">
        <v>765</v>
      </c>
      <c r="K247" t="s">
        <v>42</v>
      </c>
      <c r="L247">
        <v>308</v>
      </c>
      <c r="M247">
        <v>2007</v>
      </c>
      <c r="N247">
        <v>2007</v>
      </c>
      <c r="P247" s="1">
        <v>42425</v>
      </c>
      <c r="Q247" t="s">
        <v>36</v>
      </c>
      <c r="R247" t="s">
        <v>766</v>
      </c>
      <c r="S247" t="s">
        <v>36</v>
      </c>
      <c r="W247">
        <v>0</v>
      </c>
      <c r="Z247">
        <v>0</v>
      </c>
    </row>
    <row r="248" spans="1:26" x14ac:dyDescent="0.3">
      <c r="A248">
        <v>16280689</v>
      </c>
      <c r="B248" t="s">
        <v>767</v>
      </c>
      <c r="C248" t="s">
        <v>200</v>
      </c>
      <c r="D248" t="s">
        <v>201</v>
      </c>
      <c r="F248" t="str">
        <f>"0345548515"</f>
        <v>0345548515</v>
      </c>
      <c r="G248" t="str">
        <f>"9780345548511"</f>
        <v>9780345548511</v>
      </c>
      <c r="H248">
        <v>3</v>
      </c>
      <c r="I248">
        <v>4.24</v>
      </c>
      <c r="J248" t="s">
        <v>223</v>
      </c>
      <c r="K248" t="s">
        <v>42</v>
      </c>
      <c r="L248">
        <v>310</v>
      </c>
      <c r="M248">
        <v>2016</v>
      </c>
      <c r="N248">
        <v>2016</v>
      </c>
      <c r="P248" s="1">
        <v>41794</v>
      </c>
      <c r="S248" t="s">
        <v>43</v>
      </c>
      <c r="W248">
        <v>1</v>
      </c>
      <c r="Z248">
        <v>0</v>
      </c>
    </row>
    <row r="249" spans="1:26" x14ac:dyDescent="0.3">
      <c r="A249">
        <v>22443261</v>
      </c>
      <c r="B249" t="s">
        <v>768</v>
      </c>
      <c r="C249" t="s">
        <v>45</v>
      </c>
      <c r="D249" t="s">
        <v>46</v>
      </c>
      <c r="F249" t="str">
        <f>""</f>
        <v/>
      </c>
      <c r="G249" t="str">
        <f>""</f>
        <v/>
      </c>
      <c r="H249">
        <v>4</v>
      </c>
      <c r="I249">
        <v>4.2300000000000004</v>
      </c>
      <c r="J249" t="s">
        <v>769</v>
      </c>
      <c r="K249" t="s">
        <v>57</v>
      </c>
      <c r="L249">
        <v>353</v>
      </c>
      <c r="M249">
        <v>2014</v>
      </c>
      <c r="N249">
        <v>2013</v>
      </c>
      <c r="O249" s="1">
        <v>42425</v>
      </c>
      <c r="P249" s="1">
        <v>42421</v>
      </c>
      <c r="S249" t="s">
        <v>43</v>
      </c>
      <c r="W249">
        <v>1</v>
      </c>
      <c r="Z249">
        <v>0</v>
      </c>
    </row>
    <row r="250" spans="1:26" x14ac:dyDescent="0.3">
      <c r="A250">
        <v>20518872</v>
      </c>
      <c r="B250" t="s">
        <v>770</v>
      </c>
      <c r="C250" t="s">
        <v>771</v>
      </c>
      <c r="D250" t="s">
        <v>772</v>
      </c>
      <c r="E250" t="s">
        <v>773</v>
      </c>
      <c r="F250" t="str">
        <f>"0765377063"</f>
        <v>0765377063</v>
      </c>
      <c r="G250" t="str">
        <f>"9780765377067"</f>
        <v>9780765377067</v>
      </c>
      <c r="H250">
        <v>0</v>
      </c>
      <c r="I250">
        <v>4.07</v>
      </c>
      <c r="J250" t="s">
        <v>56</v>
      </c>
      <c r="K250" t="s">
        <v>42</v>
      </c>
      <c r="L250">
        <v>399</v>
      </c>
      <c r="M250">
        <v>2014</v>
      </c>
      <c r="N250">
        <v>2006</v>
      </c>
      <c r="P250" s="1">
        <v>42422</v>
      </c>
      <c r="Q250" t="s">
        <v>36</v>
      </c>
      <c r="R250" t="s">
        <v>774</v>
      </c>
      <c r="S250" t="s">
        <v>36</v>
      </c>
      <c r="W250">
        <v>0</v>
      </c>
      <c r="Z250">
        <v>0</v>
      </c>
    </row>
    <row r="251" spans="1:26" x14ac:dyDescent="0.3">
      <c r="A251">
        <v>25451852</v>
      </c>
      <c r="B251" t="s">
        <v>775</v>
      </c>
      <c r="C251" t="s">
        <v>776</v>
      </c>
      <c r="D251" t="s">
        <v>777</v>
      </c>
      <c r="F251" t="str">
        <f>""</f>
        <v/>
      </c>
      <c r="G251" t="str">
        <f>""</f>
        <v/>
      </c>
      <c r="H251">
        <v>0</v>
      </c>
      <c r="I251">
        <v>4.34</v>
      </c>
      <c r="J251" t="s">
        <v>776</v>
      </c>
      <c r="K251" t="s">
        <v>57</v>
      </c>
      <c r="L251">
        <v>715</v>
      </c>
      <c r="M251">
        <v>2015</v>
      </c>
      <c r="N251">
        <v>2015</v>
      </c>
      <c r="P251" s="1">
        <v>42421</v>
      </c>
      <c r="Q251" t="s">
        <v>36</v>
      </c>
      <c r="R251" t="s">
        <v>778</v>
      </c>
      <c r="S251" t="s">
        <v>36</v>
      </c>
      <c r="W251">
        <v>0</v>
      </c>
      <c r="Z251">
        <v>0</v>
      </c>
    </row>
    <row r="252" spans="1:26" x14ac:dyDescent="0.3">
      <c r="A252">
        <v>15704486</v>
      </c>
      <c r="B252" t="s">
        <v>779</v>
      </c>
      <c r="C252" t="s">
        <v>45</v>
      </c>
      <c r="D252" t="s">
        <v>46</v>
      </c>
      <c r="F252" t="str">
        <f>"0385743602"</f>
        <v>0385743602</v>
      </c>
      <c r="G252" t="str">
        <f>"9780385743600"</f>
        <v>9780385743600</v>
      </c>
      <c r="H252">
        <v>4</v>
      </c>
      <c r="I252">
        <v>4.1900000000000004</v>
      </c>
      <c r="J252" t="s">
        <v>780</v>
      </c>
      <c r="K252" t="s">
        <v>42</v>
      </c>
      <c r="L252">
        <v>424</v>
      </c>
      <c r="M252">
        <v>2016</v>
      </c>
      <c r="N252">
        <v>2016</v>
      </c>
      <c r="O252" s="1">
        <v>42421</v>
      </c>
      <c r="P252" s="1">
        <v>41886</v>
      </c>
      <c r="S252" t="s">
        <v>43</v>
      </c>
      <c r="W252">
        <v>1</v>
      </c>
      <c r="Z252">
        <v>0</v>
      </c>
    </row>
    <row r="253" spans="1:26" x14ac:dyDescent="0.3">
      <c r="A253">
        <v>12111823</v>
      </c>
      <c r="B253" t="s">
        <v>781</v>
      </c>
      <c r="C253" t="s">
        <v>734</v>
      </c>
      <c r="D253" t="s">
        <v>735</v>
      </c>
      <c r="F253" t="str">
        <f>"0002247410"</f>
        <v>0002247410</v>
      </c>
      <c r="G253" t="str">
        <f>"9780002247412"</f>
        <v>9780002247412</v>
      </c>
      <c r="H253">
        <v>0</v>
      </c>
      <c r="I253">
        <v>4.4000000000000004</v>
      </c>
      <c r="J253" t="s">
        <v>34</v>
      </c>
      <c r="K253" t="s">
        <v>42</v>
      </c>
      <c r="P253" s="1">
        <v>42415</v>
      </c>
      <c r="Q253" t="s">
        <v>36</v>
      </c>
      <c r="R253" t="s">
        <v>782</v>
      </c>
      <c r="S253" t="s">
        <v>36</v>
      </c>
      <c r="W253">
        <v>0</v>
      </c>
      <c r="Z253">
        <v>0</v>
      </c>
    </row>
    <row r="254" spans="1:26" x14ac:dyDescent="0.3">
      <c r="A254">
        <v>29056083</v>
      </c>
      <c r="B254" t="s">
        <v>783</v>
      </c>
      <c r="C254" t="s">
        <v>784</v>
      </c>
      <c r="D254" t="s">
        <v>785</v>
      </c>
      <c r="E254" t="s">
        <v>786</v>
      </c>
      <c r="F254" t="str">
        <f>"0751565350"</f>
        <v>0751565350</v>
      </c>
      <c r="G254" t="str">
        <f>"9780751565355"</f>
        <v>9780751565355</v>
      </c>
      <c r="H254">
        <v>0</v>
      </c>
      <c r="I254">
        <v>3.54</v>
      </c>
      <c r="J254" t="s">
        <v>787</v>
      </c>
      <c r="K254" t="s">
        <v>42</v>
      </c>
      <c r="L254">
        <v>343</v>
      </c>
      <c r="M254">
        <v>2016</v>
      </c>
      <c r="N254">
        <v>2016</v>
      </c>
      <c r="P254" s="1">
        <v>42415</v>
      </c>
      <c r="Q254" t="s">
        <v>36</v>
      </c>
      <c r="R254" t="s">
        <v>788</v>
      </c>
      <c r="S254" t="s">
        <v>36</v>
      </c>
      <c r="W254">
        <v>0</v>
      </c>
      <c r="Z254">
        <v>0</v>
      </c>
    </row>
    <row r="255" spans="1:26" x14ac:dyDescent="0.3">
      <c r="A255">
        <v>18739426</v>
      </c>
      <c r="B255" t="s">
        <v>789</v>
      </c>
      <c r="C255" t="s">
        <v>45</v>
      </c>
      <c r="D255" t="s">
        <v>46</v>
      </c>
      <c r="F255" t="str">
        <f>""</f>
        <v/>
      </c>
      <c r="G255" t="str">
        <f>""</f>
        <v/>
      </c>
      <c r="H255">
        <v>4</v>
      </c>
      <c r="I255">
        <v>4.41</v>
      </c>
      <c r="J255" t="s">
        <v>790</v>
      </c>
      <c r="K255" t="s">
        <v>57</v>
      </c>
      <c r="L255">
        <v>448</v>
      </c>
      <c r="M255">
        <v>2016</v>
      </c>
      <c r="N255">
        <v>2016</v>
      </c>
      <c r="O255" s="1">
        <v>42415</v>
      </c>
      <c r="P255" s="1">
        <v>41886</v>
      </c>
      <c r="S255" t="s">
        <v>43</v>
      </c>
      <c r="W255">
        <v>1</v>
      </c>
      <c r="Z255">
        <v>0</v>
      </c>
    </row>
    <row r="256" spans="1:26" x14ac:dyDescent="0.3">
      <c r="A256">
        <v>28698036</v>
      </c>
      <c r="B256" t="s">
        <v>791</v>
      </c>
      <c r="C256" t="s">
        <v>45</v>
      </c>
      <c r="D256" t="s">
        <v>46</v>
      </c>
      <c r="F256" t="str">
        <f>""</f>
        <v/>
      </c>
      <c r="G256" t="str">
        <f>""</f>
        <v/>
      </c>
      <c r="H256">
        <v>4</v>
      </c>
      <c r="I256">
        <v>4.37</v>
      </c>
      <c r="J256" t="s">
        <v>617</v>
      </c>
      <c r="K256" t="s">
        <v>57</v>
      </c>
      <c r="L256">
        <v>160</v>
      </c>
      <c r="M256">
        <v>2016</v>
      </c>
      <c r="N256">
        <v>2016</v>
      </c>
      <c r="P256" s="1">
        <v>42410</v>
      </c>
      <c r="S256" t="s">
        <v>43</v>
      </c>
      <c r="W256">
        <v>1</v>
      </c>
      <c r="Z256">
        <v>0</v>
      </c>
    </row>
    <row r="257" spans="1:26" x14ac:dyDescent="0.3">
      <c r="A257">
        <v>25337294</v>
      </c>
      <c r="B257" t="s">
        <v>767</v>
      </c>
      <c r="C257" t="s">
        <v>200</v>
      </c>
      <c r="D257" t="s">
        <v>201</v>
      </c>
      <c r="F257" t="str">
        <f>""</f>
        <v/>
      </c>
      <c r="G257" t="str">
        <f>""</f>
        <v/>
      </c>
      <c r="H257">
        <v>3</v>
      </c>
      <c r="I257">
        <v>4.24</v>
      </c>
      <c r="J257" t="s">
        <v>223</v>
      </c>
      <c r="K257" t="s">
        <v>57</v>
      </c>
      <c r="L257">
        <v>336</v>
      </c>
      <c r="M257">
        <v>2016</v>
      </c>
      <c r="N257">
        <v>2016</v>
      </c>
      <c r="P257" s="1">
        <v>42411</v>
      </c>
      <c r="S257" t="s">
        <v>43</v>
      </c>
      <c r="W257">
        <v>1</v>
      </c>
      <c r="Z257">
        <v>0</v>
      </c>
    </row>
    <row r="258" spans="1:26" x14ac:dyDescent="0.3">
      <c r="A258">
        <v>17970723</v>
      </c>
      <c r="B258" t="s">
        <v>792</v>
      </c>
      <c r="C258" t="s">
        <v>793</v>
      </c>
      <c r="D258" t="s">
        <v>794</v>
      </c>
      <c r="F258" t="str">
        <f>""</f>
        <v/>
      </c>
      <c r="G258" t="str">
        <f>""</f>
        <v/>
      </c>
      <c r="H258">
        <v>0</v>
      </c>
      <c r="I258">
        <v>4.38</v>
      </c>
      <c r="J258" t="s">
        <v>795</v>
      </c>
      <c r="K258" t="s">
        <v>57</v>
      </c>
      <c r="M258">
        <v>2013</v>
      </c>
      <c r="N258">
        <v>2013</v>
      </c>
      <c r="P258" s="1">
        <v>42410</v>
      </c>
      <c r="Q258" t="s">
        <v>36</v>
      </c>
      <c r="R258" t="s">
        <v>796</v>
      </c>
      <c r="S258" t="s">
        <v>36</v>
      </c>
      <c r="W258">
        <v>0</v>
      </c>
      <c r="Z258">
        <v>0</v>
      </c>
    </row>
    <row r="259" spans="1:26" x14ac:dyDescent="0.3">
      <c r="A259">
        <v>7193686</v>
      </c>
      <c r="B259" t="s">
        <v>797</v>
      </c>
      <c r="C259" t="s">
        <v>798</v>
      </c>
      <c r="D259" t="s">
        <v>799</v>
      </c>
      <c r="F259" t="str">
        <f>"0451463439"</f>
        <v>0451463439</v>
      </c>
      <c r="G259" t="str">
        <f>"9780451463432"</f>
        <v>9780451463432</v>
      </c>
      <c r="H259">
        <v>0</v>
      </c>
      <c r="I259">
        <v>3.72</v>
      </c>
      <c r="J259" t="s">
        <v>218</v>
      </c>
      <c r="K259" t="s">
        <v>102</v>
      </c>
      <c r="L259">
        <v>307</v>
      </c>
      <c r="M259">
        <v>2010</v>
      </c>
      <c r="N259">
        <v>2010</v>
      </c>
      <c r="P259" s="1">
        <v>42405</v>
      </c>
      <c r="Q259" t="s">
        <v>36</v>
      </c>
      <c r="R259" t="s">
        <v>800</v>
      </c>
      <c r="S259" t="s">
        <v>36</v>
      </c>
      <c r="W259">
        <v>0</v>
      </c>
      <c r="Z259">
        <v>0</v>
      </c>
    </row>
    <row r="260" spans="1:26" x14ac:dyDescent="0.3">
      <c r="A260">
        <v>28092009</v>
      </c>
      <c r="B260" t="s">
        <v>801</v>
      </c>
      <c r="C260" t="s">
        <v>798</v>
      </c>
      <c r="D260" t="s">
        <v>799</v>
      </c>
      <c r="F260" t="str">
        <f>""</f>
        <v/>
      </c>
      <c r="G260" t="str">
        <f>"9781311086761"</f>
        <v>9781311086761</v>
      </c>
      <c r="H260">
        <v>0</v>
      </c>
      <c r="I260">
        <v>4.3099999999999996</v>
      </c>
      <c r="J260" t="s">
        <v>802</v>
      </c>
      <c r="K260" t="s">
        <v>35</v>
      </c>
      <c r="M260">
        <v>2016</v>
      </c>
      <c r="N260">
        <v>2016</v>
      </c>
      <c r="P260" s="1">
        <v>42405</v>
      </c>
      <c r="Q260" t="s">
        <v>36</v>
      </c>
      <c r="R260" t="s">
        <v>803</v>
      </c>
      <c r="S260" t="s">
        <v>36</v>
      </c>
      <c r="W260">
        <v>0</v>
      </c>
      <c r="Z260">
        <v>0</v>
      </c>
    </row>
    <row r="261" spans="1:26" x14ac:dyDescent="0.3">
      <c r="A261">
        <v>12591698</v>
      </c>
      <c r="B261" t="s">
        <v>804</v>
      </c>
      <c r="C261" t="s">
        <v>129</v>
      </c>
      <c r="D261" t="s">
        <v>130</v>
      </c>
      <c r="F261" t="str">
        <f>"1841499900"</f>
        <v>1841499900</v>
      </c>
      <c r="G261" t="str">
        <f>"9781841499901"</f>
        <v>9781841499901</v>
      </c>
      <c r="H261">
        <v>4</v>
      </c>
      <c r="I261">
        <v>4.3600000000000003</v>
      </c>
      <c r="J261" t="s">
        <v>205</v>
      </c>
      <c r="K261" t="s">
        <v>102</v>
      </c>
      <c r="L261">
        <v>595</v>
      </c>
      <c r="M261">
        <v>2012</v>
      </c>
      <c r="N261">
        <v>2012</v>
      </c>
      <c r="O261" s="1">
        <v>42389</v>
      </c>
      <c r="P261" s="1">
        <v>42368</v>
      </c>
      <c r="S261" t="s">
        <v>43</v>
      </c>
      <c r="W261">
        <v>1</v>
      </c>
      <c r="Z261">
        <v>0</v>
      </c>
    </row>
    <row r="262" spans="1:26" x14ac:dyDescent="0.3">
      <c r="A262">
        <v>11961115</v>
      </c>
      <c r="B262" t="s">
        <v>805</v>
      </c>
      <c r="C262" t="s">
        <v>806</v>
      </c>
      <c r="D262" t="s">
        <v>807</v>
      </c>
      <c r="F262" t="str">
        <f>""</f>
        <v/>
      </c>
      <c r="G262" t="str">
        <f>""</f>
        <v/>
      </c>
      <c r="H262">
        <v>0</v>
      </c>
      <c r="I262">
        <v>3.64</v>
      </c>
      <c r="K262" t="s">
        <v>57</v>
      </c>
      <c r="L262">
        <v>340</v>
      </c>
      <c r="M262">
        <v>2011</v>
      </c>
      <c r="N262">
        <v>2011</v>
      </c>
      <c r="P262" s="1">
        <v>42373</v>
      </c>
      <c r="Q262" t="s">
        <v>36</v>
      </c>
      <c r="R262" t="s">
        <v>808</v>
      </c>
      <c r="S262" t="s">
        <v>36</v>
      </c>
      <c r="W262">
        <v>0</v>
      </c>
      <c r="Z262">
        <v>0</v>
      </c>
    </row>
    <row r="263" spans="1:26" x14ac:dyDescent="0.3">
      <c r="A263">
        <v>8855321</v>
      </c>
      <c r="B263" t="s">
        <v>809</v>
      </c>
      <c r="C263" t="s">
        <v>129</v>
      </c>
      <c r="D263" t="s">
        <v>130</v>
      </c>
      <c r="F263" t="str">
        <f>"1841499889"</f>
        <v>1841499889</v>
      </c>
      <c r="G263" t="str">
        <f>"9781841499888"</f>
        <v>9781841499888</v>
      </c>
      <c r="H263">
        <v>4</v>
      </c>
      <c r="I263">
        <v>4.2699999999999996</v>
      </c>
      <c r="J263" t="s">
        <v>205</v>
      </c>
      <c r="K263" t="s">
        <v>102</v>
      </c>
      <c r="L263">
        <v>561</v>
      </c>
      <c r="M263">
        <v>2011</v>
      </c>
      <c r="N263">
        <v>2011</v>
      </c>
      <c r="O263" s="1">
        <v>42368</v>
      </c>
      <c r="P263" s="1">
        <v>41886</v>
      </c>
      <c r="S263" t="s">
        <v>43</v>
      </c>
      <c r="W263">
        <v>1</v>
      </c>
      <c r="Z263">
        <v>0</v>
      </c>
    </row>
    <row r="264" spans="1:26" x14ac:dyDescent="0.3">
      <c r="A264">
        <v>55399</v>
      </c>
      <c r="B264" t="s">
        <v>810</v>
      </c>
      <c r="C264" t="s">
        <v>811</v>
      </c>
      <c r="D264" t="s">
        <v>812</v>
      </c>
      <c r="F264" t="str">
        <f>"0765348780"</f>
        <v>0765348780</v>
      </c>
      <c r="G264" t="str">
        <f>"9780765348784"</f>
        <v>9780765348784</v>
      </c>
      <c r="H264">
        <v>0</v>
      </c>
      <c r="I264">
        <v>3.9</v>
      </c>
      <c r="J264" t="s">
        <v>56</v>
      </c>
      <c r="K264" t="s">
        <v>257</v>
      </c>
      <c r="L264">
        <v>657</v>
      </c>
      <c r="M264">
        <v>2005</v>
      </c>
      <c r="N264">
        <v>1999</v>
      </c>
      <c r="P264" s="1">
        <v>41836</v>
      </c>
      <c r="Q264" t="s">
        <v>36</v>
      </c>
      <c r="R264" t="s">
        <v>813</v>
      </c>
      <c r="S264" t="s">
        <v>36</v>
      </c>
      <c r="W264">
        <v>0</v>
      </c>
      <c r="Z264">
        <v>0</v>
      </c>
    </row>
    <row r="265" spans="1:26" x14ac:dyDescent="0.3">
      <c r="A265">
        <v>421007</v>
      </c>
      <c r="B265" t="s">
        <v>814</v>
      </c>
      <c r="C265" t="s">
        <v>815</v>
      </c>
      <c r="D265" t="s">
        <v>816</v>
      </c>
      <c r="F265" t="str">
        <f>"0451460758"</f>
        <v>0451460758</v>
      </c>
      <c r="G265" t="str">
        <f>"9780451460752"</f>
        <v>9780451460752</v>
      </c>
      <c r="H265">
        <v>0</v>
      </c>
      <c r="I265">
        <v>3.64</v>
      </c>
      <c r="J265" t="s">
        <v>817</v>
      </c>
      <c r="K265" t="s">
        <v>257</v>
      </c>
      <c r="L265">
        <v>339</v>
      </c>
      <c r="M265">
        <v>2006</v>
      </c>
      <c r="N265">
        <v>2006</v>
      </c>
      <c r="P265" s="1">
        <v>42344</v>
      </c>
      <c r="Q265" t="s">
        <v>36</v>
      </c>
      <c r="R265" t="s">
        <v>818</v>
      </c>
      <c r="S265" t="s">
        <v>36</v>
      </c>
      <c r="W265">
        <v>0</v>
      </c>
      <c r="Z265">
        <v>0</v>
      </c>
    </row>
    <row r="266" spans="1:26" x14ac:dyDescent="0.3">
      <c r="A266">
        <v>22046915</v>
      </c>
      <c r="B266" t="s">
        <v>819</v>
      </c>
      <c r="C266" t="s">
        <v>820</v>
      </c>
      <c r="D266" t="s">
        <v>821</v>
      </c>
      <c r="F266" t="str">
        <f>"1927559456"</f>
        <v>1927559456</v>
      </c>
      <c r="G266" t="str">
        <f>"9781927559451"</f>
        <v>9781927559451</v>
      </c>
      <c r="H266">
        <v>0</v>
      </c>
      <c r="I266">
        <v>3.81</v>
      </c>
      <c r="J266" t="s">
        <v>822</v>
      </c>
      <c r="K266" t="s">
        <v>102</v>
      </c>
      <c r="L266">
        <v>302</v>
      </c>
      <c r="M266">
        <v>2014</v>
      </c>
      <c r="N266">
        <v>2014</v>
      </c>
      <c r="P266" s="1">
        <v>42335</v>
      </c>
      <c r="Q266" t="s">
        <v>36</v>
      </c>
      <c r="R266" t="s">
        <v>823</v>
      </c>
      <c r="S266" t="s">
        <v>36</v>
      </c>
      <c r="W266">
        <v>0</v>
      </c>
      <c r="Z266">
        <v>0</v>
      </c>
    </row>
    <row r="267" spans="1:26" x14ac:dyDescent="0.3">
      <c r="A267">
        <v>15575</v>
      </c>
      <c r="B267" t="s">
        <v>824</v>
      </c>
      <c r="C267" t="s">
        <v>825</v>
      </c>
      <c r="D267" t="s">
        <v>826</v>
      </c>
      <c r="F267" t="str">
        <f>"1857231511"</f>
        <v>1857231511</v>
      </c>
      <c r="G267" t="str">
        <f>"9781857231519"</f>
        <v>9781857231519</v>
      </c>
      <c r="H267">
        <v>0</v>
      </c>
      <c r="I267">
        <v>3.76</v>
      </c>
      <c r="J267" t="s">
        <v>205</v>
      </c>
      <c r="K267" t="s">
        <v>102</v>
      </c>
      <c r="L267">
        <v>726</v>
      </c>
      <c r="M267">
        <v>1999</v>
      </c>
      <c r="N267">
        <v>1977</v>
      </c>
      <c r="P267" s="1">
        <v>42327</v>
      </c>
      <c r="Q267" t="s">
        <v>36</v>
      </c>
      <c r="R267" t="s">
        <v>827</v>
      </c>
      <c r="S267" t="s">
        <v>36</v>
      </c>
      <c r="W267">
        <v>0</v>
      </c>
      <c r="Z267">
        <v>0</v>
      </c>
    </row>
    <row r="268" spans="1:26" x14ac:dyDescent="0.3">
      <c r="A268">
        <v>19161852</v>
      </c>
      <c r="B268" t="s">
        <v>828</v>
      </c>
      <c r="C268" t="s">
        <v>829</v>
      </c>
      <c r="D268" t="s">
        <v>830</v>
      </c>
      <c r="F268" t="str">
        <f>""</f>
        <v/>
      </c>
      <c r="G268" t="str">
        <f>""</f>
        <v/>
      </c>
      <c r="H268">
        <v>0</v>
      </c>
      <c r="I268">
        <v>4.32</v>
      </c>
      <c r="J268" t="s">
        <v>205</v>
      </c>
      <c r="K268" t="s">
        <v>102</v>
      </c>
      <c r="L268">
        <v>468</v>
      </c>
      <c r="M268">
        <v>2015</v>
      </c>
      <c r="N268">
        <v>2015</v>
      </c>
      <c r="P268" s="1">
        <v>42323</v>
      </c>
      <c r="Q268" t="s">
        <v>36</v>
      </c>
      <c r="R268" t="s">
        <v>831</v>
      </c>
      <c r="S268" t="s">
        <v>36</v>
      </c>
      <c r="W268">
        <v>0</v>
      </c>
      <c r="Z268">
        <v>0</v>
      </c>
    </row>
    <row r="269" spans="1:26" x14ac:dyDescent="0.3">
      <c r="A269">
        <v>24876258</v>
      </c>
      <c r="B269" t="s">
        <v>832</v>
      </c>
      <c r="C269" t="s">
        <v>173</v>
      </c>
      <c r="D269" t="s">
        <v>174</v>
      </c>
      <c r="F269" t="str">
        <f>"0451466802"</f>
        <v>0451466802</v>
      </c>
      <c r="G269" t="str">
        <f>"9780451466808"</f>
        <v>9780451466808</v>
      </c>
      <c r="H269">
        <v>4</v>
      </c>
      <c r="I269">
        <v>4.18</v>
      </c>
      <c r="J269" t="s">
        <v>218</v>
      </c>
      <c r="K269" t="s">
        <v>42</v>
      </c>
      <c r="L269">
        <v>630</v>
      </c>
      <c r="M269">
        <v>2015</v>
      </c>
      <c r="N269">
        <v>2015</v>
      </c>
      <c r="O269" s="1">
        <v>42323</v>
      </c>
      <c r="P269" s="1">
        <v>42253</v>
      </c>
      <c r="S269" t="s">
        <v>43</v>
      </c>
      <c r="W269">
        <v>1</v>
      </c>
      <c r="Z269">
        <v>0</v>
      </c>
    </row>
    <row r="270" spans="1:26" x14ac:dyDescent="0.3">
      <c r="A270">
        <v>64216</v>
      </c>
      <c r="B270" t="s">
        <v>833</v>
      </c>
      <c r="C270" t="s">
        <v>834</v>
      </c>
      <c r="D270" t="s">
        <v>835</v>
      </c>
      <c r="F270" t="str">
        <f>"0061020648"</f>
        <v>0061020648</v>
      </c>
      <c r="G270" t="str">
        <f>"9780061020643"</f>
        <v>9780061020643</v>
      </c>
      <c r="H270">
        <v>3</v>
      </c>
      <c r="I270">
        <v>4.3099999999999996</v>
      </c>
      <c r="J270" t="s">
        <v>836</v>
      </c>
      <c r="K270" t="s">
        <v>257</v>
      </c>
      <c r="L270">
        <v>376</v>
      </c>
      <c r="M270">
        <v>2001</v>
      </c>
      <c r="N270">
        <v>1989</v>
      </c>
      <c r="O270" s="1">
        <v>42320</v>
      </c>
      <c r="P270" s="1">
        <v>42283</v>
      </c>
      <c r="S270" t="s">
        <v>43</v>
      </c>
      <c r="W270">
        <v>1</v>
      </c>
      <c r="Z270">
        <v>0</v>
      </c>
    </row>
    <row r="271" spans="1:26" x14ac:dyDescent="0.3">
      <c r="A271">
        <v>95431</v>
      </c>
      <c r="B271" t="s">
        <v>837</v>
      </c>
      <c r="C271" t="s">
        <v>838</v>
      </c>
      <c r="D271" t="s">
        <v>839</v>
      </c>
      <c r="E271" t="s">
        <v>840</v>
      </c>
      <c r="F271" t="str">
        <f>""</f>
        <v/>
      </c>
      <c r="G271" t="str">
        <f>"9781563892615"</f>
        <v>9781563892615</v>
      </c>
      <c r="H271">
        <v>0</v>
      </c>
      <c r="I271">
        <v>4.16</v>
      </c>
      <c r="J271" t="s">
        <v>841</v>
      </c>
      <c r="K271" t="s">
        <v>842</v>
      </c>
      <c r="L271">
        <v>336</v>
      </c>
      <c r="M271">
        <v>1996</v>
      </c>
      <c r="N271">
        <v>1995</v>
      </c>
      <c r="P271" s="1">
        <v>42312</v>
      </c>
      <c r="Q271" t="s">
        <v>36</v>
      </c>
      <c r="R271" t="s">
        <v>843</v>
      </c>
      <c r="S271" t="s">
        <v>36</v>
      </c>
      <c r="W271">
        <v>0</v>
      </c>
      <c r="Z271">
        <v>0</v>
      </c>
    </row>
    <row r="272" spans="1:26" x14ac:dyDescent="0.3">
      <c r="A272">
        <v>2915837</v>
      </c>
      <c r="B272" t="s">
        <v>844</v>
      </c>
      <c r="C272" t="s">
        <v>845</v>
      </c>
      <c r="D272" t="s">
        <v>846</v>
      </c>
      <c r="F272" t="str">
        <f>"045146205X"</f>
        <v>045146205X</v>
      </c>
      <c r="G272" t="str">
        <f>"9780451462053"</f>
        <v>9780451462053</v>
      </c>
      <c r="H272">
        <v>0</v>
      </c>
      <c r="I272">
        <v>3.59</v>
      </c>
      <c r="J272" t="s">
        <v>847</v>
      </c>
      <c r="K272" t="s">
        <v>257</v>
      </c>
      <c r="L272">
        <v>290</v>
      </c>
      <c r="M272">
        <v>2008</v>
      </c>
      <c r="N272">
        <v>2008</v>
      </c>
      <c r="P272" s="1">
        <v>42305</v>
      </c>
      <c r="Q272" t="s">
        <v>36</v>
      </c>
      <c r="R272" t="s">
        <v>848</v>
      </c>
      <c r="S272" t="s">
        <v>36</v>
      </c>
      <c r="W272">
        <v>0</v>
      </c>
      <c r="Z272">
        <v>0</v>
      </c>
    </row>
    <row r="273" spans="1:26" x14ac:dyDescent="0.3">
      <c r="A273">
        <v>1045145</v>
      </c>
      <c r="B273" t="s">
        <v>849</v>
      </c>
      <c r="C273" t="s">
        <v>850</v>
      </c>
      <c r="D273" t="s">
        <v>851</v>
      </c>
      <c r="E273" t="s">
        <v>852</v>
      </c>
      <c r="F273" t="str">
        <f>"0060234822"</f>
        <v>0060234822</v>
      </c>
      <c r="G273" t="str">
        <f>"9780060234829"</f>
        <v>9780060234829</v>
      </c>
      <c r="H273">
        <v>4</v>
      </c>
      <c r="I273">
        <v>4.2300000000000004</v>
      </c>
      <c r="J273" t="s">
        <v>518</v>
      </c>
      <c r="K273" t="s">
        <v>42</v>
      </c>
      <c r="L273">
        <v>189</v>
      </c>
      <c r="M273">
        <v>2007</v>
      </c>
      <c r="N273">
        <v>1950</v>
      </c>
      <c r="P273" s="1">
        <v>41886</v>
      </c>
      <c r="S273" t="s">
        <v>43</v>
      </c>
      <c r="W273">
        <v>1</v>
      </c>
      <c r="Z273">
        <v>0</v>
      </c>
    </row>
    <row r="274" spans="1:26" x14ac:dyDescent="0.3">
      <c r="A274">
        <v>116295</v>
      </c>
      <c r="B274" t="s">
        <v>853</v>
      </c>
      <c r="C274" t="s">
        <v>854</v>
      </c>
      <c r="D274" t="s">
        <v>855</v>
      </c>
      <c r="E274" t="s">
        <v>834</v>
      </c>
      <c r="F274" t="str">
        <f>"0552144312"</f>
        <v>0552144312</v>
      </c>
      <c r="G274" t="str">
        <f>"9780552144315"</f>
        <v>9780552144315</v>
      </c>
      <c r="H274">
        <v>3</v>
      </c>
      <c r="I274">
        <v>4.3899999999999997</v>
      </c>
      <c r="J274" t="s">
        <v>856</v>
      </c>
      <c r="K274" t="s">
        <v>102</v>
      </c>
      <c r="L274">
        <v>208</v>
      </c>
      <c r="M274">
        <v>1997</v>
      </c>
      <c r="N274">
        <v>1992</v>
      </c>
      <c r="P274" s="1">
        <v>42283</v>
      </c>
      <c r="S274" t="s">
        <v>43</v>
      </c>
      <c r="W274">
        <v>1</v>
      </c>
      <c r="Z274">
        <v>0</v>
      </c>
    </row>
    <row r="275" spans="1:26" x14ac:dyDescent="0.3">
      <c r="A275">
        <v>22838183</v>
      </c>
      <c r="B275" t="s">
        <v>857</v>
      </c>
      <c r="C275" t="s">
        <v>858</v>
      </c>
      <c r="D275" t="s">
        <v>859</v>
      </c>
      <c r="F275" t="str">
        <f>"1784080462"</f>
        <v>1784080462</v>
      </c>
      <c r="G275" t="str">
        <f>"9781784080464"</f>
        <v>9781784080464</v>
      </c>
      <c r="H275">
        <v>0</v>
      </c>
      <c r="I275">
        <v>3.86</v>
      </c>
      <c r="J275" t="s">
        <v>860</v>
      </c>
      <c r="K275" t="s">
        <v>42</v>
      </c>
      <c r="L275">
        <v>720</v>
      </c>
      <c r="M275">
        <v>2014</v>
      </c>
      <c r="N275">
        <v>2014</v>
      </c>
      <c r="P275" s="1">
        <v>42295</v>
      </c>
      <c r="Q275" t="s">
        <v>36</v>
      </c>
      <c r="R275" t="s">
        <v>861</v>
      </c>
      <c r="S275" t="s">
        <v>36</v>
      </c>
      <c r="W275">
        <v>0</v>
      </c>
      <c r="Z275">
        <v>0</v>
      </c>
    </row>
    <row r="276" spans="1:26" x14ac:dyDescent="0.3">
      <c r="A276">
        <v>16065004</v>
      </c>
      <c r="B276" t="s">
        <v>862</v>
      </c>
      <c r="C276" t="s">
        <v>45</v>
      </c>
      <c r="D276" t="s">
        <v>46</v>
      </c>
      <c r="F276" t="str">
        <f>"0765378558"</f>
        <v>0765378558</v>
      </c>
      <c r="G276" t="str">
        <f>"9780765378552"</f>
        <v>9780765378552</v>
      </c>
      <c r="H276">
        <v>5</v>
      </c>
      <c r="I276">
        <v>4.29</v>
      </c>
      <c r="J276" t="s">
        <v>56</v>
      </c>
      <c r="K276" t="s">
        <v>42</v>
      </c>
      <c r="L276">
        <v>383</v>
      </c>
      <c r="M276">
        <v>2015</v>
      </c>
      <c r="N276">
        <v>2015</v>
      </c>
      <c r="P276" s="1">
        <v>41886</v>
      </c>
      <c r="S276" t="s">
        <v>43</v>
      </c>
      <c r="W276">
        <v>1</v>
      </c>
      <c r="Z276">
        <v>0</v>
      </c>
    </row>
    <row r="277" spans="1:26" x14ac:dyDescent="0.3">
      <c r="A277">
        <v>18007564</v>
      </c>
      <c r="B277" t="s">
        <v>696</v>
      </c>
      <c r="C277" t="s">
        <v>39</v>
      </c>
      <c r="D277" t="s">
        <v>40</v>
      </c>
      <c r="F277" t="str">
        <f>"0804139024"</f>
        <v>0804139024</v>
      </c>
      <c r="G277" t="str">
        <f>"9780804139021"</f>
        <v>9780804139021</v>
      </c>
      <c r="H277">
        <v>5</v>
      </c>
      <c r="I277">
        <v>4.4000000000000004</v>
      </c>
      <c r="J277" t="s">
        <v>162</v>
      </c>
      <c r="K277" t="s">
        <v>42</v>
      </c>
      <c r="L277">
        <v>384</v>
      </c>
      <c r="M277">
        <v>2014</v>
      </c>
      <c r="N277">
        <v>2011</v>
      </c>
      <c r="P277" s="1">
        <v>42295</v>
      </c>
      <c r="S277" t="s">
        <v>43</v>
      </c>
      <c r="W277">
        <v>1</v>
      </c>
      <c r="Z277">
        <v>0</v>
      </c>
    </row>
    <row r="278" spans="1:26" x14ac:dyDescent="0.3">
      <c r="A278">
        <v>34497</v>
      </c>
      <c r="B278" t="s">
        <v>863</v>
      </c>
      <c r="C278" t="s">
        <v>834</v>
      </c>
      <c r="D278" t="s">
        <v>835</v>
      </c>
      <c r="F278" t="str">
        <f>"0060855924"</f>
        <v>0060855924</v>
      </c>
      <c r="G278" t="str">
        <f>"9780060855925"</f>
        <v>9780060855925</v>
      </c>
      <c r="H278">
        <v>0</v>
      </c>
      <c r="I278">
        <v>3.99</v>
      </c>
      <c r="J278" t="s">
        <v>179</v>
      </c>
      <c r="K278" t="s">
        <v>102</v>
      </c>
      <c r="L278">
        <v>228</v>
      </c>
      <c r="M278">
        <v>2005</v>
      </c>
      <c r="N278">
        <v>1983</v>
      </c>
      <c r="P278" s="1">
        <v>41852</v>
      </c>
      <c r="Q278" t="s">
        <v>36</v>
      </c>
      <c r="R278" t="s">
        <v>864</v>
      </c>
      <c r="S278" t="s">
        <v>36</v>
      </c>
      <c r="W278">
        <v>0</v>
      </c>
      <c r="Z278">
        <v>0</v>
      </c>
    </row>
    <row r="279" spans="1:26" x14ac:dyDescent="0.3">
      <c r="A279">
        <v>25131180</v>
      </c>
      <c r="B279" t="s">
        <v>865</v>
      </c>
      <c r="C279" t="s">
        <v>397</v>
      </c>
      <c r="D279" t="s">
        <v>398</v>
      </c>
      <c r="F279" t="str">
        <f>""</f>
        <v/>
      </c>
      <c r="G279" t="str">
        <f>""</f>
        <v/>
      </c>
      <c r="H279">
        <v>4</v>
      </c>
      <c r="I279">
        <v>4.41</v>
      </c>
      <c r="J279" t="s">
        <v>97</v>
      </c>
      <c r="K279" t="s">
        <v>57</v>
      </c>
      <c r="L279">
        <v>530</v>
      </c>
      <c r="M279">
        <v>2015</v>
      </c>
      <c r="N279">
        <v>2015</v>
      </c>
      <c r="O279" s="1">
        <v>42263</v>
      </c>
      <c r="P279" s="1">
        <v>42246</v>
      </c>
      <c r="S279" t="s">
        <v>43</v>
      </c>
      <c r="W279">
        <v>1</v>
      </c>
      <c r="Z279">
        <v>0</v>
      </c>
    </row>
    <row r="280" spans="1:26" x14ac:dyDescent="0.3">
      <c r="A280">
        <v>18587862</v>
      </c>
      <c r="B280" t="s">
        <v>866</v>
      </c>
      <c r="C280" t="s">
        <v>397</v>
      </c>
      <c r="D280" t="s">
        <v>398</v>
      </c>
      <c r="F280" t="str">
        <f>""</f>
        <v/>
      </c>
      <c r="G280" t="str">
        <f>""</f>
        <v/>
      </c>
      <c r="H280">
        <v>4</v>
      </c>
      <c r="I280">
        <v>4.3600000000000003</v>
      </c>
      <c r="J280" t="s">
        <v>867</v>
      </c>
      <c r="K280" t="s">
        <v>35</v>
      </c>
      <c r="M280">
        <v>2015</v>
      </c>
      <c r="N280">
        <v>2015</v>
      </c>
      <c r="O280" s="1">
        <v>42261</v>
      </c>
      <c r="P280" s="1">
        <v>41886</v>
      </c>
      <c r="S280" t="s">
        <v>43</v>
      </c>
      <c r="W280">
        <v>1</v>
      </c>
      <c r="Z280">
        <v>0</v>
      </c>
    </row>
    <row r="281" spans="1:26" x14ac:dyDescent="0.3">
      <c r="A281">
        <v>6585201</v>
      </c>
      <c r="B281" t="s">
        <v>868</v>
      </c>
      <c r="C281" t="s">
        <v>173</v>
      </c>
      <c r="D281" t="s">
        <v>174</v>
      </c>
      <c r="F281" t="str">
        <f>"045146317X"</f>
        <v>045146317X</v>
      </c>
      <c r="G281" t="str">
        <f>"9780451463173"</f>
        <v>9780451463173</v>
      </c>
      <c r="H281">
        <v>5</v>
      </c>
      <c r="I281">
        <v>4.5</v>
      </c>
      <c r="J281" t="s">
        <v>218</v>
      </c>
      <c r="K281" t="s">
        <v>42</v>
      </c>
      <c r="L281">
        <v>438</v>
      </c>
      <c r="M281">
        <v>2010</v>
      </c>
      <c r="N281">
        <v>2010</v>
      </c>
      <c r="P281" s="1">
        <v>42253</v>
      </c>
      <c r="S281" t="s">
        <v>43</v>
      </c>
      <c r="W281">
        <v>1</v>
      </c>
      <c r="Z281">
        <v>0</v>
      </c>
    </row>
    <row r="282" spans="1:26" x14ac:dyDescent="0.3">
      <c r="A282">
        <v>91476</v>
      </c>
      <c r="B282" t="s">
        <v>869</v>
      </c>
      <c r="C282" t="s">
        <v>173</v>
      </c>
      <c r="D282" t="s">
        <v>174</v>
      </c>
      <c r="F282" t="str">
        <f>"0451458443"</f>
        <v>0451458443</v>
      </c>
      <c r="G282" t="str">
        <f>"9780451458445"</f>
        <v>9780451458445</v>
      </c>
      <c r="H282">
        <v>4</v>
      </c>
      <c r="I282">
        <v>4.1399999999999997</v>
      </c>
      <c r="J282" t="s">
        <v>218</v>
      </c>
      <c r="K282" t="s">
        <v>102</v>
      </c>
      <c r="L282">
        <v>378</v>
      </c>
      <c r="M282">
        <v>2001</v>
      </c>
      <c r="N282">
        <v>2001</v>
      </c>
      <c r="P282" s="1">
        <v>42253</v>
      </c>
      <c r="S282" t="s">
        <v>43</v>
      </c>
      <c r="W282">
        <v>1</v>
      </c>
      <c r="Z282">
        <v>0</v>
      </c>
    </row>
    <row r="283" spans="1:26" x14ac:dyDescent="0.3">
      <c r="A283">
        <v>20883847</v>
      </c>
      <c r="B283" t="s">
        <v>870</v>
      </c>
      <c r="C283" t="s">
        <v>54</v>
      </c>
      <c r="D283" t="s">
        <v>55</v>
      </c>
      <c r="F283" t="str">
        <f>"0316219126"</f>
        <v>0316219126</v>
      </c>
      <c r="G283" t="str">
        <f>"9780316219129"</f>
        <v>9780316219129</v>
      </c>
      <c r="H283">
        <v>5</v>
      </c>
      <c r="I283">
        <v>4.37</v>
      </c>
      <c r="J283" t="s">
        <v>205</v>
      </c>
      <c r="K283" t="s">
        <v>42</v>
      </c>
      <c r="L283">
        <v>580</v>
      </c>
      <c r="M283">
        <v>2015</v>
      </c>
      <c r="N283">
        <v>2015</v>
      </c>
      <c r="O283" s="1">
        <v>42246</v>
      </c>
      <c r="P283" s="1">
        <v>41943</v>
      </c>
      <c r="S283" t="s">
        <v>43</v>
      </c>
      <c r="W283">
        <v>1</v>
      </c>
      <c r="Z283">
        <v>0</v>
      </c>
    </row>
    <row r="284" spans="1:26" x14ac:dyDescent="0.3">
      <c r="A284">
        <v>25617099</v>
      </c>
      <c r="B284" t="s">
        <v>871</v>
      </c>
      <c r="C284" t="s">
        <v>872</v>
      </c>
      <c r="D284" t="s">
        <v>873</v>
      </c>
      <c r="F284" t="str">
        <f>""</f>
        <v/>
      </c>
      <c r="G284" t="str">
        <f>""</f>
        <v/>
      </c>
      <c r="H284">
        <v>3</v>
      </c>
      <c r="I284">
        <v>3.91</v>
      </c>
      <c r="J284" t="s">
        <v>874</v>
      </c>
      <c r="K284" t="s">
        <v>57</v>
      </c>
      <c r="L284">
        <v>376</v>
      </c>
      <c r="M284">
        <v>2015</v>
      </c>
      <c r="N284">
        <v>2015</v>
      </c>
      <c r="O284" s="1">
        <v>42245</v>
      </c>
      <c r="P284" s="1">
        <v>42241</v>
      </c>
      <c r="S284" t="s">
        <v>43</v>
      </c>
      <c r="W284">
        <v>1</v>
      </c>
      <c r="Z284">
        <v>0</v>
      </c>
    </row>
    <row r="285" spans="1:26" x14ac:dyDescent="0.3">
      <c r="A285">
        <v>21899783</v>
      </c>
      <c r="B285" t="s">
        <v>875</v>
      </c>
      <c r="C285" t="s">
        <v>872</v>
      </c>
      <c r="D285" t="s">
        <v>873</v>
      </c>
      <c r="F285" t="str">
        <f>""</f>
        <v/>
      </c>
      <c r="G285" t="str">
        <f>""</f>
        <v/>
      </c>
      <c r="H285">
        <v>3</v>
      </c>
      <c r="I285">
        <v>3.83</v>
      </c>
      <c r="J285" t="s">
        <v>795</v>
      </c>
      <c r="K285" t="s">
        <v>57</v>
      </c>
      <c r="L285">
        <v>394</v>
      </c>
      <c r="M285">
        <v>2014</v>
      </c>
      <c r="N285">
        <v>2014</v>
      </c>
      <c r="O285" s="1">
        <v>42232</v>
      </c>
      <c r="P285" s="1">
        <v>42228</v>
      </c>
      <c r="S285" t="s">
        <v>43</v>
      </c>
      <c r="W285">
        <v>1</v>
      </c>
      <c r="Z285">
        <v>0</v>
      </c>
    </row>
    <row r="286" spans="1:26" x14ac:dyDescent="0.3">
      <c r="A286">
        <v>23835749</v>
      </c>
      <c r="B286" t="s">
        <v>876</v>
      </c>
      <c r="C286" t="s">
        <v>872</v>
      </c>
      <c r="D286" t="s">
        <v>873</v>
      </c>
      <c r="F286" t="str">
        <f>""</f>
        <v/>
      </c>
      <c r="G286" t="str">
        <f>""</f>
        <v/>
      </c>
      <c r="H286">
        <v>0</v>
      </c>
      <c r="I286">
        <v>3.89</v>
      </c>
      <c r="J286" t="s">
        <v>874</v>
      </c>
      <c r="K286" t="s">
        <v>57</v>
      </c>
      <c r="L286">
        <v>74</v>
      </c>
      <c r="M286">
        <v>2014</v>
      </c>
      <c r="N286">
        <v>2014</v>
      </c>
      <c r="P286" s="1">
        <v>42229</v>
      </c>
      <c r="Q286" t="s">
        <v>36</v>
      </c>
      <c r="R286" t="s">
        <v>877</v>
      </c>
      <c r="S286" t="s">
        <v>36</v>
      </c>
      <c r="W286">
        <v>0</v>
      </c>
      <c r="Z286">
        <v>0</v>
      </c>
    </row>
    <row r="287" spans="1:26" x14ac:dyDescent="0.3">
      <c r="A287">
        <v>18134913</v>
      </c>
      <c r="B287" t="s">
        <v>878</v>
      </c>
      <c r="C287" t="s">
        <v>872</v>
      </c>
      <c r="D287" t="s">
        <v>873</v>
      </c>
      <c r="F287" t="str">
        <f>""</f>
        <v/>
      </c>
      <c r="G287" t="str">
        <f>""</f>
        <v/>
      </c>
      <c r="H287">
        <v>3</v>
      </c>
      <c r="I287">
        <v>3.73</v>
      </c>
      <c r="J287" t="s">
        <v>874</v>
      </c>
      <c r="K287" t="s">
        <v>35</v>
      </c>
      <c r="L287">
        <v>310</v>
      </c>
      <c r="M287">
        <v>2013</v>
      </c>
      <c r="N287">
        <v>2013</v>
      </c>
      <c r="O287" s="1">
        <v>42228</v>
      </c>
      <c r="P287" s="1">
        <v>42219</v>
      </c>
      <c r="S287" t="s">
        <v>43</v>
      </c>
      <c r="W287">
        <v>1</v>
      </c>
      <c r="Z287">
        <v>0</v>
      </c>
    </row>
    <row r="288" spans="1:26" x14ac:dyDescent="0.3">
      <c r="A288">
        <v>24358527</v>
      </c>
      <c r="B288" t="s">
        <v>879</v>
      </c>
      <c r="C288" t="s">
        <v>95</v>
      </c>
      <c r="D288" t="s">
        <v>96</v>
      </c>
      <c r="F288" t="str">
        <f>""</f>
        <v/>
      </c>
      <c r="G288" t="str">
        <f>""</f>
        <v/>
      </c>
      <c r="H288">
        <v>4</v>
      </c>
      <c r="I288">
        <v>4.13</v>
      </c>
      <c r="J288" t="s">
        <v>97</v>
      </c>
      <c r="K288" t="s">
        <v>57</v>
      </c>
      <c r="L288">
        <v>352</v>
      </c>
      <c r="M288">
        <v>2015</v>
      </c>
      <c r="N288">
        <v>2015</v>
      </c>
      <c r="O288" s="1">
        <v>42227</v>
      </c>
      <c r="P288" s="1">
        <v>42099</v>
      </c>
      <c r="S288" t="s">
        <v>43</v>
      </c>
      <c r="W288">
        <v>1</v>
      </c>
      <c r="Z288">
        <v>0</v>
      </c>
    </row>
    <row r="289" spans="1:26" x14ac:dyDescent="0.3">
      <c r="A289">
        <v>13616278</v>
      </c>
      <c r="B289" t="s">
        <v>880</v>
      </c>
      <c r="C289" t="s">
        <v>881</v>
      </c>
      <c r="D289" t="s">
        <v>882</v>
      </c>
      <c r="F289" t="str">
        <f>"0575113294"</f>
        <v>0575113294</v>
      </c>
      <c r="G289" t="str">
        <f>"9780575113299"</f>
        <v>9780575113299</v>
      </c>
      <c r="H289">
        <v>3</v>
      </c>
      <c r="I289">
        <v>4.1100000000000003</v>
      </c>
      <c r="J289" t="s">
        <v>307</v>
      </c>
      <c r="K289" t="s">
        <v>102</v>
      </c>
      <c r="L289">
        <v>650</v>
      </c>
      <c r="M289">
        <v>2012</v>
      </c>
      <c r="N289">
        <v>2012</v>
      </c>
      <c r="O289" s="1">
        <v>42219</v>
      </c>
      <c r="P289" s="1">
        <v>41886</v>
      </c>
      <c r="S289" t="s">
        <v>43</v>
      </c>
      <c r="W289">
        <v>1</v>
      </c>
      <c r="Z289">
        <v>0</v>
      </c>
    </row>
    <row r="290" spans="1:26" x14ac:dyDescent="0.3">
      <c r="A290">
        <v>149267</v>
      </c>
      <c r="B290" t="s">
        <v>883</v>
      </c>
      <c r="C290" t="s">
        <v>884</v>
      </c>
      <c r="D290" t="s">
        <v>885</v>
      </c>
      <c r="E290" t="s">
        <v>886</v>
      </c>
      <c r="F290" t="str">
        <f>"0385199570"</f>
        <v>0385199570</v>
      </c>
      <c r="G290" t="str">
        <f>"9780385199575"</f>
        <v>9780385199575</v>
      </c>
      <c r="H290">
        <v>0</v>
      </c>
      <c r="I290">
        <v>4.34</v>
      </c>
      <c r="J290" t="s">
        <v>887</v>
      </c>
      <c r="K290" t="s">
        <v>42</v>
      </c>
      <c r="L290">
        <v>1152</v>
      </c>
      <c r="M290">
        <v>1990</v>
      </c>
      <c r="N290">
        <v>1978</v>
      </c>
      <c r="P290" s="1">
        <v>42202</v>
      </c>
      <c r="Q290" t="s">
        <v>36</v>
      </c>
      <c r="R290" t="s">
        <v>888</v>
      </c>
      <c r="S290" t="s">
        <v>36</v>
      </c>
      <c r="W290">
        <v>0</v>
      </c>
      <c r="Z290">
        <v>0</v>
      </c>
    </row>
    <row r="291" spans="1:26" x14ac:dyDescent="0.3">
      <c r="A291">
        <v>11557</v>
      </c>
      <c r="B291" t="s">
        <v>889</v>
      </c>
      <c r="C291" t="s">
        <v>890</v>
      </c>
      <c r="D291" t="s">
        <v>891</v>
      </c>
      <c r="F291" t="str">
        <f>"0671741039"</f>
        <v>0671741039</v>
      </c>
      <c r="G291" t="str">
        <f>"9780671741037"</f>
        <v>9780671741037</v>
      </c>
      <c r="H291">
        <v>0</v>
      </c>
      <c r="I291">
        <v>4.28</v>
      </c>
      <c r="J291" t="s">
        <v>391</v>
      </c>
      <c r="K291" t="s">
        <v>257</v>
      </c>
      <c r="L291">
        <v>956</v>
      </c>
      <c r="M291">
        <v>1987</v>
      </c>
      <c r="N291">
        <v>1987</v>
      </c>
      <c r="P291" s="1">
        <v>42202</v>
      </c>
      <c r="Q291" t="s">
        <v>36</v>
      </c>
      <c r="R291" t="s">
        <v>892</v>
      </c>
      <c r="S291" t="s">
        <v>36</v>
      </c>
      <c r="W291">
        <v>0</v>
      </c>
      <c r="Z291">
        <v>0</v>
      </c>
    </row>
    <row r="292" spans="1:26" x14ac:dyDescent="0.3">
      <c r="A292">
        <v>21048855</v>
      </c>
      <c r="B292" t="s">
        <v>893</v>
      </c>
      <c r="C292" t="s">
        <v>894</v>
      </c>
      <c r="D292" t="s">
        <v>895</v>
      </c>
      <c r="F292" t="str">
        <f>""</f>
        <v/>
      </c>
      <c r="G292" t="str">
        <f>""</f>
        <v/>
      </c>
      <c r="H292">
        <v>0</v>
      </c>
      <c r="I292">
        <v>3.68</v>
      </c>
      <c r="J292" t="s">
        <v>896</v>
      </c>
      <c r="K292" t="s">
        <v>102</v>
      </c>
      <c r="L292">
        <v>34</v>
      </c>
      <c r="M292">
        <v>2015</v>
      </c>
      <c r="N292">
        <v>2015</v>
      </c>
      <c r="P292" s="1">
        <v>42127</v>
      </c>
      <c r="Q292" t="s">
        <v>36</v>
      </c>
      <c r="R292" t="s">
        <v>897</v>
      </c>
      <c r="S292" t="s">
        <v>36</v>
      </c>
      <c r="W292">
        <v>0</v>
      </c>
      <c r="Z292">
        <v>0</v>
      </c>
    </row>
    <row r="293" spans="1:26" x14ac:dyDescent="0.3">
      <c r="A293">
        <v>22599303</v>
      </c>
      <c r="B293" t="s">
        <v>898</v>
      </c>
      <c r="C293" t="s">
        <v>90</v>
      </c>
      <c r="D293" t="s">
        <v>91</v>
      </c>
      <c r="F293" t="str">
        <f>""</f>
        <v/>
      </c>
      <c r="G293" t="str">
        <f>""</f>
        <v/>
      </c>
      <c r="H293">
        <v>0</v>
      </c>
      <c r="I293">
        <v>4.3099999999999996</v>
      </c>
      <c r="K293" t="s">
        <v>57</v>
      </c>
      <c r="L293">
        <v>530</v>
      </c>
      <c r="M293">
        <v>2014</v>
      </c>
      <c r="N293">
        <v>2014</v>
      </c>
      <c r="P293" s="1">
        <v>42113</v>
      </c>
      <c r="Q293" t="s">
        <v>36</v>
      </c>
      <c r="R293" t="s">
        <v>899</v>
      </c>
      <c r="S293" t="s">
        <v>36</v>
      </c>
      <c r="W293">
        <v>0</v>
      </c>
      <c r="Z293">
        <v>0</v>
      </c>
    </row>
    <row r="294" spans="1:26" x14ac:dyDescent="0.3">
      <c r="A294">
        <v>17707471</v>
      </c>
      <c r="B294" t="s">
        <v>900</v>
      </c>
      <c r="C294" t="s">
        <v>901</v>
      </c>
      <c r="D294" t="s">
        <v>902</v>
      </c>
      <c r="F294" t="str">
        <f>"042526484X"</f>
        <v>042526484X</v>
      </c>
      <c r="G294" t="str">
        <f>"9780425264843"</f>
        <v>9780425264843</v>
      </c>
      <c r="H294">
        <v>0</v>
      </c>
      <c r="I294">
        <v>3.73</v>
      </c>
      <c r="J294" t="s">
        <v>218</v>
      </c>
      <c r="K294" t="s">
        <v>42</v>
      </c>
      <c r="L294">
        <v>400</v>
      </c>
      <c r="M294">
        <v>2013</v>
      </c>
      <c r="N294">
        <v>2013</v>
      </c>
      <c r="P294" s="1">
        <v>42113</v>
      </c>
      <c r="Q294" t="s">
        <v>36</v>
      </c>
      <c r="R294" t="s">
        <v>903</v>
      </c>
      <c r="S294" t="s">
        <v>36</v>
      </c>
      <c r="W294">
        <v>0</v>
      </c>
      <c r="Z294">
        <v>0</v>
      </c>
    </row>
    <row r="295" spans="1:26" x14ac:dyDescent="0.3">
      <c r="A295">
        <v>18947303</v>
      </c>
      <c r="B295" t="s">
        <v>904</v>
      </c>
      <c r="C295" t="s">
        <v>322</v>
      </c>
      <c r="D295" t="s">
        <v>323</v>
      </c>
      <c r="F295" t="str">
        <f>"184866379X"</f>
        <v>184866379X</v>
      </c>
      <c r="G295" t="str">
        <f>"9781848663794"</f>
        <v>9781848663794</v>
      </c>
      <c r="H295">
        <v>0</v>
      </c>
      <c r="I295">
        <v>4.05</v>
      </c>
      <c r="J295" t="s">
        <v>905</v>
      </c>
      <c r="K295" t="s">
        <v>42</v>
      </c>
      <c r="L295">
        <v>370</v>
      </c>
      <c r="M295">
        <v>2014</v>
      </c>
      <c r="N295">
        <v>2014</v>
      </c>
      <c r="P295" s="1">
        <v>42094</v>
      </c>
      <c r="Q295" t="s">
        <v>36</v>
      </c>
      <c r="R295" t="s">
        <v>906</v>
      </c>
      <c r="S295" t="s">
        <v>36</v>
      </c>
      <c r="W295">
        <v>0</v>
      </c>
      <c r="Z295">
        <v>0</v>
      </c>
    </row>
    <row r="296" spans="1:26" x14ac:dyDescent="0.3">
      <c r="A296">
        <v>11806282</v>
      </c>
      <c r="B296" t="s">
        <v>907</v>
      </c>
      <c r="C296" t="s">
        <v>908</v>
      </c>
      <c r="D296" t="s">
        <v>909</v>
      </c>
      <c r="F296" t="str">
        <f>""</f>
        <v/>
      </c>
      <c r="G296" t="str">
        <f>""</f>
        <v/>
      </c>
      <c r="H296">
        <v>0</v>
      </c>
      <c r="I296">
        <v>3.59</v>
      </c>
      <c r="J296" t="s">
        <v>910</v>
      </c>
      <c r="K296" t="s">
        <v>57</v>
      </c>
      <c r="L296">
        <v>300</v>
      </c>
      <c r="M296">
        <v>2012</v>
      </c>
      <c r="N296">
        <v>2012</v>
      </c>
      <c r="P296" s="1">
        <v>42072</v>
      </c>
      <c r="Q296" t="s">
        <v>36</v>
      </c>
      <c r="R296" t="s">
        <v>911</v>
      </c>
      <c r="S296" t="s">
        <v>36</v>
      </c>
      <c r="W296">
        <v>0</v>
      </c>
      <c r="Z296">
        <v>0</v>
      </c>
    </row>
    <row r="297" spans="1:26" x14ac:dyDescent="0.3">
      <c r="A297">
        <v>7000922</v>
      </c>
      <c r="B297" t="s">
        <v>912</v>
      </c>
      <c r="C297" t="s">
        <v>913</v>
      </c>
      <c r="D297" t="s">
        <v>914</v>
      </c>
      <c r="F297" t="str">
        <f>"1844168115"</f>
        <v>1844168115</v>
      </c>
      <c r="G297" t="str">
        <f>"9781844168118"</f>
        <v>9781844168118</v>
      </c>
      <c r="H297">
        <v>0</v>
      </c>
      <c r="I297">
        <v>4.3499999999999996</v>
      </c>
      <c r="J297" t="s">
        <v>915</v>
      </c>
      <c r="K297" t="s">
        <v>102</v>
      </c>
      <c r="L297">
        <v>416</v>
      </c>
      <c r="M297">
        <v>2010</v>
      </c>
      <c r="N297">
        <v>2010</v>
      </c>
      <c r="P297" s="1">
        <v>42056</v>
      </c>
      <c r="Q297" t="s">
        <v>36</v>
      </c>
      <c r="R297" t="s">
        <v>916</v>
      </c>
      <c r="S297" t="s">
        <v>36</v>
      </c>
      <c r="W297">
        <v>0</v>
      </c>
      <c r="Z297">
        <v>0</v>
      </c>
    </row>
    <row r="298" spans="1:26" x14ac:dyDescent="0.3">
      <c r="A298">
        <v>18714917</v>
      </c>
      <c r="B298" t="s">
        <v>917</v>
      </c>
      <c r="C298" t="s">
        <v>918</v>
      </c>
      <c r="D298" t="s">
        <v>919</v>
      </c>
      <c r="F298" t="str">
        <f>""</f>
        <v/>
      </c>
      <c r="G298" t="str">
        <f>""</f>
        <v/>
      </c>
      <c r="H298">
        <v>0</v>
      </c>
      <c r="I298">
        <v>3.84</v>
      </c>
      <c r="K298" t="s">
        <v>35</v>
      </c>
      <c r="M298">
        <v>2013</v>
      </c>
      <c r="N298">
        <v>2013</v>
      </c>
      <c r="P298" s="1">
        <v>42055</v>
      </c>
      <c r="Q298" t="s">
        <v>36</v>
      </c>
      <c r="R298" t="s">
        <v>920</v>
      </c>
      <c r="S298" t="s">
        <v>36</v>
      </c>
      <c r="W298">
        <v>0</v>
      </c>
      <c r="Z298">
        <v>0</v>
      </c>
    </row>
    <row r="299" spans="1:26" x14ac:dyDescent="0.3">
      <c r="A299">
        <v>23654163</v>
      </c>
      <c r="B299" t="s">
        <v>921</v>
      </c>
      <c r="C299" t="s">
        <v>54</v>
      </c>
      <c r="D299" t="s">
        <v>55</v>
      </c>
      <c r="F299" t="str">
        <f>""</f>
        <v/>
      </c>
      <c r="G299" t="str">
        <f>""</f>
        <v/>
      </c>
      <c r="H299">
        <v>0</v>
      </c>
      <c r="I299">
        <v>3.9</v>
      </c>
      <c r="J299" t="s">
        <v>205</v>
      </c>
      <c r="K299" t="s">
        <v>57</v>
      </c>
      <c r="L299">
        <v>51</v>
      </c>
      <c r="M299">
        <v>2015</v>
      </c>
      <c r="N299">
        <v>2015</v>
      </c>
      <c r="P299" s="1">
        <v>42044</v>
      </c>
      <c r="Q299" t="s">
        <v>36</v>
      </c>
      <c r="R299" t="s">
        <v>922</v>
      </c>
      <c r="S299" t="s">
        <v>36</v>
      </c>
      <c r="W299">
        <v>0</v>
      </c>
      <c r="Z299">
        <v>0</v>
      </c>
    </row>
    <row r="300" spans="1:26" x14ac:dyDescent="0.3">
      <c r="A300">
        <v>17608111</v>
      </c>
      <c r="B300" t="s">
        <v>923</v>
      </c>
      <c r="C300" t="s">
        <v>54</v>
      </c>
      <c r="D300" t="s">
        <v>55</v>
      </c>
      <c r="F300" t="str">
        <f>"0356502023"</f>
        <v>0356502023</v>
      </c>
      <c r="G300" t="str">
        <f>"9780356502021"</f>
        <v>9780356502021</v>
      </c>
      <c r="H300">
        <v>5</v>
      </c>
      <c r="I300">
        <v>4.3600000000000003</v>
      </c>
      <c r="J300" t="s">
        <v>205</v>
      </c>
      <c r="K300" t="s">
        <v>42</v>
      </c>
      <c r="L300">
        <v>596</v>
      </c>
      <c r="M300">
        <v>2014</v>
      </c>
      <c r="N300">
        <v>2014</v>
      </c>
      <c r="P300" s="1">
        <v>41941</v>
      </c>
      <c r="S300" t="s">
        <v>43</v>
      </c>
      <c r="W300">
        <v>1</v>
      </c>
      <c r="Z300">
        <v>0</v>
      </c>
    </row>
    <row r="301" spans="1:26" x14ac:dyDescent="0.3">
      <c r="A301">
        <v>20653339</v>
      </c>
      <c r="B301" t="s">
        <v>924</v>
      </c>
      <c r="C301" t="s">
        <v>54</v>
      </c>
      <c r="D301" t="s">
        <v>55</v>
      </c>
      <c r="F301" t="str">
        <f>""</f>
        <v/>
      </c>
      <c r="G301" t="str">
        <f>""</f>
        <v/>
      </c>
      <c r="H301">
        <v>4</v>
      </c>
      <c r="I301">
        <v>4.03</v>
      </c>
      <c r="J301" t="s">
        <v>925</v>
      </c>
      <c r="K301" t="s">
        <v>57</v>
      </c>
      <c r="L301">
        <v>50</v>
      </c>
      <c r="M301">
        <v>2014</v>
      </c>
      <c r="N301">
        <v>2014</v>
      </c>
      <c r="P301" s="1">
        <v>41941</v>
      </c>
      <c r="S301" t="s">
        <v>43</v>
      </c>
      <c r="W301">
        <v>1</v>
      </c>
      <c r="Z301">
        <v>0</v>
      </c>
    </row>
    <row r="302" spans="1:26" x14ac:dyDescent="0.3">
      <c r="A302">
        <v>18139131</v>
      </c>
      <c r="B302" t="s">
        <v>926</v>
      </c>
      <c r="C302" t="s">
        <v>54</v>
      </c>
      <c r="D302" t="s">
        <v>55</v>
      </c>
      <c r="F302" t="str">
        <f>""</f>
        <v/>
      </c>
      <c r="G302" t="str">
        <f>""</f>
        <v/>
      </c>
      <c r="H302">
        <v>3</v>
      </c>
      <c r="I302">
        <v>3.96</v>
      </c>
      <c r="K302" t="s">
        <v>35</v>
      </c>
      <c r="L302">
        <v>29</v>
      </c>
      <c r="M302">
        <v>2013</v>
      </c>
      <c r="N302">
        <v>2013</v>
      </c>
      <c r="P302" s="1">
        <v>41941</v>
      </c>
      <c r="S302" t="s">
        <v>43</v>
      </c>
      <c r="W302">
        <v>1</v>
      </c>
      <c r="Z302">
        <v>0</v>
      </c>
    </row>
    <row r="303" spans="1:26" x14ac:dyDescent="0.3">
      <c r="A303">
        <v>18569078</v>
      </c>
      <c r="B303" t="s">
        <v>927</v>
      </c>
      <c r="C303" t="s">
        <v>54</v>
      </c>
      <c r="D303" t="s">
        <v>55</v>
      </c>
      <c r="F303" t="str">
        <f>""</f>
        <v/>
      </c>
      <c r="G303" t="str">
        <f>""</f>
        <v/>
      </c>
      <c r="H303">
        <v>4</v>
      </c>
      <c r="I303">
        <v>3.97</v>
      </c>
      <c r="J303" t="s">
        <v>264</v>
      </c>
      <c r="K303" t="s">
        <v>57</v>
      </c>
      <c r="L303">
        <v>30</v>
      </c>
      <c r="M303">
        <v>2013</v>
      </c>
      <c r="N303">
        <v>2013</v>
      </c>
      <c r="P303" s="1">
        <v>41941</v>
      </c>
      <c r="S303" t="s">
        <v>43</v>
      </c>
      <c r="W303">
        <v>1</v>
      </c>
      <c r="Z303">
        <v>0</v>
      </c>
    </row>
    <row r="304" spans="1:26" x14ac:dyDescent="0.3">
      <c r="A304">
        <v>22493195</v>
      </c>
      <c r="B304" t="s">
        <v>928</v>
      </c>
      <c r="C304" t="s">
        <v>54</v>
      </c>
      <c r="D304" t="s">
        <v>55</v>
      </c>
      <c r="F304" t="str">
        <f>""</f>
        <v/>
      </c>
      <c r="G304" t="str">
        <f>""</f>
        <v/>
      </c>
      <c r="H304">
        <v>5</v>
      </c>
      <c r="I304">
        <v>4.26</v>
      </c>
      <c r="K304" t="s">
        <v>57</v>
      </c>
      <c r="L304">
        <v>77</v>
      </c>
      <c r="M304">
        <v>2014</v>
      </c>
      <c r="N304">
        <v>2014</v>
      </c>
      <c r="P304" s="1">
        <v>41941</v>
      </c>
      <c r="S304" t="s">
        <v>43</v>
      </c>
      <c r="W304">
        <v>1</v>
      </c>
      <c r="Z304">
        <v>0</v>
      </c>
    </row>
    <row r="305" spans="1:26" x14ac:dyDescent="0.3">
      <c r="A305">
        <v>8680418</v>
      </c>
      <c r="B305" t="s">
        <v>929</v>
      </c>
      <c r="C305" t="s">
        <v>930</v>
      </c>
      <c r="D305" t="s">
        <v>931</v>
      </c>
      <c r="F305" t="str">
        <f>"0345524594"</f>
        <v>0345524594</v>
      </c>
      <c r="G305" t="str">
        <f>"9780345524591"</f>
        <v>9780345524591</v>
      </c>
      <c r="H305">
        <v>3</v>
      </c>
      <c r="I305">
        <v>4.09</v>
      </c>
      <c r="J305" t="s">
        <v>932</v>
      </c>
      <c r="K305" t="s">
        <v>102</v>
      </c>
      <c r="L305">
        <v>289</v>
      </c>
      <c r="M305">
        <v>2011</v>
      </c>
      <c r="N305">
        <v>2011</v>
      </c>
      <c r="O305" s="1">
        <v>42044</v>
      </c>
      <c r="P305" s="1">
        <v>42030</v>
      </c>
      <c r="S305" t="s">
        <v>43</v>
      </c>
      <c r="W305">
        <v>1</v>
      </c>
      <c r="Z305">
        <v>0</v>
      </c>
    </row>
    <row r="306" spans="1:26" x14ac:dyDescent="0.3">
      <c r="A306">
        <v>8680417</v>
      </c>
      <c r="B306" t="s">
        <v>933</v>
      </c>
      <c r="C306" t="s">
        <v>930</v>
      </c>
      <c r="D306" t="s">
        <v>931</v>
      </c>
      <c r="F306" t="str">
        <f>""</f>
        <v/>
      </c>
      <c r="G306" t="str">
        <f>""</f>
        <v/>
      </c>
      <c r="H306">
        <v>3</v>
      </c>
      <c r="I306">
        <v>3.87</v>
      </c>
      <c r="J306" t="s">
        <v>223</v>
      </c>
      <c r="K306" t="s">
        <v>257</v>
      </c>
      <c r="L306">
        <v>298</v>
      </c>
      <c r="M306">
        <v>2011</v>
      </c>
      <c r="N306">
        <v>2011</v>
      </c>
      <c r="P306" s="1">
        <v>41506</v>
      </c>
      <c r="S306" t="s">
        <v>43</v>
      </c>
      <c r="W306">
        <v>1</v>
      </c>
      <c r="Z306">
        <v>0</v>
      </c>
    </row>
    <row r="307" spans="1:26" x14ac:dyDescent="0.3">
      <c r="A307">
        <v>15704459</v>
      </c>
      <c r="B307" t="s">
        <v>934</v>
      </c>
      <c r="C307" t="s">
        <v>45</v>
      </c>
      <c r="D307" t="s">
        <v>46</v>
      </c>
      <c r="F307" t="str">
        <f>"0385743580"</f>
        <v>0385743580</v>
      </c>
      <c r="G307" t="str">
        <f>"9780385743587"</f>
        <v>9780385743587</v>
      </c>
      <c r="H307">
        <v>5</v>
      </c>
      <c r="I307">
        <v>4.26</v>
      </c>
      <c r="J307" t="s">
        <v>780</v>
      </c>
      <c r="K307" t="s">
        <v>42</v>
      </c>
      <c r="L307">
        <v>416</v>
      </c>
      <c r="M307">
        <v>2015</v>
      </c>
      <c r="N307">
        <v>2015</v>
      </c>
      <c r="O307" s="1">
        <v>42019</v>
      </c>
      <c r="P307" s="1">
        <v>41836</v>
      </c>
      <c r="S307" t="s">
        <v>43</v>
      </c>
      <c r="W307">
        <v>1</v>
      </c>
      <c r="Z307">
        <v>0</v>
      </c>
    </row>
    <row r="308" spans="1:26" x14ac:dyDescent="0.3">
      <c r="A308">
        <v>18476102</v>
      </c>
      <c r="B308" t="s">
        <v>935</v>
      </c>
      <c r="C308" t="s">
        <v>95</v>
      </c>
      <c r="D308" t="s">
        <v>96</v>
      </c>
      <c r="F308" t="str">
        <f>"1477817409"</f>
        <v>1477817409</v>
      </c>
      <c r="G308" t="str">
        <f>"9781477817407"</f>
        <v>9781477817407</v>
      </c>
      <c r="H308">
        <v>4</v>
      </c>
      <c r="I308">
        <v>4.1399999999999997</v>
      </c>
      <c r="J308" t="s">
        <v>97</v>
      </c>
      <c r="K308" t="s">
        <v>102</v>
      </c>
      <c r="L308">
        <v>315</v>
      </c>
      <c r="M308">
        <v>2014</v>
      </c>
      <c r="N308">
        <v>2014</v>
      </c>
      <c r="O308" s="1">
        <v>42014</v>
      </c>
      <c r="P308" s="1">
        <v>41886</v>
      </c>
      <c r="S308" t="s">
        <v>43</v>
      </c>
      <c r="W308">
        <v>1</v>
      </c>
      <c r="Z308">
        <v>0</v>
      </c>
    </row>
    <row r="309" spans="1:26" x14ac:dyDescent="0.3">
      <c r="A309">
        <v>18730784</v>
      </c>
      <c r="B309" t="s">
        <v>936</v>
      </c>
      <c r="C309" t="s">
        <v>95</v>
      </c>
      <c r="D309" t="s">
        <v>96</v>
      </c>
      <c r="F309" t="str">
        <f>""</f>
        <v/>
      </c>
      <c r="G309" t="str">
        <f>""</f>
        <v/>
      </c>
      <c r="H309">
        <v>0</v>
      </c>
      <c r="I309">
        <v>3.9</v>
      </c>
      <c r="J309" t="s">
        <v>283</v>
      </c>
      <c r="K309" t="s">
        <v>57</v>
      </c>
      <c r="L309">
        <v>63</v>
      </c>
      <c r="M309">
        <v>2013</v>
      </c>
      <c r="N309">
        <v>2013</v>
      </c>
      <c r="P309" s="1">
        <v>42012</v>
      </c>
      <c r="Q309" t="s">
        <v>36</v>
      </c>
      <c r="R309" t="s">
        <v>937</v>
      </c>
      <c r="S309" t="s">
        <v>36</v>
      </c>
      <c r="W309">
        <v>0</v>
      </c>
      <c r="Z309">
        <v>0</v>
      </c>
    </row>
    <row r="310" spans="1:26" x14ac:dyDescent="0.3">
      <c r="A310">
        <v>17880298</v>
      </c>
      <c r="B310" t="s">
        <v>938</v>
      </c>
      <c r="C310" t="s">
        <v>95</v>
      </c>
      <c r="D310" t="s">
        <v>96</v>
      </c>
      <c r="F310" t="str">
        <f>""</f>
        <v/>
      </c>
      <c r="G310" t="str">
        <f>""</f>
        <v/>
      </c>
      <c r="H310">
        <v>0</v>
      </c>
      <c r="I310">
        <v>4.1100000000000003</v>
      </c>
      <c r="J310" t="s">
        <v>283</v>
      </c>
      <c r="K310" t="s">
        <v>35</v>
      </c>
      <c r="L310">
        <v>14</v>
      </c>
      <c r="M310">
        <v>2013</v>
      </c>
      <c r="N310">
        <v>2013</v>
      </c>
      <c r="P310" s="1">
        <v>42012</v>
      </c>
      <c r="Q310" t="s">
        <v>36</v>
      </c>
      <c r="R310" t="s">
        <v>939</v>
      </c>
      <c r="S310" t="s">
        <v>36</v>
      </c>
      <c r="W310">
        <v>0</v>
      </c>
      <c r="Z310">
        <v>0</v>
      </c>
    </row>
    <row r="311" spans="1:26" x14ac:dyDescent="0.3">
      <c r="A311">
        <v>20174424</v>
      </c>
      <c r="B311" t="s">
        <v>940</v>
      </c>
      <c r="C311" t="s">
        <v>160</v>
      </c>
      <c r="D311" t="s">
        <v>161</v>
      </c>
      <c r="F311" t="str">
        <f>"080413717X"</f>
        <v>080413717X</v>
      </c>
      <c r="G311" t="str">
        <f>"9780804137171"</f>
        <v>9780804137171</v>
      </c>
      <c r="H311">
        <v>0</v>
      </c>
      <c r="I311">
        <v>4.07</v>
      </c>
      <c r="J311" t="s">
        <v>941</v>
      </c>
      <c r="K311" t="s">
        <v>102</v>
      </c>
      <c r="L311">
        <v>452</v>
      </c>
      <c r="M311">
        <v>2014</v>
      </c>
      <c r="N311">
        <v>2014</v>
      </c>
      <c r="P311" s="1">
        <v>42011</v>
      </c>
      <c r="Q311" t="s">
        <v>36</v>
      </c>
      <c r="R311" t="s">
        <v>942</v>
      </c>
      <c r="S311" t="s">
        <v>36</v>
      </c>
      <c r="W311">
        <v>0</v>
      </c>
      <c r="Z311">
        <v>0</v>
      </c>
    </row>
    <row r="312" spans="1:26" x14ac:dyDescent="0.3">
      <c r="A312">
        <v>18079705</v>
      </c>
      <c r="B312" t="s">
        <v>943</v>
      </c>
      <c r="C312" t="s">
        <v>944</v>
      </c>
      <c r="D312" t="s">
        <v>945</v>
      </c>
      <c r="F312" t="str">
        <f>"0399164987"</f>
        <v>0399164987</v>
      </c>
      <c r="G312" t="str">
        <f>"9780399164989"</f>
        <v>9780399164989</v>
      </c>
      <c r="H312">
        <v>0</v>
      </c>
      <c r="I312">
        <v>3.9</v>
      </c>
      <c r="J312" t="s">
        <v>946</v>
      </c>
      <c r="K312" t="s">
        <v>42</v>
      </c>
      <c r="L312">
        <v>608</v>
      </c>
      <c r="M312">
        <v>2014</v>
      </c>
      <c r="N312">
        <v>2014</v>
      </c>
      <c r="P312" s="1">
        <v>42010</v>
      </c>
      <c r="Q312" t="s">
        <v>36</v>
      </c>
      <c r="R312" t="s">
        <v>947</v>
      </c>
      <c r="S312" t="s">
        <v>36</v>
      </c>
      <c r="W312">
        <v>0</v>
      </c>
      <c r="Z312">
        <v>0</v>
      </c>
    </row>
    <row r="313" spans="1:26" x14ac:dyDescent="0.3">
      <c r="A313">
        <v>21535271</v>
      </c>
      <c r="B313" t="s">
        <v>948</v>
      </c>
      <c r="C313" t="s">
        <v>949</v>
      </c>
      <c r="D313" t="s">
        <v>950</v>
      </c>
      <c r="E313" t="s">
        <v>951</v>
      </c>
      <c r="F313" t="str">
        <f>"0756410436"</f>
        <v>0756410436</v>
      </c>
      <c r="G313" t="str">
        <f>"9780756410438"</f>
        <v>9780756410438</v>
      </c>
      <c r="H313">
        <v>0</v>
      </c>
      <c r="I313">
        <v>3.89</v>
      </c>
      <c r="J313" t="s">
        <v>952</v>
      </c>
      <c r="K313" t="s">
        <v>42</v>
      </c>
      <c r="L313">
        <v>159</v>
      </c>
      <c r="M313">
        <v>2014</v>
      </c>
      <c r="N313">
        <v>2014</v>
      </c>
      <c r="P313" s="1">
        <v>42002</v>
      </c>
      <c r="Q313" t="s">
        <v>36</v>
      </c>
      <c r="R313" t="s">
        <v>953</v>
      </c>
      <c r="S313" t="s">
        <v>36</v>
      </c>
      <c r="W313">
        <v>0</v>
      </c>
      <c r="Z313">
        <v>0</v>
      </c>
    </row>
    <row r="314" spans="1:26" x14ac:dyDescent="0.3">
      <c r="A314">
        <v>22823333</v>
      </c>
      <c r="B314" t="s">
        <v>954</v>
      </c>
      <c r="C314" t="s">
        <v>45</v>
      </c>
      <c r="D314" t="s">
        <v>46</v>
      </c>
      <c r="F314" t="str">
        <f>""</f>
        <v/>
      </c>
      <c r="G314" t="str">
        <f>""</f>
        <v/>
      </c>
      <c r="H314">
        <v>0</v>
      </c>
      <c r="I314">
        <v>3.84</v>
      </c>
      <c r="J314" t="s">
        <v>955</v>
      </c>
      <c r="K314" t="s">
        <v>35</v>
      </c>
      <c r="L314">
        <v>21</v>
      </c>
      <c r="M314">
        <v>2012</v>
      </c>
      <c r="N314">
        <v>2012</v>
      </c>
      <c r="P314" s="1">
        <v>42000</v>
      </c>
      <c r="Q314" t="s">
        <v>36</v>
      </c>
      <c r="R314" t="s">
        <v>956</v>
      </c>
      <c r="S314" t="s">
        <v>36</v>
      </c>
      <c r="W314">
        <v>0</v>
      </c>
      <c r="Z314">
        <v>0</v>
      </c>
    </row>
    <row r="315" spans="1:26" x14ac:dyDescent="0.3">
      <c r="A315">
        <v>23947089</v>
      </c>
      <c r="B315" t="s">
        <v>957</v>
      </c>
      <c r="C315" t="s">
        <v>45</v>
      </c>
      <c r="D315" t="s">
        <v>46</v>
      </c>
      <c r="F315" t="str">
        <f>"0765391198"</f>
        <v>0765391198</v>
      </c>
      <c r="G315" t="str">
        <f>"9780765391193"</f>
        <v>9780765391193</v>
      </c>
      <c r="H315">
        <v>0</v>
      </c>
      <c r="I315">
        <v>4.34</v>
      </c>
      <c r="J315" t="s">
        <v>56</v>
      </c>
      <c r="K315" t="s">
        <v>42</v>
      </c>
      <c r="L315">
        <v>464</v>
      </c>
      <c r="M315">
        <v>2022</v>
      </c>
      <c r="N315">
        <v>2022</v>
      </c>
      <c r="P315" s="1">
        <v>42000</v>
      </c>
      <c r="Q315" t="s">
        <v>36</v>
      </c>
      <c r="R315" t="s">
        <v>958</v>
      </c>
      <c r="S315" t="s">
        <v>36</v>
      </c>
      <c r="W315">
        <v>0</v>
      </c>
      <c r="Z315">
        <v>0</v>
      </c>
    </row>
    <row r="316" spans="1:26" x14ac:dyDescent="0.3">
      <c r="A316">
        <v>1215032</v>
      </c>
      <c r="B316" t="s">
        <v>959</v>
      </c>
      <c r="C316" t="s">
        <v>949</v>
      </c>
      <c r="D316" t="s">
        <v>950</v>
      </c>
      <c r="F316" t="str">
        <f>"0756404738"</f>
        <v>0756404738</v>
      </c>
      <c r="G316" t="str">
        <f>"9780756404734"</f>
        <v>9780756404734</v>
      </c>
      <c r="H316">
        <v>4</v>
      </c>
      <c r="I316">
        <v>4.55</v>
      </c>
      <c r="J316" t="s">
        <v>952</v>
      </c>
      <c r="K316" t="s">
        <v>42</v>
      </c>
      <c r="L316">
        <v>994</v>
      </c>
      <c r="M316">
        <v>2011</v>
      </c>
      <c r="N316">
        <v>2011</v>
      </c>
      <c r="O316" s="1">
        <v>41999</v>
      </c>
      <c r="P316" s="1">
        <v>41619</v>
      </c>
      <c r="S316" t="s">
        <v>43</v>
      </c>
      <c r="W316">
        <v>1</v>
      </c>
      <c r="Z316">
        <v>0</v>
      </c>
    </row>
    <row r="317" spans="1:26" x14ac:dyDescent="0.3">
      <c r="A317">
        <v>186074</v>
      </c>
      <c r="B317" t="s">
        <v>960</v>
      </c>
      <c r="C317" t="s">
        <v>949</v>
      </c>
      <c r="D317" t="s">
        <v>950</v>
      </c>
      <c r="F317" t="str">
        <f>"075640407X"</f>
        <v>075640407X</v>
      </c>
      <c r="G317" t="str">
        <f>"9780756404079"</f>
        <v>9780756404079</v>
      </c>
      <c r="H317">
        <v>4</v>
      </c>
      <c r="I317">
        <v>4.5199999999999996</v>
      </c>
      <c r="J317" t="s">
        <v>961</v>
      </c>
      <c r="K317" t="s">
        <v>42</v>
      </c>
      <c r="L317">
        <v>662</v>
      </c>
      <c r="M317">
        <v>2007</v>
      </c>
      <c r="N317">
        <v>2007</v>
      </c>
      <c r="O317" s="1">
        <v>41984</v>
      </c>
      <c r="P317" s="1">
        <v>41619</v>
      </c>
      <c r="S317" t="s">
        <v>43</v>
      </c>
      <c r="W317">
        <v>1</v>
      </c>
      <c r="Z317">
        <v>0</v>
      </c>
    </row>
    <row r="318" spans="1:26" x14ac:dyDescent="0.3">
      <c r="A318">
        <v>18243345</v>
      </c>
      <c r="B318" t="s">
        <v>962</v>
      </c>
      <c r="C318" t="s">
        <v>45</v>
      </c>
      <c r="D318" t="s">
        <v>46</v>
      </c>
      <c r="F318" t="str">
        <f>""</f>
        <v/>
      </c>
      <c r="G318" t="str">
        <f>""</f>
        <v/>
      </c>
      <c r="H318">
        <v>0</v>
      </c>
      <c r="I318">
        <v>4.25</v>
      </c>
      <c r="J318" t="s">
        <v>307</v>
      </c>
      <c r="K318" t="s">
        <v>42</v>
      </c>
      <c r="P318" s="1">
        <v>41974</v>
      </c>
      <c r="Q318" t="s">
        <v>36</v>
      </c>
      <c r="R318" t="s">
        <v>963</v>
      </c>
      <c r="S318" t="s">
        <v>36</v>
      </c>
      <c r="W318">
        <v>0</v>
      </c>
      <c r="Z318">
        <v>0</v>
      </c>
    </row>
    <row r="319" spans="1:26" x14ac:dyDescent="0.3">
      <c r="A319">
        <v>17182126</v>
      </c>
      <c r="B319" t="s">
        <v>964</v>
      </c>
      <c r="C319" t="s">
        <v>45</v>
      </c>
      <c r="D319" t="s">
        <v>46</v>
      </c>
      <c r="F319" t="str">
        <f>"0385743564"</f>
        <v>0385743564</v>
      </c>
      <c r="G319" t="str">
        <f>"9780385743563"</f>
        <v>9780385743563</v>
      </c>
      <c r="H319">
        <v>5</v>
      </c>
      <c r="I319">
        <v>4.1399999999999997</v>
      </c>
      <c r="J319" t="s">
        <v>780</v>
      </c>
      <c r="K319" t="s">
        <v>42</v>
      </c>
      <c r="L319">
        <v>386</v>
      </c>
      <c r="M319">
        <v>2013</v>
      </c>
      <c r="N319">
        <v>2013</v>
      </c>
      <c r="P319" s="1">
        <v>41974</v>
      </c>
      <c r="S319" t="s">
        <v>43</v>
      </c>
      <c r="W319">
        <v>1</v>
      </c>
      <c r="Z319">
        <v>0</v>
      </c>
    </row>
    <row r="320" spans="1:26" x14ac:dyDescent="0.3">
      <c r="A320">
        <v>1268479</v>
      </c>
      <c r="B320" t="s">
        <v>965</v>
      </c>
      <c r="C320" t="s">
        <v>45</v>
      </c>
      <c r="D320" t="s">
        <v>46</v>
      </c>
      <c r="F320" t="str">
        <f>""</f>
        <v/>
      </c>
      <c r="G320" t="str">
        <f>""</f>
        <v/>
      </c>
      <c r="H320">
        <v>4</v>
      </c>
      <c r="I320">
        <v>4.28</v>
      </c>
      <c r="J320" t="s">
        <v>966</v>
      </c>
      <c r="K320" t="s">
        <v>35</v>
      </c>
      <c r="L320">
        <v>688</v>
      </c>
      <c r="M320">
        <v>2009</v>
      </c>
      <c r="N320">
        <v>2009</v>
      </c>
      <c r="P320" s="1">
        <v>41974</v>
      </c>
      <c r="S320" t="s">
        <v>43</v>
      </c>
      <c r="W320">
        <v>1</v>
      </c>
      <c r="Z320">
        <v>0</v>
      </c>
    </row>
    <row r="321" spans="1:26" x14ac:dyDescent="0.3">
      <c r="A321">
        <v>21032488</v>
      </c>
      <c r="B321" t="s">
        <v>967</v>
      </c>
      <c r="C321" t="s">
        <v>949</v>
      </c>
      <c r="D321" t="s">
        <v>950</v>
      </c>
      <c r="F321" t="str">
        <f>"0575081449"</f>
        <v>0575081449</v>
      </c>
      <c r="G321" t="str">
        <f>"9780575081444"</f>
        <v>9780575081444</v>
      </c>
      <c r="H321">
        <v>0</v>
      </c>
      <c r="I321">
        <v>3.63</v>
      </c>
      <c r="J321" t="s">
        <v>307</v>
      </c>
      <c r="K321" t="s">
        <v>42</v>
      </c>
      <c r="L321">
        <v>896</v>
      </c>
      <c r="P321" s="1">
        <v>41974</v>
      </c>
      <c r="Q321" t="s">
        <v>36</v>
      </c>
      <c r="R321" t="s">
        <v>968</v>
      </c>
      <c r="S321" t="s">
        <v>36</v>
      </c>
      <c r="W321">
        <v>0</v>
      </c>
      <c r="Z321">
        <v>0</v>
      </c>
    </row>
    <row r="322" spans="1:26" x14ac:dyDescent="0.3">
      <c r="A322">
        <v>23597688</v>
      </c>
      <c r="B322" t="s">
        <v>969</v>
      </c>
      <c r="C322" t="s">
        <v>54</v>
      </c>
      <c r="D322" t="s">
        <v>55</v>
      </c>
      <c r="F322" t="str">
        <f>""</f>
        <v/>
      </c>
      <c r="G322" t="str">
        <f>""</f>
        <v/>
      </c>
      <c r="H322">
        <v>0</v>
      </c>
      <c r="I322">
        <v>4.16</v>
      </c>
      <c r="K322" t="s">
        <v>57</v>
      </c>
      <c r="L322">
        <v>74</v>
      </c>
      <c r="M322">
        <v>2014</v>
      </c>
      <c r="N322">
        <v>2014</v>
      </c>
      <c r="P322" s="1">
        <v>41974</v>
      </c>
      <c r="Q322" t="s">
        <v>36</v>
      </c>
      <c r="R322" t="s">
        <v>970</v>
      </c>
      <c r="S322" t="s">
        <v>36</v>
      </c>
      <c r="W322">
        <v>0</v>
      </c>
      <c r="Z322">
        <v>0</v>
      </c>
    </row>
    <row r="323" spans="1:26" x14ac:dyDescent="0.3">
      <c r="A323">
        <v>20614529</v>
      </c>
      <c r="B323" t="s">
        <v>971</v>
      </c>
      <c r="C323" t="s">
        <v>54</v>
      </c>
      <c r="D323" t="s">
        <v>55</v>
      </c>
      <c r="F323" t="str">
        <f>""</f>
        <v/>
      </c>
      <c r="G323" t="str">
        <f>""</f>
        <v/>
      </c>
      <c r="H323">
        <v>4</v>
      </c>
      <c r="I323">
        <v>4.03</v>
      </c>
      <c r="J323" t="s">
        <v>264</v>
      </c>
      <c r="K323" t="s">
        <v>57</v>
      </c>
      <c r="L323">
        <v>64</v>
      </c>
      <c r="M323">
        <v>2014</v>
      </c>
      <c r="N323">
        <v>2014</v>
      </c>
      <c r="P323" s="1">
        <v>41941</v>
      </c>
      <c r="S323" t="s">
        <v>43</v>
      </c>
      <c r="W323">
        <v>1</v>
      </c>
      <c r="Z323">
        <v>0</v>
      </c>
    </row>
    <row r="324" spans="1:26" x14ac:dyDescent="0.3">
      <c r="A324">
        <v>6255949</v>
      </c>
      <c r="B324" t="s">
        <v>972</v>
      </c>
      <c r="C324" t="s">
        <v>973</v>
      </c>
      <c r="D324" t="s">
        <v>974</v>
      </c>
      <c r="E324" t="s">
        <v>975</v>
      </c>
      <c r="F324" t="str">
        <f>"1421527618"</f>
        <v>1421527618</v>
      </c>
      <c r="G324" t="str">
        <f>"9781421527611"</f>
        <v>9781421527611</v>
      </c>
      <c r="H324">
        <v>4</v>
      </c>
      <c r="I324">
        <v>4.03</v>
      </c>
      <c r="J324" t="s">
        <v>976</v>
      </c>
      <c r="K324" t="s">
        <v>102</v>
      </c>
      <c r="L324">
        <v>201</v>
      </c>
      <c r="M324">
        <v>2009</v>
      </c>
      <c r="N324">
        <v>2004</v>
      </c>
      <c r="O324" s="1">
        <v>41942</v>
      </c>
      <c r="P324" s="1">
        <v>41903</v>
      </c>
      <c r="S324" t="s">
        <v>43</v>
      </c>
      <c r="W324">
        <v>1</v>
      </c>
      <c r="Z324">
        <v>0</v>
      </c>
    </row>
    <row r="325" spans="1:26" x14ac:dyDescent="0.3">
      <c r="A325">
        <v>17910124</v>
      </c>
      <c r="B325" t="s">
        <v>977</v>
      </c>
      <c r="C325" t="s">
        <v>978</v>
      </c>
      <c r="D325" t="s">
        <v>979</v>
      </c>
      <c r="F325" t="str">
        <f>"0765336405"</f>
        <v>0765336405</v>
      </c>
      <c r="G325" t="str">
        <f>"9780765336408"</f>
        <v>9780765336408</v>
      </c>
      <c r="H325">
        <v>0</v>
      </c>
      <c r="I325">
        <v>4.08</v>
      </c>
      <c r="J325" t="s">
        <v>56</v>
      </c>
      <c r="K325" t="s">
        <v>42</v>
      </c>
      <c r="L325">
        <v>480</v>
      </c>
      <c r="M325">
        <v>2014</v>
      </c>
      <c r="N325">
        <v>2014</v>
      </c>
      <c r="P325" s="1">
        <v>41941</v>
      </c>
      <c r="Q325" t="s">
        <v>36</v>
      </c>
      <c r="R325" t="s">
        <v>980</v>
      </c>
      <c r="S325" t="s">
        <v>36</v>
      </c>
      <c r="W325">
        <v>0</v>
      </c>
      <c r="Z325">
        <v>0</v>
      </c>
    </row>
    <row r="326" spans="1:26" x14ac:dyDescent="0.3">
      <c r="A326">
        <v>15790883</v>
      </c>
      <c r="B326" t="s">
        <v>981</v>
      </c>
      <c r="C326" t="s">
        <v>54</v>
      </c>
      <c r="D326" t="s">
        <v>55</v>
      </c>
      <c r="F326" t="str">
        <f>"0316219037"</f>
        <v>0316219037</v>
      </c>
      <c r="G326" t="str">
        <f>"9780316219037"</f>
        <v>9780316219037</v>
      </c>
      <c r="H326">
        <v>4</v>
      </c>
      <c r="I326">
        <v>4.12</v>
      </c>
      <c r="J326" t="s">
        <v>205</v>
      </c>
      <c r="K326" t="s">
        <v>42</v>
      </c>
      <c r="L326">
        <v>545</v>
      </c>
      <c r="M326">
        <v>2013</v>
      </c>
      <c r="N326">
        <v>2013</v>
      </c>
      <c r="O326" s="1">
        <v>41936</v>
      </c>
      <c r="P326" s="1">
        <v>41624</v>
      </c>
      <c r="S326" t="s">
        <v>43</v>
      </c>
      <c r="W326">
        <v>1</v>
      </c>
      <c r="Z326">
        <v>0</v>
      </c>
    </row>
    <row r="327" spans="1:26" x14ac:dyDescent="0.3">
      <c r="A327">
        <v>11737387</v>
      </c>
      <c r="B327" t="s">
        <v>982</v>
      </c>
      <c r="C327" t="s">
        <v>983</v>
      </c>
      <c r="D327" t="s">
        <v>984</v>
      </c>
      <c r="F327" t="str">
        <f>"1937007294"</f>
        <v>1937007294</v>
      </c>
      <c r="G327" t="str">
        <f>"9781937007294"</f>
        <v>9781937007294</v>
      </c>
      <c r="H327">
        <v>0</v>
      </c>
      <c r="I327">
        <v>3.89</v>
      </c>
      <c r="J327" t="s">
        <v>175</v>
      </c>
      <c r="K327" t="s">
        <v>257</v>
      </c>
      <c r="L327">
        <v>295</v>
      </c>
      <c r="M327">
        <v>2012</v>
      </c>
      <c r="N327">
        <v>2012</v>
      </c>
      <c r="P327" s="1">
        <v>41915</v>
      </c>
      <c r="Q327" t="s">
        <v>36</v>
      </c>
      <c r="R327" t="s">
        <v>985</v>
      </c>
      <c r="S327" t="s">
        <v>36</v>
      </c>
      <c r="W327">
        <v>0</v>
      </c>
      <c r="Z327">
        <v>0</v>
      </c>
    </row>
    <row r="328" spans="1:26" x14ac:dyDescent="0.3">
      <c r="A328">
        <v>15763857</v>
      </c>
      <c r="B328" t="s">
        <v>986</v>
      </c>
      <c r="C328" t="s">
        <v>987</v>
      </c>
      <c r="D328" t="s">
        <v>988</v>
      </c>
      <c r="F328" t="str">
        <f>"0575098112"</f>
        <v>0575098112</v>
      </c>
      <c r="G328" t="str">
        <f>"9780575098114"</f>
        <v>9780575098114</v>
      </c>
      <c r="H328">
        <v>5</v>
      </c>
      <c r="I328">
        <v>4.42</v>
      </c>
      <c r="J328" t="s">
        <v>989</v>
      </c>
      <c r="K328" t="s">
        <v>102</v>
      </c>
      <c r="L328">
        <v>492</v>
      </c>
      <c r="M328">
        <v>2013</v>
      </c>
      <c r="N328">
        <v>2013</v>
      </c>
      <c r="O328" s="1">
        <v>41910</v>
      </c>
      <c r="P328" s="1">
        <v>41886</v>
      </c>
      <c r="S328" t="s">
        <v>43</v>
      </c>
      <c r="W328">
        <v>1</v>
      </c>
      <c r="Z328">
        <v>0</v>
      </c>
    </row>
    <row r="329" spans="1:26" x14ac:dyDescent="0.3">
      <c r="A329">
        <v>20949240</v>
      </c>
      <c r="B329" t="s">
        <v>990</v>
      </c>
      <c r="C329" t="s">
        <v>734</v>
      </c>
      <c r="D329" t="s">
        <v>735</v>
      </c>
      <c r="F329" t="str">
        <f>"6077350761"</f>
        <v>6077350761</v>
      </c>
      <c r="G329" t="str">
        <f>"9786077350767"</f>
        <v>9786077350767</v>
      </c>
      <c r="H329">
        <v>0</v>
      </c>
      <c r="I329">
        <v>3.91</v>
      </c>
      <c r="J329" t="s">
        <v>991</v>
      </c>
      <c r="K329" t="s">
        <v>102</v>
      </c>
      <c r="L329">
        <v>464</v>
      </c>
      <c r="M329">
        <v>2014</v>
      </c>
      <c r="N329">
        <v>1987</v>
      </c>
      <c r="P329" s="1">
        <v>41886</v>
      </c>
      <c r="Q329" t="s">
        <v>36</v>
      </c>
      <c r="R329" t="s">
        <v>992</v>
      </c>
      <c r="S329" t="s">
        <v>36</v>
      </c>
      <c r="W329">
        <v>0</v>
      </c>
      <c r="Z329">
        <v>0</v>
      </c>
    </row>
    <row r="330" spans="1:26" x14ac:dyDescent="0.3">
      <c r="A330">
        <v>9931820</v>
      </c>
      <c r="B330" t="s">
        <v>993</v>
      </c>
      <c r="C330" t="s">
        <v>987</v>
      </c>
      <c r="D330" t="s">
        <v>988</v>
      </c>
      <c r="F330" t="str">
        <f>"0575098066"</f>
        <v>0575098066</v>
      </c>
      <c r="G330" t="str">
        <f>"9780575098060"</f>
        <v>9780575098060</v>
      </c>
      <c r="H330">
        <v>4</v>
      </c>
      <c r="I330">
        <v>4.3</v>
      </c>
      <c r="J330" t="s">
        <v>307</v>
      </c>
      <c r="K330" t="s">
        <v>42</v>
      </c>
      <c r="L330">
        <v>480</v>
      </c>
      <c r="M330">
        <v>2011</v>
      </c>
      <c r="N330">
        <v>2011</v>
      </c>
      <c r="O330" s="1">
        <v>41891</v>
      </c>
      <c r="P330" s="1">
        <v>41883</v>
      </c>
      <c r="S330" t="s">
        <v>43</v>
      </c>
      <c r="W330">
        <v>1</v>
      </c>
      <c r="Z330">
        <v>0</v>
      </c>
    </row>
    <row r="331" spans="1:26" x14ac:dyDescent="0.3">
      <c r="A331">
        <v>11125</v>
      </c>
      <c r="B331" t="s">
        <v>994</v>
      </c>
      <c r="C331" t="s">
        <v>468</v>
      </c>
      <c r="D331" t="s">
        <v>469</v>
      </c>
      <c r="F331" t="str">
        <f>""</f>
        <v/>
      </c>
      <c r="G331" t="str">
        <f>""</f>
        <v/>
      </c>
      <c r="H331">
        <v>3</v>
      </c>
      <c r="I331">
        <v>3.68</v>
      </c>
      <c r="J331" t="s">
        <v>995</v>
      </c>
      <c r="K331" t="s">
        <v>102</v>
      </c>
      <c r="L331">
        <v>510</v>
      </c>
      <c r="M331">
        <v>2004</v>
      </c>
      <c r="N331">
        <v>1998</v>
      </c>
      <c r="P331" s="1">
        <v>41886</v>
      </c>
      <c r="S331" t="s">
        <v>43</v>
      </c>
      <c r="W331">
        <v>1</v>
      </c>
      <c r="Z331">
        <v>0</v>
      </c>
    </row>
    <row r="332" spans="1:26" x14ac:dyDescent="0.3">
      <c r="A332">
        <v>976</v>
      </c>
      <c r="B332" t="s">
        <v>996</v>
      </c>
      <c r="C332" t="s">
        <v>468</v>
      </c>
      <c r="D332" t="s">
        <v>469</v>
      </c>
      <c r="F332" t="str">
        <f>"0671027387"</f>
        <v>0671027387</v>
      </c>
      <c r="G332" t="str">
        <f>"9780671027384"</f>
        <v>9780671027384</v>
      </c>
      <c r="H332">
        <v>3</v>
      </c>
      <c r="I332">
        <v>3.73</v>
      </c>
      <c r="J332" t="s">
        <v>391</v>
      </c>
      <c r="K332" t="s">
        <v>257</v>
      </c>
      <c r="L332">
        <v>556</v>
      </c>
      <c r="M332">
        <v>2002</v>
      </c>
      <c r="N332">
        <v>2001</v>
      </c>
      <c r="P332" s="1">
        <v>41886</v>
      </c>
      <c r="S332" t="s">
        <v>43</v>
      </c>
      <c r="W332">
        <v>1</v>
      </c>
      <c r="Z332">
        <v>0</v>
      </c>
    </row>
    <row r="333" spans="1:26" x14ac:dyDescent="0.3">
      <c r="A333">
        <v>17212231</v>
      </c>
      <c r="B333" t="s">
        <v>997</v>
      </c>
      <c r="C333" t="s">
        <v>468</v>
      </c>
      <c r="D333" t="s">
        <v>469</v>
      </c>
      <c r="F333" t="str">
        <f>"0385537859"</f>
        <v>0385537859</v>
      </c>
      <c r="G333" t="str">
        <f>"9780385537858"</f>
        <v>9780385537858</v>
      </c>
      <c r="H333">
        <v>4</v>
      </c>
      <c r="I333">
        <v>3.87</v>
      </c>
      <c r="J333" t="s">
        <v>470</v>
      </c>
      <c r="K333" t="s">
        <v>42</v>
      </c>
      <c r="L333">
        <v>463</v>
      </c>
      <c r="M333">
        <v>2013</v>
      </c>
      <c r="N333">
        <v>2013</v>
      </c>
      <c r="P333" s="1">
        <v>41886</v>
      </c>
      <c r="S333" t="s">
        <v>43</v>
      </c>
      <c r="W333">
        <v>1</v>
      </c>
      <c r="Z333">
        <v>0</v>
      </c>
    </row>
    <row r="334" spans="1:26" x14ac:dyDescent="0.3">
      <c r="A334">
        <v>6411961</v>
      </c>
      <c r="B334" t="s">
        <v>998</v>
      </c>
      <c r="C334" t="s">
        <v>468</v>
      </c>
      <c r="D334" t="s">
        <v>469</v>
      </c>
      <c r="F334" t="str">
        <f>"0385504225"</f>
        <v>0385504225</v>
      </c>
      <c r="G334" t="str">
        <f>"9780385504225"</f>
        <v>9780385504225</v>
      </c>
      <c r="H334">
        <v>3</v>
      </c>
      <c r="I334">
        <v>3.73</v>
      </c>
      <c r="J334" t="s">
        <v>470</v>
      </c>
      <c r="K334" t="s">
        <v>42</v>
      </c>
      <c r="L334">
        <v>509</v>
      </c>
      <c r="M334">
        <v>2009</v>
      </c>
      <c r="N334">
        <v>2009</v>
      </c>
      <c r="P334" s="1">
        <v>41886</v>
      </c>
      <c r="S334" t="s">
        <v>43</v>
      </c>
      <c r="W334">
        <v>1</v>
      </c>
      <c r="Z334">
        <v>0</v>
      </c>
    </row>
    <row r="335" spans="1:26" x14ac:dyDescent="0.3">
      <c r="A335">
        <v>968</v>
      </c>
      <c r="B335" t="s">
        <v>999</v>
      </c>
      <c r="C335" t="s">
        <v>468</v>
      </c>
      <c r="D335" t="s">
        <v>469</v>
      </c>
      <c r="F335" t="str">
        <f>""</f>
        <v/>
      </c>
      <c r="G335" t="str">
        <f>""</f>
        <v/>
      </c>
      <c r="H335">
        <v>4</v>
      </c>
      <c r="I335">
        <v>3.88</v>
      </c>
      <c r="J335" t="s">
        <v>1000</v>
      </c>
      <c r="K335" t="s">
        <v>102</v>
      </c>
      <c r="L335">
        <v>489</v>
      </c>
      <c r="M335">
        <v>2006</v>
      </c>
      <c r="N335">
        <v>2003</v>
      </c>
      <c r="P335" s="1">
        <v>41244</v>
      </c>
      <c r="S335" t="s">
        <v>43</v>
      </c>
      <c r="W335">
        <v>1</v>
      </c>
      <c r="Z335">
        <v>0</v>
      </c>
    </row>
    <row r="336" spans="1:26" x14ac:dyDescent="0.3">
      <c r="A336">
        <v>960</v>
      </c>
      <c r="B336" t="s">
        <v>1001</v>
      </c>
      <c r="C336" t="s">
        <v>468</v>
      </c>
      <c r="D336" t="s">
        <v>469</v>
      </c>
      <c r="F336" t="str">
        <f>"1416524797"</f>
        <v>1416524797</v>
      </c>
      <c r="G336" t="str">
        <f>"9781416524793"</f>
        <v>9781416524793</v>
      </c>
      <c r="H336">
        <v>3</v>
      </c>
      <c r="I336">
        <v>3.92</v>
      </c>
      <c r="J336" t="s">
        <v>391</v>
      </c>
      <c r="K336" t="s">
        <v>257</v>
      </c>
      <c r="L336">
        <v>736</v>
      </c>
      <c r="M336">
        <v>2006</v>
      </c>
      <c r="N336">
        <v>2000</v>
      </c>
      <c r="P336" s="1">
        <v>41886</v>
      </c>
      <c r="S336" t="s">
        <v>43</v>
      </c>
      <c r="W336">
        <v>1</v>
      </c>
      <c r="Z336">
        <v>0</v>
      </c>
    </row>
    <row r="337" spans="1:26" x14ac:dyDescent="0.3">
      <c r="A337">
        <v>185748</v>
      </c>
      <c r="B337" t="s">
        <v>1002</v>
      </c>
      <c r="C337" t="s">
        <v>1003</v>
      </c>
      <c r="D337" t="s">
        <v>1004</v>
      </c>
      <c r="F337" t="str">
        <f>"1596921862"</f>
        <v>1596921862</v>
      </c>
      <c r="G337" t="str">
        <f>"9781596921863"</f>
        <v>9781596921863</v>
      </c>
      <c r="H337">
        <v>0</v>
      </c>
      <c r="I337">
        <v>3.79</v>
      </c>
      <c r="J337" t="s">
        <v>1005</v>
      </c>
      <c r="K337" t="s">
        <v>102</v>
      </c>
      <c r="L337">
        <v>316</v>
      </c>
      <c r="M337">
        <v>2006</v>
      </c>
      <c r="N337">
        <v>1998</v>
      </c>
      <c r="P337" s="1">
        <v>41886</v>
      </c>
      <c r="Q337" t="s">
        <v>36</v>
      </c>
      <c r="R337" t="s">
        <v>1006</v>
      </c>
      <c r="S337" t="s">
        <v>36</v>
      </c>
      <c r="W337">
        <v>0</v>
      </c>
      <c r="Z337">
        <v>0</v>
      </c>
    </row>
    <row r="338" spans="1:26" x14ac:dyDescent="0.3">
      <c r="A338">
        <v>11607</v>
      </c>
      <c r="B338" t="s">
        <v>1007</v>
      </c>
      <c r="C338" t="s">
        <v>1008</v>
      </c>
      <c r="D338" t="s">
        <v>1009</v>
      </c>
      <c r="E338" t="s">
        <v>884</v>
      </c>
      <c r="F338" t="str">
        <f>"0451197968"</f>
        <v>0451197968</v>
      </c>
      <c r="G338" t="str">
        <f>"9780451197962"</f>
        <v>9780451197962</v>
      </c>
      <c r="H338">
        <v>3</v>
      </c>
      <c r="I338">
        <v>3.89</v>
      </c>
      <c r="J338" t="s">
        <v>1010</v>
      </c>
      <c r="K338" t="s">
        <v>102</v>
      </c>
      <c r="L338">
        <v>317</v>
      </c>
      <c r="M338">
        <v>1999</v>
      </c>
      <c r="N338">
        <v>1982</v>
      </c>
      <c r="P338" s="1">
        <v>41886</v>
      </c>
      <c r="S338" t="s">
        <v>43</v>
      </c>
      <c r="W338">
        <v>1</v>
      </c>
      <c r="Z338">
        <v>0</v>
      </c>
    </row>
    <row r="339" spans="1:26" x14ac:dyDescent="0.3">
      <c r="A339">
        <v>119322</v>
      </c>
      <c r="B339" t="s">
        <v>1011</v>
      </c>
      <c r="C339" t="s">
        <v>462</v>
      </c>
      <c r="D339" t="s">
        <v>463</v>
      </c>
      <c r="F339" t="str">
        <f>"0679879242"</f>
        <v>0679879242</v>
      </c>
      <c r="G339" t="str">
        <f>"9780679879244"</f>
        <v>9780679879244</v>
      </c>
      <c r="H339">
        <v>3</v>
      </c>
      <c r="I339">
        <v>4</v>
      </c>
      <c r="J339" t="s">
        <v>466</v>
      </c>
      <c r="K339" t="s">
        <v>42</v>
      </c>
      <c r="L339">
        <v>399</v>
      </c>
      <c r="M339">
        <v>1996</v>
      </c>
      <c r="N339">
        <v>1995</v>
      </c>
      <c r="P339" s="1">
        <v>41886</v>
      </c>
      <c r="S339" t="s">
        <v>43</v>
      </c>
      <c r="W339">
        <v>1</v>
      </c>
      <c r="Z339">
        <v>0</v>
      </c>
    </row>
    <row r="340" spans="1:26" x14ac:dyDescent="0.3">
      <c r="A340">
        <v>17619479</v>
      </c>
      <c r="B340" t="s">
        <v>1012</v>
      </c>
      <c r="C340" t="s">
        <v>95</v>
      </c>
      <c r="D340" t="s">
        <v>96</v>
      </c>
      <c r="F340" t="str">
        <f>""</f>
        <v/>
      </c>
      <c r="G340" t="str">
        <f>""</f>
        <v/>
      </c>
      <c r="H340">
        <v>4</v>
      </c>
      <c r="I340">
        <v>4.03</v>
      </c>
      <c r="J340" t="s">
        <v>283</v>
      </c>
      <c r="K340" t="s">
        <v>57</v>
      </c>
      <c r="L340">
        <v>282</v>
      </c>
      <c r="M340">
        <v>2013</v>
      </c>
      <c r="N340">
        <v>2013</v>
      </c>
      <c r="P340" s="1">
        <v>41886</v>
      </c>
      <c r="S340" t="s">
        <v>43</v>
      </c>
      <c r="W340">
        <v>1</v>
      </c>
      <c r="Z340">
        <v>0</v>
      </c>
    </row>
    <row r="341" spans="1:26" x14ac:dyDescent="0.3">
      <c r="A341">
        <v>22283</v>
      </c>
      <c r="B341" t="s">
        <v>1013</v>
      </c>
      <c r="C341" t="s">
        <v>894</v>
      </c>
      <c r="D341" t="s">
        <v>895</v>
      </c>
      <c r="F341" t="str">
        <f>"009928264X"</f>
        <v>009928264X</v>
      </c>
      <c r="G341" t="str">
        <f>"9780099282648"</f>
        <v>9780099282648</v>
      </c>
      <c r="H341">
        <v>3</v>
      </c>
      <c r="I341">
        <v>3.92</v>
      </c>
      <c r="J341" t="s">
        <v>1014</v>
      </c>
      <c r="K341" t="s">
        <v>102</v>
      </c>
      <c r="L341">
        <v>289</v>
      </c>
      <c r="M341">
        <v>2000</v>
      </c>
      <c r="N341">
        <v>1999</v>
      </c>
      <c r="P341" s="1">
        <v>41282</v>
      </c>
      <c r="S341" t="s">
        <v>43</v>
      </c>
      <c r="W341">
        <v>1</v>
      </c>
      <c r="Z341">
        <v>0</v>
      </c>
    </row>
    <row r="342" spans="1:26" x14ac:dyDescent="0.3">
      <c r="A342">
        <v>14064</v>
      </c>
      <c r="B342" t="s">
        <v>1015</v>
      </c>
      <c r="C342" t="s">
        <v>1016</v>
      </c>
      <c r="D342" t="s">
        <v>1017</v>
      </c>
      <c r="F342" t="str">
        <f>"1857988094"</f>
        <v>1857988094</v>
      </c>
      <c r="G342" t="str">
        <f>"9781857988093"</f>
        <v>9781857988093</v>
      </c>
      <c r="H342">
        <v>4</v>
      </c>
      <c r="I342">
        <v>4.0599999999999996</v>
      </c>
      <c r="J342" t="s">
        <v>1018</v>
      </c>
      <c r="K342" t="s">
        <v>102</v>
      </c>
      <c r="L342">
        <v>160</v>
      </c>
      <c r="M342">
        <v>1999</v>
      </c>
      <c r="N342">
        <v>1954</v>
      </c>
      <c r="P342" s="1">
        <v>41886</v>
      </c>
      <c r="S342" t="s">
        <v>43</v>
      </c>
      <c r="W342">
        <v>1</v>
      </c>
      <c r="Z342">
        <v>0</v>
      </c>
    </row>
    <row r="343" spans="1:26" x14ac:dyDescent="0.3">
      <c r="A343">
        <v>22550</v>
      </c>
      <c r="B343" t="s">
        <v>1019</v>
      </c>
      <c r="C343" t="s">
        <v>884</v>
      </c>
      <c r="D343" t="s">
        <v>885</v>
      </c>
      <c r="F343" t="str">
        <f>"0670032549"</f>
        <v>0670032549</v>
      </c>
      <c r="G343" t="str">
        <f>"9780670032549"</f>
        <v>9780670032549</v>
      </c>
      <c r="H343">
        <v>3</v>
      </c>
      <c r="I343">
        <v>3.94</v>
      </c>
      <c r="J343" t="s">
        <v>1020</v>
      </c>
      <c r="K343" t="s">
        <v>42</v>
      </c>
      <c r="L343">
        <v>231</v>
      </c>
      <c r="M343">
        <v>2003</v>
      </c>
      <c r="N343">
        <v>1982</v>
      </c>
      <c r="P343" s="1">
        <v>41886</v>
      </c>
      <c r="S343" t="s">
        <v>43</v>
      </c>
      <c r="W343">
        <v>1</v>
      </c>
      <c r="Z343">
        <v>0</v>
      </c>
    </row>
    <row r="344" spans="1:26" x14ac:dyDescent="0.3">
      <c r="A344">
        <v>47212</v>
      </c>
      <c r="B344" t="s">
        <v>1021</v>
      </c>
      <c r="C344" t="s">
        <v>173</v>
      </c>
      <c r="D344" t="s">
        <v>174</v>
      </c>
      <c r="F344" t="str">
        <f>"0451457811"</f>
        <v>0451457811</v>
      </c>
      <c r="G344" t="str">
        <f>"9780451457813"</f>
        <v>9780451457813</v>
      </c>
      <c r="H344">
        <v>4</v>
      </c>
      <c r="I344">
        <v>3.99</v>
      </c>
      <c r="J344" t="s">
        <v>1022</v>
      </c>
      <c r="K344" t="s">
        <v>257</v>
      </c>
      <c r="L344">
        <v>355</v>
      </c>
      <c r="M344">
        <v>2000</v>
      </c>
      <c r="N344">
        <v>2000</v>
      </c>
      <c r="P344" s="1">
        <v>41886</v>
      </c>
      <c r="S344" t="s">
        <v>43</v>
      </c>
      <c r="W344">
        <v>1</v>
      </c>
      <c r="Z344">
        <v>0</v>
      </c>
    </row>
    <row r="345" spans="1:26" x14ac:dyDescent="0.3">
      <c r="A345">
        <v>91477</v>
      </c>
      <c r="B345" t="s">
        <v>1023</v>
      </c>
      <c r="C345" t="s">
        <v>173</v>
      </c>
      <c r="D345" t="s">
        <v>174</v>
      </c>
      <c r="F345" t="str">
        <f>"0451458125"</f>
        <v>0451458125</v>
      </c>
      <c r="G345" t="str">
        <f>"9780451458124"</f>
        <v>9780451458124</v>
      </c>
      <c r="H345">
        <v>4</v>
      </c>
      <c r="I345">
        <v>4</v>
      </c>
      <c r="J345" t="s">
        <v>218</v>
      </c>
      <c r="K345" t="s">
        <v>257</v>
      </c>
      <c r="L345">
        <v>401</v>
      </c>
      <c r="M345">
        <v>2001</v>
      </c>
      <c r="N345">
        <v>2001</v>
      </c>
      <c r="P345" s="1">
        <v>41886</v>
      </c>
      <c r="S345" t="s">
        <v>43</v>
      </c>
      <c r="W345">
        <v>1</v>
      </c>
      <c r="Z345">
        <v>0</v>
      </c>
    </row>
    <row r="346" spans="1:26" x14ac:dyDescent="0.3">
      <c r="A346">
        <v>9014</v>
      </c>
      <c r="B346" t="s">
        <v>1024</v>
      </c>
      <c r="C346" t="s">
        <v>1008</v>
      </c>
      <c r="D346" t="s">
        <v>1009</v>
      </c>
      <c r="E346" t="s">
        <v>884</v>
      </c>
      <c r="F346" t="str">
        <f>"0451196716"</f>
        <v>0451196716</v>
      </c>
      <c r="G346" t="str">
        <f>"9780451196712"</f>
        <v>9780451196712</v>
      </c>
      <c r="H346">
        <v>0</v>
      </c>
      <c r="I346">
        <v>4.09</v>
      </c>
      <c r="J346" t="s">
        <v>1010</v>
      </c>
      <c r="K346" t="s">
        <v>257</v>
      </c>
      <c r="L346">
        <v>370</v>
      </c>
      <c r="M346">
        <v>1999</v>
      </c>
      <c r="N346">
        <v>1979</v>
      </c>
      <c r="P346" s="1">
        <v>41886</v>
      </c>
      <c r="Q346" t="s">
        <v>36</v>
      </c>
      <c r="R346" t="s">
        <v>1025</v>
      </c>
      <c r="S346" t="s">
        <v>36</v>
      </c>
      <c r="W346">
        <v>0</v>
      </c>
      <c r="Z346">
        <v>0</v>
      </c>
    </row>
    <row r="347" spans="1:26" x14ac:dyDescent="0.3">
      <c r="A347">
        <v>67035</v>
      </c>
      <c r="B347" t="s">
        <v>1026</v>
      </c>
      <c r="C347" t="s">
        <v>1027</v>
      </c>
      <c r="D347" t="s">
        <v>1028</v>
      </c>
      <c r="E347" t="s">
        <v>1029</v>
      </c>
      <c r="F347" t="str">
        <f>"0765354942"</f>
        <v>0765354942</v>
      </c>
      <c r="G347" t="str">
        <f>"9780765354945"</f>
        <v>9780765354945</v>
      </c>
      <c r="H347">
        <v>0</v>
      </c>
      <c r="I347">
        <v>4.04</v>
      </c>
      <c r="J347" t="s">
        <v>56</v>
      </c>
      <c r="K347" t="s">
        <v>102</v>
      </c>
      <c r="L347">
        <v>480</v>
      </c>
      <c r="M347">
        <v>2005</v>
      </c>
      <c r="N347">
        <v>1995</v>
      </c>
      <c r="P347" s="1">
        <v>41886</v>
      </c>
      <c r="Q347" t="s">
        <v>36</v>
      </c>
      <c r="R347" t="s">
        <v>1030</v>
      </c>
      <c r="S347" t="s">
        <v>36</v>
      </c>
      <c r="W347">
        <v>0</v>
      </c>
      <c r="Z347">
        <v>0</v>
      </c>
    </row>
    <row r="348" spans="1:26" x14ac:dyDescent="0.3">
      <c r="A348">
        <v>12109463</v>
      </c>
      <c r="B348" t="s">
        <v>1031</v>
      </c>
      <c r="C348" t="s">
        <v>1032</v>
      </c>
      <c r="D348" t="s">
        <v>1033</v>
      </c>
      <c r="F348" t="str">
        <f>""</f>
        <v/>
      </c>
      <c r="G348" t="str">
        <f>""</f>
        <v/>
      </c>
      <c r="H348">
        <v>0</v>
      </c>
      <c r="I348">
        <v>3.86</v>
      </c>
      <c r="J348" t="s">
        <v>1034</v>
      </c>
      <c r="K348" t="s">
        <v>57</v>
      </c>
      <c r="L348">
        <v>340</v>
      </c>
      <c r="M348">
        <v>2011</v>
      </c>
      <c r="N348">
        <v>2005</v>
      </c>
      <c r="P348" s="1">
        <v>41886</v>
      </c>
      <c r="Q348" t="s">
        <v>36</v>
      </c>
      <c r="R348" t="s">
        <v>1035</v>
      </c>
      <c r="S348" t="s">
        <v>36</v>
      </c>
      <c r="W348">
        <v>0</v>
      </c>
      <c r="Z348">
        <v>0</v>
      </c>
    </row>
    <row r="349" spans="1:26" x14ac:dyDescent="0.3">
      <c r="A349">
        <v>8100267</v>
      </c>
      <c r="B349" t="s">
        <v>1036</v>
      </c>
      <c r="C349" t="s">
        <v>1037</v>
      </c>
      <c r="D349" t="s">
        <v>1038</v>
      </c>
      <c r="F349" t="str">
        <f>"141699176X"</f>
        <v>141699176X</v>
      </c>
      <c r="G349" t="str">
        <f>"9781416991762"</f>
        <v>9781416991762</v>
      </c>
      <c r="H349">
        <v>0</v>
      </c>
      <c r="I349">
        <v>4</v>
      </c>
      <c r="J349" t="s">
        <v>1039</v>
      </c>
      <c r="K349" t="s">
        <v>42</v>
      </c>
      <c r="L349">
        <v>657</v>
      </c>
      <c r="M349">
        <v>2010</v>
      </c>
      <c r="N349">
        <v>2010</v>
      </c>
      <c r="P349" s="1">
        <v>41886</v>
      </c>
      <c r="Q349" t="s">
        <v>36</v>
      </c>
      <c r="R349" t="s">
        <v>1040</v>
      </c>
      <c r="S349" t="s">
        <v>36</v>
      </c>
      <c r="W349">
        <v>0</v>
      </c>
      <c r="Z349">
        <v>0</v>
      </c>
    </row>
    <row r="350" spans="1:26" x14ac:dyDescent="0.3">
      <c r="A350">
        <v>77711</v>
      </c>
      <c r="B350" t="s">
        <v>1041</v>
      </c>
      <c r="C350" t="s">
        <v>1042</v>
      </c>
      <c r="D350" t="s">
        <v>1043</v>
      </c>
      <c r="F350" t="str">
        <f>"0812515285"</f>
        <v>0812515285</v>
      </c>
      <c r="G350" t="str">
        <f>"9780812515282"</f>
        <v>9780812515282</v>
      </c>
      <c r="H350">
        <v>0</v>
      </c>
      <c r="I350">
        <v>4.13</v>
      </c>
      <c r="J350" t="s">
        <v>1044</v>
      </c>
      <c r="K350" t="s">
        <v>257</v>
      </c>
      <c r="L350">
        <v>613</v>
      </c>
      <c r="M350">
        <v>1993</v>
      </c>
      <c r="N350">
        <v>1992</v>
      </c>
      <c r="P350" s="1">
        <v>41886</v>
      </c>
      <c r="Q350" t="s">
        <v>36</v>
      </c>
      <c r="R350" t="s">
        <v>1045</v>
      </c>
      <c r="S350" t="s">
        <v>36</v>
      </c>
      <c r="W350">
        <v>0</v>
      </c>
      <c r="Z350">
        <v>0</v>
      </c>
    </row>
    <row r="351" spans="1:26" x14ac:dyDescent="0.3">
      <c r="A351">
        <v>18966322</v>
      </c>
      <c r="B351" t="s">
        <v>1046</v>
      </c>
      <c r="C351" t="s">
        <v>45</v>
      </c>
      <c r="D351" t="s">
        <v>46</v>
      </c>
      <c r="F351" t="str">
        <f>"0449818438"</f>
        <v>0449818438</v>
      </c>
      <c r="G351" t="str">
        <f>"9780449818435"</f>
        <v>9780449818435</v>
      </c>
      <c r="H351">
        <v>4</v>
      </c>
      <c r="I351">
        <v>3.86</v>
      </c>
      <c r="J351" t="s">
        <v>780</v>
      </c>
      <c r="K351" t="s">
        <v>35</v>
      </c>
      <c r="L351">
        <v>55</v>
      </c>
      <c r="M351">
        <v>2013</v>
      </c>
      <c r="N351">
        <v>2013</v>
      </c>
      <c r="P351" s="1">
        <v>41886</v>
      </c>
      <c r="S351" t="s">
        <v>43</v>
      </c>
      <c r="W351">
        <v>1</v>
      </c>
      <c r="Z351">
        <v>0</v>
      </c>
    </row>
    <row r="352" spans="1:26" x14ac:dyDescent="0.3">
      <c r="A352">
        <v>7779059</v>
      </c>
      <c r="B352" t="s">
        <v>1047</v>
      </c>
      <c r="C352" t="s">
        <v>173</v>
      </c>
      <c r="D352" t="s">
        <v>174</v>
      </c>
      <c r="F352" t="str">
        <f>"045146365X"</f>
        <v>045146365X</v>
      </c>
      <c r="G352" t="str">
        <f>"9780451463654"</f>
        <v>9780451463654</v>
      </c>
      <c r="H352">
        <v>4</v>
      </c>
      <c r="I352">
        <v>4.26</v>
      </c>
      <c r="J352" t="s">
        <v>218</v>
      </c>
      <c r="K352" t="s">
        <v>42</v>
      </c>
      <c r="L352">
        <v>418</v>
      </c>
      <c r="M352">
        <v>2010</v>
      </c>
      <c r="N352">
        <v>2010</v>
      </c>
      <c r="P352" s="1">
        <v>41886</v>
      </c>
      <c r="S352" t="s">
        <v>43</v>
      </c>
      <c r="W352">
        <v>1</v>
      </c>
      <c r="Z352">
        <v>0</v>
      </c>
    </row>
    <row r="353" spans="1:26" x14ac:dyDescent="0.3">
      <c r="A353">
        <v>4699575</v>
      </c>
      <c r="B353" t="s">
        <v>1048</v>
      </c>
      <c r="C353" t="s">
        <v>590</v>
      </c>
      <c r="D353" t="s">
        <v>591</v>
      </c>
      <c r="F353" t="str">
        <f>"0525951113"</f>
        <v>0525951113</v>
      </c>
      <c r="G353" t="str">
        <f>"9780525951117"</f>
        <v>9780525951117</v>
      </c>
      <c r="H353">
        <v>4</v>
      </c>
      <c r="I353">
        <v>4.16</v>
      </c>
      <c r="J353" t="s">
        <v>592</v>
      </c>
      <c r="K353" t="s">
        <v>42</v>
      </c>
      <c r="L353">
        <v>432</v>
      </c>
      <c r="M353">
        <v>2009</v>
      </c>
      <c r="N353">
        <v>2006</v>
      </c>
      <c r="P353" s="1">
        <v>41886</v>
      </c>
      <c r="S353" t="s">
        <v>43</v>
      </c>
      <c r="W353">
        <v>1</v>
      </c>
      <c r="Z353">
        <v>0</v>
      </c>
    </row>
    <row r="354" spans="1:26" x14ac:dyDescent="0.3">
      <c r="A354">
        <v>7132363</v>
      </c>
      <c r="B354" t="s">
        <v>1049</v>
      </c>
      <c r="C354" t="s">
        <v>590</v>
      </c>
      <c r="D354" t="s">
        <v>591</v>
      </c>
      <c r="F354" t="str">
        <f>"0525951571"</f>
        <v>0525951571</v>
      </c>
      <c r="G354" t="str">
        <f>"9780525951575"</f>
        <v>9780525951575</v>
      </c>
      <c r="H354">
        <v>4</v>
      </c>
      <c r="I354">
        <v>4.2699999999999996</v>
      </c>
      <c r="J354" t="s">
        <v>592</v>
      </c>
      <c r="K354" t="s">
        <v>42</v>
      </c>
      <c r="L354">
        <v>406</v>
      </c>
      <c r="M354">
        <v>2010</v>
      </c>
      <c r="N354">
        <v>2010</v>
      </c>
      <c r="P354" s="1">
        <v>41886</v>
      </c>
      <c r="S354" t="s">
        <v>43</v>
      </c>
      <c r="W354">
        <v>1</v>
      </c>
      <c r="Z354">
        <v>0</v>
      </c>
    </row>
    <row r="355" spans="1:26" x14ac:dyDescent="0.3">
      <c r="A355">
        <v>34</v>
      </c>
      <c r="B355" t="s">
        <v>1050</v>
      </c>
      <c r="C355" t="s">
        <v>1051</v>
      </c>
      <c r="D355" t="s">
        <v>1052</v>
      </c>
      <c r="E355" t="s">
        <v>1053</v>
      </c>
      <c r="F355" t="str">
        <f>"0618346252"</f>
        <v>0618346252</v>
      </c>
      <c r="G355" t="str">
        <f>"9780618346257"</f>
        <v>9780618346257</v>
      </c>
      <c r="H355">
        <v>3</v>
      </c>
      <c r="I355">
        <v>4.37</v>
      </c>
      <c r="J355" t="s">
        <v>1054</v>
      </c>
      <c r="K355" t="s">
        <v>102</v>
      </c>
      <c r="L355">
        <v>398</v>
      </c>
      <c r="M355">
        <v>2003</v>
      </c>
      <c r="N355">
        <v>1954</v>
      </c>
      <c r="P355" s="1">
        <v>41886</v>
      </c>
      <c r="S355" t="s">
        <v>43</v>
      </c>
      <c r="W355">
        <v>1</v>
      </c>
      <c r="Z355">
        <v>0</v>
      </c>
    </row>
    <row r="356" spans="1:26" x14ac:dyDescent="0.3">
      <c r="A356">
        <v>28850</v>
      </c>
      <c r="B356" t="s">
        <v>1055</v>
      </c>
      <c r="C356" t="s">
        <v>1051</v>
      </c>
      <c r="D356" t="s">
        <v>1052</v>
      </c>
      <c r="E356" t="s">
        <v>1056</v>
      </c>
      <c r="F356" t="str">
        <f>"0788789848"</f>
        <v>0788789848</v>
      </c>
      <c r="G356" t="str">
        <f>"9780788789847"</f>
        <v>9780788789847</v>
      </c>
      <c r="H356">
        <v>3</v>
      </c>
      <c r="I356">
        <v>4.54</v>
      </c>
      <c r="J356" t="s">
        <v>1057</v>
      </c>
      <c r="K356" t="s">
        <v>504</v>
      </c>
      <c r="M356">
        <v>2001</v>
      </c>
      <c r="N356">
        <v>1955</v>
      </c>
      <c r="P356" s="1">
        <v>41886</v>
      </c>
      <c r="S356" t="s">
        <v>43</v>
      </c>
      <c r="W356">
        <v>1</v>
      </c>
      <c r="Z356">
        <v>0</v>
      </c>
    </row>
    <row r="357" spans="1:26" x14ac:dyDescent="0.3">
      <c r="A357">
        <v>93124</v>
      </c>
      <c r="B357" t="s">
        <v>1058</v>
      </c>
      <c r="C357" t="s">
        <v>1059</v>
      </c>
      <c r="D357" t="s">
        <v>1060</v>
      </c>
      <c r="F357" t="str">
        <f>"0747581088"</f>
        <v>0747581088</v>
      </c>
      <c r="G357" t="str">
        <f>"9780747581086"</f>
        <v>9780747581086</v>
      </c>
      <c r="H357">
        <v>5</v>
      </c>
      <c r="I357">
        <v>4.57</v>
      </c>
      <c r="J357" t="s">
        <v>1061</v>
      </c>
      <c r="K357" t="s">
        <v>42</v>
      </c>
      <c r="L357">
        <v>607</v>
      </c>
      <c r="M357">
        <v>2005</v>
      </c>
      <c r="N357">
        <v>2005</v>
      </c>
      <c r="P357" s="1">
        <v>41886</v>
      </c>
      <c r="S357" t="s">
        <v>43</v>
      </c>
      <c r="W357">
        <v>1</v>
      </c>
      <c r="Z357">
        <v>0</v>
      </c>
    </row>
    <row r="358" spans="1:26" x14ac:dyDescent="0.3">
      <c r="A358">
        <v>12216302</v>
      </c>
      <c r="B358" t="s">
        <v>1062</v>
      </c>
      <c r="C358" t="s">
        <v>173</v>
      </c>
      <c r="D358" t="s">
        <v>174</v>
      </c>
      <c r="F358" t="str">
        <f>"0451464400"</f>
        <v>0451464400</v>
      </c>
      <c r="G358" t="str">
        <f>"9780451464408"</f>
        <v>9780451464408</v>
      </c>
      <c r="H358">
        <v>5</v>
      </c>
      <c r="I358">
        <v>4.47</v>
      </c>
      <c r="J358" t="s">
        <v>1063</v>
      </c>
      <c r="K358" t="s">
        <v>42</v>
      </c>
      <c r="L358">
        <v>515</v>
      </c>
      <c r="M358">
        <v>2012</v>
      </c>
      <c r="N358">
        <v>2012</v>
      </c>
      <c r="P358" s="1">
        <v>41886</v>
      </c>
      <c r="S358" t="s">
        <v>43</v>
      </c>
      <c r="W358">
        <v>1</v>
      </c>
      <c r="Z358">
        <v>0</v>
      </c>
    </row>
    <row r="359" spans="1:26" x14ac:dyDescent="0.3">
      <c r="A359">
        <v>136251</v>
      </c>
      <c r="B359" t="s">
        <v>1064</v>
      </c>
      <c r="C359" t="s">
        <v>1059</v>
      </c>
      <c r="D359" t="s">
        <v>1060</v>
      </c>
      <c r="F359" t="str">
        <f>""</f>
        <v/>
      </c>
      <c r="G359" t="str">
        <f>""</f>
        <v/>
      </c>
      <c r="H359">
        <v>5</v>
      </c>
      <c r="I359">
        <v>4.62</v>
      </c>
      <c r="J359" t="s">
        <v>1065</v>
      </c>
      <c r="K359" t="s">
        <v>42</v>
      </c>
      <c r="L359">
        <v>759</v>
      </c>
      <c r="M359">
        <v>2007</v>
      </c>
      <c r="N359">
        <v>2007</v>
      </c>
      <c r="P359" s="1">
        <v>41886</v>
      </c>
      <c r="S359" t="s">
        <v>43</v>
      </c>
      <c r="W359">
        <v>1</v>
      </c>
      <c r="Z359">
        <v>0</v>
      </c>
    </row>
    <row r="360" spans="1:26" x14ac:dyDescent="0.3">
      <c r="A360">
        <v>823</v>
      </c>
      <c r="B360" t="s">
        <v>1066</v>
      </c>
      <c r="C360" t="s">
        <v>1067</v>
      </c>
      <c r="D360" t="s">
        <v>1068</v>
      </c>
      <c r="F360" t="str">
        <f>"0060593083"</f>
        <v>0060593083</v>
      </c>
      <c r="G360" t="str">
        <f>"9780060593087"</f>
        <v>9780060593087</v>
      </c>
      <c r="H360">
        <v>0</v>
      </c>
      <c r="I360">
        <v>3.9</v>
      </c>
      <c r="J360" t="s">
        <v>1069</v>
      </c>
      <c r="K360" t="s">
        <v>102</v>
      </c>
      <c r="L360">
        <v>927</v>
      </c>
      <c r="M360">
        <v>2004</v>
      </c>
      <c r="N360">
        <v>2003</v>
      </c>
      <c r="P360" s="1">
        <v>41886</v>
      </c>
      <c r="Q360" t="s">
        <v>36</v>
      </c>
      <c r="R360" t="s">
        <v>1070</v>
      </c>
      <c r="S360" t="s">
        <v>36</v>
      </c>
      <c r="W360">
        <v>0</v>
      </c>
      <c r="Z360">
        <v>0</v>
      </c>
    </row>
    <row r="361" spans="1:26" x14ac:dyDescent="0.3">
      <c r="A361">
        <v>60212</v>
      </c>
      <c r="B361" t="s">
        <v>1071</v>
      </c>
      <c r="C361" t="s">
        <v>608</v>
      </c>
      <c r="D361" t="s">
        <v>609</v>
      </c>
      <c r="F361" t="str">
        <f>"0765347016"</f>
        <v>0765347016</v>
      </c>
      <c r="G361" t="str">
        <f>"9780765347015"</f>
        <v>9780765347015</v>
      </c>
      <c r="H361">
        <v>0</v>
      </c>
      <c r="I361">
        <v>3.75</v>
      </c>
      <c r="J361" t="s">
        <v>56</v>
      </c>
      <c r="K361" t="s">
        <v>102</v>
      </c>
      <c r="L361">
        <v>544</v>
      </c>
      <c r="M361">
        <v>2010</v>
      </c>
      <c r="N361">
        <v>2004</v>
      </c>
      <c r="P361" s="1">
        <v>41886</v>
      </c>
      <c r="Q361" t="s">
        <v>36</v>
      </c>
      <c r="R361" t="s">
        <v>1072</v>
      </c>
      <c r="S361" t="s">
        <v>36</v>
      </c>
      <c r="W361">
        <v>0</v>
      </c>
      <c r="Z361">
        <v>0</v>
      </c>
    </row>
    <row r="362" spans="1:26" x14ac:dyDescent="0.3">
      <c r="A362">
        <v>60211</v>
      </c>
      <c r="B362" t="s">
        <v>1073</v>
      </c>
      <c r="C362" t="s">
        <v>608</v>
      </c>
      <c r="D362" t="s">
        <v>609</v>
      </c>
      <c r="F362" t="str">
        <f>"0671540661"</f>
        <v>0671540661</v>
      </c>
      <c r="G362" t="str">
        <f>"9780671540661"</f>
        <v>9780671540661</v>
      </c>
      <c r="H362">
        <v>0</v>
      </c>
      <c r="I362">
        <v>3.81</v>
      </c>
      <c r="J362" t="s">
        <v>391</v>
      </c>
      <c r="K362" t="s">
        <v>102</v>
      </c>
      <c r="L362">
        <v>262</v>
      </c>
      <c r="M362">
        <v>1984</v>
      </c>
      <c r="N362">
        <v>1980</v>
      </c>
      <c r="P362" s="1">
        <v>41886</v>
      </c>
      <c r="Q362" t="s">
        <v>36</v>
      </c>
      <c r="R362" t="s">
        <v>1074</v>
      </c>
      <c r="S362" t="s">
        <v>36</v>
      </c>
      <c r="W362">
        <v>0</v>
      </c>
      <c r="Z362">
        <v>0</v>
      </c>
    </row>
    <row r="363" spans="1:26" x14ac:dyDescent="0.3">
      <c r="A363">
        <v>68429</v>
      </c>
      <c r="B363" t="s">
        <v>1075</v>
      </c>
      <c r="C363" t="s">
        <v>45</v>
      </c>
      <c r="D363" t="s">
        <v>46</v>
      </c>
      <c r="F363" t="str">
        <f>"0765316889"</f>
        <v>0765316889</v>
      </c>
      <c r="G363" t="str">
        <f>"9780765316882"</f>
        <v>9780765316882</v>
      </c>
      <c r="H363">
        <v>5</v>
      </c>
      <c r="I363">
        <v>4.37</v>
      </c>
      <c r="J363" t="s">
        <v>56</v>
      </c>
      <c r="K363" t="s">
        <v>42</v>
      </c>
      <c r="L363">
        <v>590</v>
      </c>
      <c r="M363">
        <v>2007</v>
      </c>
      <c r="N363">
        <v>2007</v>
      </c>
      <c r="P363" s="1">
        <v>41886</v>
      </c>
      <c r="S363" t="s">
        <v>43</v>
      </c>
      <c r="W363">
        <v>1</v>
      </c>
      <c r="Z363">
        <v>0</v>
      </c>
    </row>
    <row r="364" spans="1:26" x14ac:dyDescent="0.3">
      <c r="A364">
        <v>68428</v>
      </c>
      <c r="B364" t="s">
        <v>1076</v>
      </c>
      <c r="C364" t="s">
        <v>45</v>
      </c>
      <c r="D364" t="s">
        <v>46</v>
      </c>
      <c r="F364" t="str">
        <f>""</f>
        <v/>
      </c>
      <c r="G364" t="str">
        <f>"9780765311788"</f>
        <v>9780765311788</v>
      </c>
      <c r="H364">
        <v>5</v>
      </c>
      <c r="I364">
        <v>4.46</v>
      </c>
      <c r="J364" t="s">
        <v>56</v>
      </c>
      <c r="K364" t="s">
        <v>42</v>
      </c>
      <c r="L364">
        <v>541</v>
      </c>
      <c r="M364">
        <v>2006</v>
      </c>
      <c r="N364">
        <v>2006</v>
      </c>
      <c r="P364" s="1">
        <v>41886</v>
      </c>
      <c r="S364" t="s">
        <v>43</v>
      </c>
      <c r="W364">
        <v>1</v>
      </c>
      <c r="Z364">
        <v>0</v>
      </c>
    </row>
    <row r="365" spans="1:26" x14ac:dyDescent="0.3">
      <c r="A365">
        <v>2767793</v>
      </c>
      <c r="B365" t="s">
        <v>1077</v>
      </c>
      <c r="C365" t="s">
        <v>45</v>
      </c>
      <c r="D365" t="s">
        <v>46</v>
      </c>
      <c r="F365" t="str">
        <f>"0765316897"</f>
        <v>0765316897</v>
      </c>
      <c r="G365" t="str">
        <f>"9780765316899"</f>
        <v>9780765316899</v>
      </c>
      <c r="H365">
        <v>5</v>
      </c>
      <c r="I365">
        <v>4.5</v>
      </c>
      <c r="J365" t="s">
        <v>56</v>
      </c>
      <c r="K365" t="s">
        <v>42</v>
      </c>
      <c r="L365">
        <v>572</v>
      </c>
      <c r="M365">
        <v>2008</v>
      </c>
      <c r="N365">
        <v>2008</v>
      </c>
      <c r="P365" s="1">
        <v>41886</v>
      </c>
      <c r="S365" t="s">
        <v>43</v>
      </c>
      <c r="W365">
        <v>1</v>
      </c>
      <c r="Z365">
        <v>0</v>
      </c>
    </row>
    <row r="366" spans="1:26" x14ac:dyDescent="0.3">
      <c r="A366">
        <v>10803121</v>
      </c>
      <c r="B366" t="s">
        <v>1078</v>
      </c>
      <c r="C366" t="s">
        <v>45</v>
      </c>
      <c r="D366" t="s">
        <v>46</v>
      </c>
      <c r="F366" t="str">
        <f>"0765330423"</f>
        <v>0765330423</v>
      </c>
      <c r="G366" t="str">
        <f>"9780765330420"</f>
        <v>9780765330420</v>
      </c>
      <c r="H366">
        <v>5</v>
      </c>
      <c r="I366">
        <v>4.2</v>
      </c>
      <c r="J366" t="s">
        <v>56</v>
      </c>
      <c r="K366" t="s">
        <v>42</v>
      </c>
      <c r="L366">
        <v>332</v>
      </c>
      <c r="M366">
        <v>2011</v>
      </c>
      <c r="N366">
        <v>2011</v>
      </c>
      <c r="P366" s="1">
        <v>41886</v>
      </c>
      <c r="S366" t="s">
        <v>43</v>
      </c>
      <c r="W366">
        <v>1</v>
      </c>
      <c r="Z366">
        <v>0</v>
      </c>
    </row>
    <row r="367" spans="1:26" x14ac:dyDescent="0.3">
      <c r="A367">
        <v>78129</v>
      </c>
      <c r="B367" t="s">
        <v>1079</v>
      </c>
      <c r="C367" t="s">
        <v>1080</v>
      </c>
      <c r="D367" t="s">
        <v>1081</v>
      </c>
      <c r="F367" t="str">
        <f>"0515141429"</f>
        <v>0515141429</v>
      </c>
      <c r="G367" t="str">
        <f>"9780515141429"</f>
        <v>9780515141429</v>
      </c>
      <c r="H367">
        <v>4</v>
      </c>
      <c r="I367">
        <v>4.0599999999999996</v>
      </c>
      <c r="J367" t="s">
        <v>1082</v>
      </c>
      <c r="K367" t="s">
        <v>257</v>
      </c>
      <c r="L367">
        <v>474</v>
      </c>
      <c r="M367">
        <v>2006</v>
      </c>
      <c r="N367">
        <v>1997</v>
      </c>
      <c r="P367" s="1">
        <v>41886</v>
      </c>
      <c r="S367" t="s">
        <v>43</v>
      </c>
      <c r="W367">
        <v>1</v>
      </c>
      <c r="Z367">
        <v>0</v>
      </c>
    </row>
    <row r="368" spans="1:26" x14ac:dyDescent="0.3">
      <c r="A368">
        <v>220969</v>
      </c>
      <c r="B368" t="s">
        <v>1083</v>
      </c>
      <c r="C368" t="s">
        <v>1080</v>
      </c>
      <c r="D368" t="s">
        <v>1081</v>
      </c>
      <c r="F368" t="str">
        <f>"0515142247"</f>
        <v>0515142247</v>
      </c>
      <c r="G368" t="str">
        <f>"9780515142242"</f>
        <v>9780515142242</v>
      </c>
      <c r="H368">
        <v>4</v>
      </c>
      <c r="I368">
        <v>4.05</v>
      </c>
      <c r="J368" t="s">
        <v>1082</v>
      </c>
      <c r="K368" t="s">
        <v>257</v>
      </c>
      <c r="L368">
        <v>552</v>
      </c>
      <c r="M368">
        <v>2008</v>
      </c>
      <c r="N368">
        <v>1998</v>
      </c>
      <c r="P368" s="1">
        <v>41886</v>
      </c>
      <c r="S368" t="s">
        <v>43</v>
      </c>
      <c r="W368">
        <v>1</v>
      </c>
      <c r="Z368">
        <v>0</v>
      </c>
    </row>
    <row r="369" spans="1:26" x14ac:dyDescent="0.3">
      <c r="A369">
        <v>11950840</v>
      </c>
      <c r="B369" t="s">
        <v>1084</v>
      </c>
      <c r="C369" t="s">
        <v>200</v>
      </c>
      <c r="D369" t="s">
        <v>201</v>
      </c>
      <c r="F369" t="str">
        <f>"0730497992"</f>
        <v>0730497992</v>
      </c>
      <c r="G369" t="str">
        <f>"9780730497998"</f>
        <v>9780730497998</v>
      </c>
      <c r="H369">
        <v>3</v>
      </c>
      <c r="I369">
        <v>4.0199999999999996</v>
      </c>
      <c r="J369" t="s">
        <v>200</v>
      </c>
      <c r="K369" t="s">
        <v>35</v>
      </c>
      <c r="L369">
        <v>17</v>
      </c>
      <c r="M369">
        <v>2011</v>
      </c>
      <c r="N369">
        <v>2011</v>
      </c>
      <c r="P369" s="1">
        <v>41886</v>
      </c>
      <c r="S369" t="s">
        <v>43</v>
      </c>
      <c r="W369">
        <v>1</v>
      </c>
      <c r="Z369">
        <v>0</v>
      </c>
    </row>
    <row r="370" spans="1:26" x14ac:dyDescent="0.3">
      <c r="A370">
        <v>13145815</v>
      </c>
      <c r="B370" t="s">
        <v>1085</v>
      </c>
      <c r="C370" t="s">
        <v>200</v>
      </c>
      <c r="D370" t="s">
        <v>201</v>
      </c>
      <c r="F370" t="str">
        <f>""</f>
        <v/>
      </c>
      <c r="G370" t="str">
        <f>""</f>
        <v/>
      </c>
      <c r="H370">
        <v>3</v>
      </c>
      <c r="I370">
        <v>3.98</v>
      </c>
      <c r="K370" t="s">
        <v>35</v>
      </c>
      <c r="L370">
        <v>10</v>
      </c>
      <c r="M370">
        <v>2011</v>
      </c>
      <c r="N370">
        <v>2011</v>
      </c>
      <c r="P370" s="1">
        <v>41886</v>
      </c>
      <c r="S370" t="s">
        <v>43</v>
      </c>
      <c r="W370">
        <v>1</v>
      </c>
      <c r="Z370">
        <v>0</v>
      </c>
    </row>
    <row r="371" spans="1:26" x14ac:dyDescent="0.3">
      <c r="A371">
        <v>10324651</v>
      </c>
      <c r="B371" t="s">
        <v>1086</v>
      </c>
      <c r="C371" t="s">
        <v>200</v>
      </c>
      <c r="D371" t="s">
        <v>201</v>
      </c>
      <c r="F371" t="str">
        <f>""</f>
        <v/>
      </c>
      <c r="G371" t="str">
        <f>""</f>
        <v/>
      </c>
      <c r="H371">
        <v>3</v>
      </c>
      <c r="I371">
        <v>3.94</v>
      </c>
      <c r="K371" t="s">
        <v>35</v>
      </c>
      <c r="L371">
        <v>18</v>
      </c>
      <c r="M371">
        <v>2010</v>
      </c>
      <c r="N371">
        <v>2010</v>
      </c>
      <c r="P371" s="1">
        <v>41886</v>
      </c>
      <c r="S371" t="s">
        <v>43</v>
      </c>
      <c r="W371">
        <v>1</v>
      </c>
      <c r="Z371">
        <v>0</v>
      </c>
    </row>
    <row r="372" spans="1:26" x14ac:dyDescent="0.3">
      <c r="A372">
        <v>16280685</v>
      </c>
      <c r="B372" t="s">
        <v>1087</v>
      </c>
      <c r="C372" t="s">
        <v>200</v>
      </c>
      <c r="D372" t="s">
        <v>201</v>
      </c>
      <c r="F372" t="str">
        <f>"0345548299"</f>
        <v>0345548299</v>
      </c>
      <c r="G372" t="str">
        <f>"9780345548290"</f>
        <v>9780345548290</v>
      </c>
      <c r="H372">
        <v>3</v>
      </c>
      <c r="I372">
        <v>4.1500000000000004</v>
      </c>
      <c r="J372" t="s">
        <v>223</v>
      </c>
      <c r="K372" t="s">
        <v>35</v>
      </c>
      <c r="L372">
        <v>64</v>
      </c>
      <c r="M372">
        <v>2013</v>
      </c>
      <c r="N372">
        <v>2013</v>
      </c>
      <c r="P372" s="1">
        <v>41886</v>
      </c>
      <c r="S372" t="s">
        <v>43</v>
      </c>
      <c r="W372">
        <v>1</v>
      </c>
      <c r="Z372">
        <v>0</v>
      </c>
    </row>
    <row r="373" spans="1:26" x14ac:dyDescent="0.3">
      <c r="A373">
        <v>15728721</v>
      </c>
      <c r="B373" t="s">
        <v>1088</v>
      </c>
      <c r="C373" t="s">
        <v>200</v>
      </c>
      <c r="D373" t="s">
        <v>201</v>
      </c>
      <c r="F373" t="str">
        <f>"0385366434"</f>
        <v>0385366434</v>
      </c>
      <c r="G373" t="str">
        <f>"9780385366434"</f>
        <v>9780385366434</v>
      </c>
      <c r="H373">
        <v>3</v>
      </c>
      <c r="I373">
        <v>4.2</v>
      </c>
      <c r="J373" t="s">
        <v>223</v>
      </c>
      <c r="K373" t="s">
        <v>35</v>
      </c>
      <c r="L373">
        <v>65</v>
      </c>
      <c r="M373">
        <v>2012</v>
      </c>
      <c r="N373">
        <v>2012</v>
      </c>
      <c r="P373" s="1">
        <v>41886</v>
      </c>
      <c r="S373" t="s">
        <v>43</v>
      </c>
      <c r="W373">
        <v>1</v>
      </c>
      <c r="Z373">
        <v>0</v>
      </c>
    </row>
    <row r="374" spans="1:26" x14ac:dyDescent="0.3">
      <c r="A374">
        <v>16071748</v>
      </c>
      <c r="B374" t="s">
        <v>1089</v>
      </c>
      <c r="C374" t="s">
        <v>200</v>
      </c>
      <c r="D374" t="s">
        <v>201</v>
      </c>
      <c r="F374" t="str">
        <f>"0345533631"</f>
        <v>0345533631</v>
      </c>
      <c r="G374" t="str">
        <f>"9780345533630"</f>
        <v>9780345533630</v>
      </c>
      <c r="H374">
        <v>4</v>
      </c>
      <c r="I374">
        <v>4.29</v>
      </c>
      <c r="J374" t="s">
        <v>223</v>
      </c>
      <c r="K374" t="s">
        <v>257</v>
      </c>
      <c r="L374">
        <v>384</v>
      </c>
      <c r="M374">
        <v>2013</v>
      </c>
      <c r="N374">
        <v>2013</v>
      </c>
      <c r="P374" s="1">
        <v>41886</v>
      </c>
      <c r="S374" t="s">
        <v>43</v>
      </c>
      <c r="W374">
        <v>1</v>
      </c>
      <c r="Z374">
        <v>0</v>
      </c>
    </row>
    <row r="375" spans="1:26" x14ac:dyDescent="0.3">
      <c r="A375">
        <v>13536649</v>
      </c>
      <c r="B375" t="s">
        <v>1090</v>
      </c>
      <c r="C375" t="s">
        <v>200</v>
      </c>
      <c r="D375" t="s">
        <v>201</v>
      </c>
      <c r="F375" t="str">
        <f>"034553364X"</f>
        <v>034553364X</v>
      </c>
      <c r="G375" t="str">
        <f>"9780345533647"</f>
        <v>9780345533647</v>
      </c>
      <c r="H375">
        <v>4</v>
      </c>
      <c r="I375">
        <v>4.2699999999999996</v>
      </c>
      <c r="J375" t="s">
        <v>223</v>
      </c>
      <c r="K375" t="s">
        <v>257</v>
      </c>
      <c r="L375">
        <v>290</v>
      </c>
      <c r="M375">
        <v>2012</v>
      </c>
      <c r="N375">
        <v>2012</v>
      </c>
      <c r="P375" s="1">
        <v>41886</v>
      </c>
      <c r="S375" t="s">
        <v>43</v>
      </c>
      <c r="W375">
        <v>1</v>
      </c>
      <c r="Z375">
        <v>0</v>
      </c>
    </row>
    <row r="376" spans="1:26" x14ac:dyDescent="0.3">
      <c r="A376">
        <v>12700306</v>
      </c>
      <c r="B376" t="s">
        <v>1091</v>
      </c>
      <c r="C376" t="s">
        <v>200</v>
      </c>
      <c r="D376" t="s">
        <v>201</v>
      </c>
      <c r="F376" t="str">
        <f>"0345533623"</f>
        <v>0345533623</v>
      </c>
      <c r="G376" t="str">
        <f>"9780345533623"</f>
        <v>9780345533623</v>
      </c>
      <c r="H376">
        <v>4</v>
      </c>
      <c r="I376">
        <v>4.25</v>
      </c>
      <c r="J376" t="s">
        <v>1092</v>
      </c>
      <c r="K376" t="s">
        <v>257</v>
      </c>
      <c r="L376">
        <v>341</v>
      </c>
      <c r="M376">
        <v>2012</v>
      </c>
      <c r="N376">
        <v>2012</v>
      </c>
      <c r="P376" s="1">
        <v>41886</v>
      </c>
      <c r="S376" t="s">
        <v>43</v>
      </c>
      <c r="W376">
        <v>1</v>
      </c>
      <c r="Z376">
        <v>0</v>
      </c>
    </row>
    <row r="377" spans="1:26" x14ac:dyDescent="0.3">
      <c r="A377">
        <v>9595620</v>
      </c>
      <c r="B377" t="s">
        <v>1093</v>
      </c>
      <c r="C377" t="s">
        <v>200</v>
      </c>
      <c r="D377" t="s">
        <v>201</v>
      </c>
      <c r="F377" t="str">
        <f>"0345522486"</f>
        <v>0345522486</v>
      </c>
      <c r="G377" t="str">
        <f>"9780345522481"</f>
        <v>9780345522481</v>
      </c>
      <c r="H377">
        <v>4</v>
      </c>
      <c r="I377">
        <v>4.21</v>
      </c>
      <c r="J377" t="s">
        <v>1092</v>
      </c>
      <c r="K377" t="s">
        <v>257</v>
      </c>
      <c r="L377">
        <v>312</v>
      </c>
      <c r="M377">
        <v>2011</v>
      </c>
      <c r="N377">
        <v>2011</v>
      </c>
      <c r="P377" s="1">
        <v>41886</v>
      </c>
      <c r="S377" t="s">
        <v>43</v>
      </c>
      <c r="W377">
        <v>1</v>
      </c>
      <c r="Z377">
        <v>0</v>
      </c>
    </row>
    <row r="378" spans="1:26" x14ac:dyDescent="0.3">
      <c r="A378">
        <v>9595650</v>
      </c>
      <c r="B378" t="s">
        <v>1094</v>
      </c>
      <c r="C378" t="s">
        <v>200</v>
      </c>
      <c r="D378" t="s">
        <v>201</v>
      </c>
      <c r="F378" t="str">
        <f>"0345522494"</f>
        <v>0345522494</v>
      </c>
      <c r="G378" t="str">
        <f>"9780345522498"</f>
        <v>9780345522498</v>
      </c>
      <c r="H378">
        <v>4</v>
      </c>
      <c r="I378">
        <v>4.22</v>
      </c>
      <c r="J378" t="s">
        <v>223</v>
      </c>
      <c r="K378" t="s">
        <v>257</v>
      </c>
      <c r="L378">
        <v>296</v>
      </c>
      <c r="M378">
        <v>2011</v>
      </c>
      <c r="N378">
        <v>2011</v>
      </c>
      <c r="P378" s="1">
        <v>41886</v>
      </c>
      <c r="S378" t="s">
        <v>43</v>
      </c>
      <c r="W378">
        <v>1</v>
      </c>
      <c r="Z378">
        <v>0</v>
      </c>
    </row>
    <row r="379" spans="1:26" x14ac:dyDescent="0.3">
      <c r="A379">
        <v>9533378</v>
      </c>
      <c r="B379" t="s">
        <v>1095</v>
      </c>
      <c r="C379" t="s">
        <v>200</v>
      </c>
      <c r="D379" t="s">
        <v>201</v>
      </c>
      <c r="F379" t="str">
        <f>"0345522478"</f>
        <v>0345522478</v>
      </c>
      <c r="G379" t="str">
        <f>"9780345522474"</f>
        <v>9780345522474</v>
      </c>
      <c r="H379">
        <v>4</v>
      </c>
      <c r="I379">
        <v>4.08</v>
      </c>
      <c r="J379" t="s">
        <v>223</v>
      </c>
      <c r="K379" t="s">
        <v>257</v>
      </c>
      <c r="L379">
        <v>304</v>
      </c>
      <c r="M379">
        <v>2011</v>
      </c>
      <c r="N379">
        <v>2011</v>
      </c>
      <c r="P379" s="1">
        <v>41886</v>
      </c>
      <c r="S379" t="s">
        <v>43</v>
      </c>
      <c r="W379">
        <v>1</v>
      </c>
      <c r="Z379">
        <v>0</v>
      </c>
    </row>
    <row r="380" spans="1:26" x14ac:dyDescent="0.3">
      <c r="A380">
        <v>9645260</v>
      </c>
      <c r="B380" t="s">
        <v>1096</v>
      </c>
      <c r="C380" t="s">
        <v>1097</v>
      </c>
      <c r="D380" t="s">
        <v>1098</v>
      </c>
      <c r="F380" t="str">
        <f>"045146396X"</f>
        <v>045146396X</v>
      </c>
      <c r="G380" t="str">
        <f>"9780451463968"</f>
        <v>9780451463968</v>
      </c>
      <c r="H380">
        <v>0</v>
      </c>
      <c r="I380">
        <v>3.59</v>
      </c>
      <c r="J380" t="s">
        <v>189</v>
      </c>
      <c r="K380" t="s">
        <v>102</v>
      </c>
      <c r="L380">
        <v>337</v>
      </c>
      <c r="M380">
        <v>2011</v>
      </c>
      <c r="N380">
        <v>2011</v>
      </c>
      <c r="P380" s="1">
        <v>41886</v>
      </c>
      <c r="Q380" t="s">
        <v>36</v>
      </c>
      <c r="R380" t="s">
        <v>1099</v>
      </c>
      <c r="S380" t="s">
        <v>36</v>
      </c>
      <c r="W380">
        <v>0</v>
      </c>
      <c r="Z380">
        <v>0</v>
      </c>
    </row>
    <row r="381" spans="1:26" x14ac:dyDescent="0.3">
      <c r="A381">
        <v>17879401</v>
      </c>
      <c r="B381" t="s">
        <v>1100</v>
      </c>
      <c r="C381" t="s">
        <v>1101</v>
      </c>
      <c r="D381" t="s">
        <v>1102</v>
      </c>
      <c r="F381" t="str">
        <f>"1781855625"</f>
        <v>1781855625</v>
      </c>
      <c r="G381" t="str">
        <f>"9781781855621"</f>
        <v>9781781855621</v>
      </c>
      <c r="H381">
        <v>0</v>
      </c>
      <c r="I381">
        <v>3.77</v>
      </c>
      <c r="J381" t="s">
        <v>860</v>
      </c>
      <c r="K381" t="s">
        <v>42</v>
      </c>
      <c r="L381">
        <v>640</v>
      </c>
      <c r="M381">
        <v>2013</v>
      </c>
      <c r="N381">
        <v>2013</v>
      </c>
      <c r="P381" s="1">
        <v>41886</v>
      </c>
      <c r="Q381" t="s">
        <v>36</v>
      </c>
      <c r="R381" t="s">
        <v>1103</v>
      </c>
      <c r="S381" t="s">
        <v>36</v>
      </c>
      <c r="W381">
        <v>0</v>
      </c>
      <c r="Z381">
        <v>0</v>
      </c>
    </row>
    <row r="382" spans="1:26" x14ac:dyDescent="0.3">
      <c r="A382">
        <v>15750692</v>
      </c>
      <c r="B382" t="s">
        <v>1104</v>
      </c>
      <c r="C382" t="s">
        <v>1105</v>
      </c>
      <c r="D382" t="s">
        <v>1106</v>
      </c>
      <c r="F382" t="str">
        <f>"0230758452"</f>
        <v>0230758452</v>
      </c>
      <c r="G382" t="str">
        <f>"9780230758452"</f>
        <v>9780230758452</v>
      </c>
      <c r="H382">
        <v>0</v>
      </c>
      <c r="I382">
        <v>4.1500000000000004</v>
      </c>
      <c r="J382" t="s">
        <v>790</v>
      </c>
      <c r="K382" t="s">
        <v>42</v>
      </c>
      <c r="L382">
        <v>672</v>
      </c>
      <c r="M382">
        <v>2012</v>
      </c>
      <c r="N382">
        <v>2012</v>
      </c>
      <c r="P382" s="1">
        <v>41886</v>
      </c>
      <c r="Q382" t="s">
        <v>36</v>
      </c>
      <c r="R382" t="s">
        <v>1107</v>
      </c>
      <c r="S382" t="s">
        <v>36</v>
      </c>
      <c r="W382">
        <v>0</v>
      </c>
      <c r="Z382">
        <v>0</v>
      </c>
    </row>
    <row r="383" spans="1:26" x14ac:dyDescent="0.3">
      <c r="A383">
        <v>15810910</v>
      </c>
      <c r="B383" t="s">
        <v>1108</v>
      </c>
      <c r="C383" t="s">
        <v>295</v>
      </c>
      <c r="D383" t="s">
        <v>296</v>
      </c>
      <c r="F383" t="str">
        <f>"0451465105"</f>
        <v>0451465105</v>
      </c>
      <c r="G383" t="str">
        <f>"9780451465108"</f>
        <v>9780451465108</v>
      </c>
      <c r="H383">
        <v>0</v>
      </c>
      <c r="I383">
        <v>4.05</v>
      </c>
      <c r="J383" t="s">
        <v>218</v>
      </c>
      <c r="K383" t="s">
        <v>42</v>
      </c>
      <c r="L383">
        <v>513</v>
      </c>
      <c r="M383">
        <v>2013</v>
      </c>
      <c r="N383">
        <v>2013</v>
      </c>
      <c r="P383" s="1">
        <v>41886</v>
      </c>
      <c r="Q383" t="s">
        <v>36</v>
      </c>
      <c r="R383" t="s">
        <v>1109</v>
      </c>
      <c r="S383" t="s">
        <v>36</v>
      </c>
      <c r="W383">
        <v>0</v>
      </c>
      <c r="Z383">
        <v>0</v>
      </c>
    </row>
    <row r="384" spans="1:26" x14ac:dyDescent="0.3">
      <c r="A384">
        <v>18191856</v>
      </c>
      <c r="B384" t="s">
        <v>1110</v>
      </c>
      <c r="C384" t="s">
        <v>295</v>
      </c>
      <c r="D384" t="s">
        <v>296</v>
      </c>
      <c r="F384" t="str">
        <f>""</f>
        <v/>
      </c>
      <c r="G384" t="str">
        <f>""</f>
        <v/>
      </c>
      <c r="H384">
        <v>0</v>
      </c>
      <c r="I384">
        <v>3.76</v>
      </c>
      <c r="K384" t="s">
        <v>35</v>
      </c>
      <c r="L384">
        <v>20</v>
      </c>
      <c r="M384">
        <v>2013</v>
      </c>
      <c r="N384">
        <v>2013</v>
      </c>
      <c r="P384" s="1">
        <v>41886</v>
      </c>
      <c r="Q384" t="s">
        <v>36</v>
      </c>
      <c r="R384" t="s">
        <v>1111</v>
      </c>
      <c r="S384" t="s">
        <v>36</v>
      </c>
      <c r="W384">
        <v>0</v>
      </c>
      <c r="Z384">
        <v>0</v>
      </c>
    </row>
    <row r="385" spans="1:26" x14ac:dyDescent="0.3">
      <c r="A385">
        <v>18933991</v>
      </c>
      <c r="B385" t="s">
        <v>1112</v>
      </c>
      <c r="C385" t="s">
        <v>397</v>
      </c>
      <c r="D385" t="s">
        <v>398</v>
      </c>
      <c r="F385" t="str">
        <f>""</f>
        <v/>
      </c>
      <c r="G385" t="str">
        <f>""</f>
        <v/>
      </c>
      <c r="H385">
        <v>0</v>
      </c>
      <c r="I385">
        <v>4.1900000000000004</v>
      </c>
      <c r="J385" t="s">
        <v>397</v>
      </c>
      <c r="K385" t="s">
        <v>35</v>
      </c>
      <c r="L385">
        <v>90</v>
      </c>
      <c r="M385">
        <v>2013</v>
      </c>
      <c r="N385">
        <v>2013</v>
      </c>
      <c r="P385" s="1">
        <v>41886</v>
      </c>
      <c r="Q385" t="s">
        <v>36</v>
      </c>
      <c r="R385" t="s">
        <v>1113</v>
      </c>
      <c r="S385" t="s">
        <v>36</v>
      </c>
      <c r="W385">
        <v>0</v>
      </c>
      <c r="Z385">
        <v>0</v>
      </c>
    </row>
    <row r="386" spans="1:26" x14ac:dyDescent="0.3">
      <c r="A386">
        <v>18476843</v>
      </c>
      <c r="B386" t="s">
        <v>1114</v>
      </c>
      <c r="C386" t="s">
        <v>397</v>
      </c>
      <c r="D386" t="s">
        <v>398</v>
      </c>
      <c r="F386" t="str">
        <f>"1612184588"</f>
        <v>1612184588</v>
      </c>
      <c r="G386" t="str">
        <f>"9781612184586"</f>
        <v>9781612184586</v>
      </c>
      <c r="H386">
        <v>3</v>
      </c>
      <c r="I386">
        <v>4.28</v>
      </c>
      <c r="J386" t="s">
        <v>97</v>
      </c>
      <c r="K386" t="s">
        <v>102</v>
      </c>
      <c r="L386">
        <v>454</v>
      </c>
      <c r="M386">
        <v>2014</v>
      </c>
      <c r="N386">
        <v>2014</v>
      </c>
      <c r="P386" s="1">
        <v>41886</v>
      </c>
      <c r="S386" t="s">
        <v>43</v>
      </c>
      <c r="W386">
        <v>1</v>
      </c>
      <c r="Z386">
        <v>0</v>
      </c>
    </row>
    <row r="387" spans="1:26" x14ac:dyDescent="0.3">
      <c r="A387">
        <v>7492383</v>
      </c>
      <c r="B387" t="s">
        <v>1115</v>
      </c>
      <c r="C387" t="s">
        <v>987</v>
      </c>
      <c r="D387" t="s">
        <v>988</v>
      </c>
      <c r="F387" t="str">
        <f>"0575085185"</f>
        <v>0575085185</v>
      </c>
      <c r="G387" t="str">
        <f>"9780575085183"</f>
        <v>9780575085183</v>
      </c>
      <c r="H387">
        <v>5</v>
      </c>
      <c r="I387">
        <v>4.25</v>
      </c>
      <c r="J387" t="s">
        <v>307</v>
      </c>
      <c r="K387" t="s">
        <v>102</v>
      </c>
      <c r="L387">
        <v>442</v>
      </c>
      <c r="M387">
        <v>2010</v>
      </c>
      <c r="N387">
        <v>2010</v>
      </c>
      <c r="P387" s="1">
        <v>41879</v>
      </c>
      <c r="S387" t="s">
        <v>43</v>
      </c>
      <c r="W387">
        <v>1</v>
      </c>
      <c r="Z387">
        <v>0</v>
      </c>
    </row>
    <row r="388" spans="1:26" x14ac:dyDescent="0.3">
      <c r="A388">
        <v>6285903</v>
      </c>
      <c r="B388" t="s">
        <v>1116</v>
      </c>
      <c r="C388" t="s">
        <v>987</v>
      </c>
      <c r="D388" t="s">
        <v>988</v>
      </c>
      <c r="F388" t="str">
        <f>"0575085150"</f>
        <v>0575085150</v>
      </c>
      <c r="G388" t="str">
        <f>"9780575085152"</f>
        <v>9780575085152</v>
      </c>
      <c r="H388">
        <v>4</v>
      </c>
      <c r="I388">
        <v>3.97</v>
      </c>
      <c r="J388" t="s">
        <v>307</v>
      </c>
      <c r="K388" t="s">
        <v>102</v>
      </c>
      <c r="L388">
        <v>380</v>
      </c>
      <c r="M388">
        <v>2009</v>
      </c>
      <c r="N388">
        <v>2009</v>
      </c>
      <c r="O388" s="1">
        <v>41872</v>
      </c>
      <c r="P388" s="1">
        <v>41852</v>
      </c>
      <c r="S388" t="s">
        <v>43</v>
      </c>
      <c r="W388">
        <v>1</v>
      </c>
      <c r="Z388">
        <v>0</v>
      </c>
    </row>
    <row r="389" spans="1:26" x14ac:dyDescent="0.3">
      <c r="A389">
        <v>17934530</v>
      </c>
      <c r="B389" t="s">
        <v>1117</v>
      </c>
      <c r="C389" t="s">
        <v>1118</v>
      </c>
      <c r="D389" t="s">
        <v>1119</v>
      </c>
      <c r="F389" t="str">
        <f>"0374104093"</f>
        <v>0374104093</v>
      </c>
      <c r="G389" t="str">
        <f>"9780374104092"</f>
        <v>9780374104092</v>
      </c>
      <c r="H389">
        <v>0</v>
      </c>
      <c r="I389">
        <v>3.73</v>
      </c>
      <c r="J389" t="s">
        <v>1120</v>
      </c>
      <c r="K389" t="s">
        <v>102</v>
      </c>
      <c r="L389">
        <v>195</v>
      </c>
      <c r="M389">
        <v>2014</v>
      </c>
      <c r="N389">
        <v>2014</v>
      </c>
      <c r="P389" s="1">
        <v>41877</v>
      </c>
      <c r="Q389" t="s">
        <v>36</v>
      </c>
      <c r="R389" t="s">
        <v>1121</v>
      </c>
      <c r="S389" t="s">
        <v>36</v>
      </c>
      <c r="W389">
        <v>0</v>
      </c>
      <c r="Z389">
        <v>0</v>
      </c>
    </row>
    <row r="390" spans="1:26" x14ac:dyDescent="0.3">
      <c r="A390">
        <v>3227063</v>
      </c>
      <c r="B390" t="s">
        <v>1122</v>
      </c>
      <c r="C390" t="s">
        <v>483</v>
      </c>
      <c r="D390" t="s">
        <v>484</v>
      </c>
      <c r="F390" t="str">
        <f>"0316033677"</f>
        <v>0316033677</v>
      </c>
      <c r="G390" t="str">
        <f>"9780316033671"</f>
        <v>9780316033671</v>
      </c>
      <c r="H390">
        <v>3</v>
      </c>
      <c r="I390">
        <v>4.1399999999999997</v>
      </c>
      <c r="J390" t="s">
        <v>205</v>
      </c>
      <c r="K390" t="s">
        <v>257</v>
      </c>
      <c r="L390">
        <v>645</v>
      </c>
      <c r="M390">
        <v>2008</v>
      </c>
      <c r="N390">
        <v>2008</v>
      </c>
      <c r="O390" s="1">
        <v>41865</v>
      </c>
      <c r="P390" s="1">
        <v>41836</v>
      </c>
      <c r="S390" t="s">
        <v>43</v>
      </c>
      <c r="W390">
        <v>1</v>
      </c>
      <c r="Z390">
        <v>0</v>
      </c>
    </row>
    <row r="391" spans="1:26" x14ac:dyDescent="0.3">
      <c r="A391">
        <v>11968600</v>
      </c>
      <c r="B391" t="s">
        <v>1123</v>
      </c>
      <c r="C391" t="s">
        <v>90</v>
      </c>
      <c r="D391" t="s">
        <v>91</v>
      </c>
      <c r="F391" t="str">
        <f>""</f>
        <v/>
      </c>
      <c r="G391" t="str">
        <f>""</f>
        <v/>
      </c>
      <c r="H391">
        <v>0</v>
      </c>
      <c r="I391">
        <v>3.9</v>
      </c>
      <c r="K391" t="s">
        <v>57</v>
      </c>
      <c r="L391">
        <v>386</v>
      </c>
      <c r="M391">
        <v>2011</v>
      </c>
      <c r="N391">
        <v>2011</v>
      </c>
      <c r="P391" s="1">
        <v>41860</v>
      </c>
      <c r="Q391" t="s">
        <v>36</v>
      </c>
      <c r="R391" t="s">
        <v>1124</v>
      </c>
      <c r="S391" t="s">
        <v>36</v>
      </c>
      <c r="W391">
        <v>0</v>
      </c>
      <c r="Z391">
        <v>0</v>
      </c>
    </row>
    <row r="392" spans="1:26" x14ac:dyDescent="0.3">
      <c r="A392">
        <v>41804</v>
      </c>
      <c r="B392" t="s">
        <v>1125</v>
      </c>
      <c r="C392" t="s">
        <v>1126</v>
      </c>
      <c r="D392" t="s">
        <v>1127</v>
      </c>
      <c r="F392" t="str">
        <f>"0553803700"</f>
        <v>0553803700</v>
      </c>
      <c r="G392" t="str">
        <f>"9780553803709"</f>
        <v>9780553803709</v>
      </c>
      <c r="H392">
        <v>0</v>
      </c>
      <c r="I392">
        <v>4.21</v>
      </c>
      <c r="J392" t="s">
        <v>1128</v>
      </c>
      <c r="K392" t="s">
        <v>42</v>
      </c>
      <c r="L392">
        <v>224</v>
      </c>
      <c r="M392">
        <v>2004</v>
      </c>
      <c r="N392">
        <v>1950</v>
      </c>
      <c r="P392" s="1">
        <v>41859</v>
      </c>
      <c r="Q392" t="s">
        <v>36</v>
      </c>
      <c r="R392" t="s">
        <v>1129</v>
      </c>
      <c r="S392" t="s">
        <v>36</v>
      </c>
      <c r="W392">
        <v>0</v>
      </c>
      <c r="Z392">
        <v>0</v>
      </c>
    </row>
    <row r="393" spans="1:26" x14ac:dyDescent="0.3">
      <c r="A393">
        <v>24213</v>
      </c>
      <c r="B393" t="s">
        <v>1130</v>
      </c>
      <c r="C393" t="s">
        <v>1131</v>
      </c>
      <c r="D393" t="s">
        <v>1132</v>
      </c>
      <c r="E393" t="s">
        <v>1133</v>
      </c>
      <c r="F393" t="str">
        <f>"0451527747"</f>
        <v>0451527747</v>
      </c>
      <c r="G393" t="str">
        <f>"9780451527745"</f>
        <v>9780451527745</v>
      </c>
      <c r="H393">
        <v>0</v>
      </c>
      <c r="I393">
        <v>4.0599999999999996</v>
      </c>
      <c r="J393" t="s">
        <v>1063</v>
      </c>
      <c r="K393" t="s">
        <v>102</v>
      </c>
      <c r="L393">
        <v>239</v>
      </c>
      <c r="M393">
        <v>2000</v>
      </c>
      <c r="N393">
        <v>1871</v>
      </c>
      <c r="P393" s="1">
        <v>41490</v>
      </c>
      <c r="Q393" t="s">
        <v>36</v>
      </c>
      <c r="R393" t="s">
        <v>1134</v>
      </c>
      <c r="S393" t="s">
        <v>36</v>
      </c>
      <c r="W393">
        <v>0</v>
      </c>
      <c r="Z393">
        <v>0</v>
      </c>
    </row>
    <row r="394" spans="1:26" x14ac:dyDescent="0.3">
      <c r="A394">
        <v>15241</v>
      </c>
      <c r="B394" t="s">
        <v>1135</v>
      </c>
      <c r="C394" t="s">
        <v>1051</v>
      </c>
      <c r="D394" t="s">
        <v>1052</v>
      </c>
      <c r="E394" t="s">
        <v>1136</v>
      </c>
      <c r="F394" t="str">
        <f>"0618346260"</f>
        <v>0618346260</v>
      </c>
      <c r="G394" t="str">
        <f>"9780618346264"</f>
        <v>9780618346264</v>
      </c>
      <c r="H394">
        <v>3</v>
      </c>
      <c r="I394">
        <v>4.46</v>
      </c>
      <c r="J394" t="s">
        <v>1137</v>
      </c>
      <c r="K394" t="s">
        <v>102</v>
      </c>
      <c r="L394">
        <v>322</v>
      </c>
      <c r="M394">
        <v>2003</v>
      </c>
      <c r="N394">
        <v>1954</v>
      </c>
      <c r="P394" s="1">
        <v>41852</v>
      </c>
      <c r="S394" t="s">
        <v>43</v>
      </c>
      <c r="W394">
        <v>1</v>
      </c>
      <c r="Z394">
        <v>0</v>
      </c>
    </row>
    <row r="395" spans="1:26" x14ac:dyDescent="0.3">
      <c r="A395">
        <v>8058301</v>
      </c>
      <c r="B395" t="s">
        <v>1138</v>
      </c>
      <c r="C395" t="s">
        <v>173</v>
      </c>
      <c r="D395" t="s">
        <v>174</v>
      </c>
      <c r="F395" t="str">
        <f>"045146379X"</f>
        <v>045146379X</v>
      </c>
      <c r="G395" t="str">
        <f>"9780451463791"</f>
        <v>9780451463791</v>
      </c>
      <c r="H395">
        <v>5</v>
      </c>
      <c r="I395">
        <v>4.25</v>
      </c>
      <c r="J395" t="s">
        <v>1139</v>
      </c>
      <c r="K395" t="s">
        <v>42</v>
      </c>
      <c r="L395">
        <v>481</v>
      </c>
      <c r="M395">
        <v>2011</v>
      </c>
      <c r="N395">
        <v>2011</v>
      </c>
      <c r="P395" s="1">
        <v>41852</v>
      </c>
      <c r="S395" t="s">
        <v>43</v>
      </c>
      <c r="W395">
        <v>1</v>
      </c>
      <c r="Z395">
        <v>0</v>
      </c>
    </row>
    <row r="396" spans="1:26" x14ac:dyDescent="0.3">
      <c r="A396">
        <v>10664113</v>
      </c>
      <c r="B396" t="s">
        <v>1140</v>
      </c>
      <c r="C396" t="s">
        <v>734</v>
      </c>
      <c r="D396" t="s">
        <v>735</v>
      </c>
      <c r="F396" t="str">
        <f>""</f>
        <v/>
      </c>
      <c r="G396" t="str">
        <f>""</f>
        <v/>
      </c>
      <c r="H396">
        <v>5</v>
      </c>
      <c r="I396">
        <v>4.32</v>
      </c>
      <c r="J396" t="s">
        <v>1141</v>
      </c>
      <c r="K396" t="s">
        <v>57</v>
      </c>
      <c r="L396">
        <v>1125</v>
      </c>
      <c r="M396">
        <v>2011</v>
      </c>
      <c r="N396">
        <v>2011</v>
      </c>
      <c r="P396" s="1">
        <v>41282</v>
      </c>
      <c r="S396" t="s">
        <v>43</v>
      </c>
      <c r="W396">
        <v>1</v>
      </c>
      <c r="Z396">
        <v>0</v>
      </c>
    </row>
    <row r="397" spans="1:26" x14ac:dyDescent="0.3">
      <c r="A397">
        <v>15881</v>
      </c>
      <c r="B397" t="s">
        <v>1142</v>
      </c>
      <c r="C397" t="s">
        <v>1059</v>
      </c>
      <c r="D397" t="s">
        <v>1060</v>
      </c>
      <c r="E397" t="s">
        <v>1143</v>
      </c>
      <c r="F397" t="str">
        <f>""</f>
        <v/>
      </c>
      <c r="G397" t="str">
        <f>""</f>
        <v/>
      </c>
      <c r="H397">
        <v>4</v>
      </c>
      <c r="I397">
        <v>4.43</v>
      </c>
      <c r="J397" t="s">
        <v>1065</v>
      </c>
      <c r="K397" t="s">
        <v>42</v>
      </c>
      <c r="L397">
        <v>341</v>
      </c>
      <c r="M397">
        <v>1999</v>
      </c>
      <c r="N397">
        <v>1998</v>
      </c>
      <c r="P397" s="1">
        <v>41852</v>
      </c>
      <c r="S397" t="s">
        <v>43</v>
      </c>
      <c r="W397">
        <v>1</v>
      </c>
      <c r="Z397">
        <v>0</v>
      </c>
    </row>
    <row r="398" spans="1:26" x14ac:dyDescent="0.3">
      <c r="A398">
        <v>91478</v>
      </c>
      <c r="B398" t="s">
        <v>1144</v>
      </c>
      <c r="C398" t="s">
        <v>173</v>
      </c>
      <c r="D398" t="s">
        <v>174</v>
      </c>
      <c r="F398" t="str">
        <f>"0451458923"</f>
        <v>0451458923</v>
      </c>
      <c r="G398" t="str">
        <f>"9780451458926"</f>
        <v>9780451458926</v>
      </c>
      <c r="H398">
        <v>5</v>
      </c>
      <c r="I398">
        <v>4.26</v>
      </c>
      <c r="J398" t="s">
        <v>218</v>
      </c>
      <c r="K398" t="s">
        <v>257</v>
      </c>
      <c r="L398">
        <v>446</v>
      </c>
      <c r="M398">
        <v>2002</v>
      </c>
      <c r="N398">
        <v>2002</v>
      </c>
      <c r="P398" s="1">
        <v>41852</v>
      </c>
      <c r="S398" t="s">
        <v>43</v>
      </c>
      <c r="W398">
        <v>1</v>
      </c>
      <c r="Z398">
        <v>0</v>
      </c>
    </row>
    <row r="399" spans="1:26" x14ac:dyDescent="0.3">
      <c r="A399">
        <v>91479</v>
      </c>
      <c r="B399" t="s">
        <v>1145</v>
      </c>
      <c r="C399" t="s">
        <v>173</v>
      </c>
      <c r="D399" t="s">
        <v>174</v>
      </c>
      <c r="F399" t="str">
        <f>"0451459407"</f>
        <v>0451459407</v>
      </c>
      <c r="G399" t="str">
        <f>"9780451459404"</f>
        <v>9780451459404</v>
      </c>
      <c r="H399">
        <v>5</v>
      </c>
      <c r="I399">
        <v>4.28</v>
      </c>
      <c r="J399" t="s">
        <v>218</v>
      </c>
      <c r="K399" t="s">
        <v>257</v>
      </c>
      <c r="L399">
        <v>432</v>
      </c>
      <c r="M399">
        <v>2003</v>
      </c>
      <c r="N399">
        <v>2003</v>
      </c>
      <c r="P399" s="1">
        <v>41852</v>
      </c>
      <c r="S399" t="s">
        <v>43</v>
      </c>
      <c r="W399">
        <v>1</v>
      </c>
      <c r="Z399">
        <v>0</v>
      </c>
    </row>
    <row r="400" spans="1:26" x14ac:dyDescent="0.3">
      <c r="A400">
        <v>99383</v>
      </c>
      <c r="B400" t="s">
        <v>1146</v>
      </c>
      <c r="C400" t="s">
        <v>173</v>
      </c>
      <c r="D400" t="s">
        <v>174</v>
      </c>
      <c r="F400" t="str">
        <f>"0451459873"</f>
        <v>0451459873</v>
      </c>
      <c r="G400" t="str">
        <f>"9780451459879"</f>
        <v>9780451459879</v>
      </c>
      <c r="H400">
        <v>5</v>
      </c>
      <c r="I400">
        <v>4.29</v>
      </c>
      <c r="J400" t="s">
        <v>218</v>
      </c>
      <c r="K400" t="s">
        <v>102</v>
      </c>
      <c r="L400">
        <v>435</v>
      </c>
      <c r="M400">
        <v>2004</v>
      </c>
      <c r="N400">
        <v>2004</v>
      </c>
      <c r="P400" s="1">
        <v>41852</v>
      </c>
      <c r="S400" t="s">
        <v>43</v>
      </c>
      <c r="W400">
        <v>1</v>
      </c>
      <c r="Z400">
        <v>0</v>
      </c>
    </row>
    <row r="401" spans="1:26" x14ac:dyDescent="0.3">
      <c r="A401">
        <v>11566</v>
      </c>
      <c r="B401" t="s">
        <v>1147</v>
      </c>
      <c r="C401" t="s">
        <v>884</v>
      </c>
      <c r="D401" t="s">
        <v>885</v>
      </c>
      <c r="F401" t="str">
        <f>"0451933028"</f>
        <v>0451933028</v>
      </c>
      <c r="G401" t="str">
        <f>"9780451933027"</f>
        <v>9780451933027</v>
      </c>
      <c r="H401">
        <v>4</v>
      </c>
      <c r="I401">
        <v>4.46</v>
      </c>
      <c r="J401" t="s">
        <v>1148</v>
      </c>
      <c r="K401" t="s">
        <v>102</v>
      </c>
      <c r="L401">
        <v>592</v>
      </c>
      <c r="M401">
        <v>1996</v>
      </c>
      <c r="N401">
        <v>1996</v>
      </c>
      <c r="P401" s="1">
        <v>41852</v>
      </c>
      <c r="S401" t="s">
        <v>43</v>
      </c>
      <c r="W401">
        <v>1</v>
      </c>
      <c r="Z401">
        <v>0</v>
      </c>
    </row>
    <row r="402" spans="1:26" x14ac:dyDescent="0.3">
      <c r="A402">
        <v>3</v>
      </c>
      <c r="B402" t="s">
        <v>1149</v>
      </c>
      <c r="C402" t="s">
        <v>1059</v>
      </c>
      <c r="D402" t="s">
        <v>1060</v>
      </c>
      <c r="F402" t="str">
        <f>""</f>
        <v/>
      </c>
      <c r="G402" t="str">
        <f>""</f>
        <v/>
      </c>
      <c r="H402">
        <v>4</v>
      </c>
      <c r="I402">
        <v>4.4800000000000004</v>
      </c>
      <c r="J402" t="s">
        <v>1150</v>
      </c>
      <c r="K402" t="s">
        <v>42</v>
      </c>
      <c r="L402">
        <v>309</v>
      </c>
      <c r="M402">
        <v>2003</v>
      </c>
      <c r="N402">
        <v>1997</v>
      </c>
      <c r="P402" s="1">
        <v>41852</v>
      </c>
      <c r="S402" t="s">
        <v>43</v>
      </c>
      <c r="W402">
        <v>1</v>
      </c>
      <c r="Z402">
        <v>0</v>
      </c>
    </row>
    <row r="403" spans="1:26" x14ac:dyDescent="0.3">
      <c r="A403">
        <v>10572</v>
      </c>
      <c r="B403" t="s">
        <v>1151</v>
      </c>
      <c r="C403" t="s">
        <v>734</v>
      </c>
      <c r="D403" t="s">
        <v>735</v>
      </c>
      <c r="F403" t="str">
        <f>"0553381695"</f>
        <v>0553381695</v>
      </c>
      <c r="G403" t="str">
        <f>"9780553381696"</f>
        <v>9780553381696</v>
      </c>
      <c r="H403">
        <v>5</v>
      </c>
      <c r="I403">
        <v>4.41</v>
      </c>
      <c r="J403" t="s">
        <v>1141</v>
      </c>
      <c r="K403" t="s">
        <v>102</v>
      </c>
      <c r="L403">
        <v>969</v>
      </c>
      <c r="M403">
        <v>2002</v>
      </c>
      <c r="N403">
        <v>1998</v>
      </c>
      <c r="P403" s="1">
        <v>41852</v>
      </c>
      <c r="S403" t="s">
        <v>43</v>
      </c>
      <c r="W403">
        <v>1</v>
      </c>
      <c r="Z403">
        <v>0</v>
      </c>
    </row>
    <row r="404" spans="1:26" x14ac:dyDescent="0.3">
      <c r="A404">
        <v>91475</v>
      </c>
      <c r="B404" t="s">
        <v>1152</v>
      </c>
      <c r="C404" t="s">
        <v>173</v>
      </c>
      <c r="D404" t="s">
        <v>174</v>
      </c>
      <c r="F404" t="str">
        <f>"0451461401"</f>
        <v>0451461401</v>
      </c>
      <c r="G404" t="str">
        <f>"9780451461407"</f>
        <v>9780451461407</v>
      </c>
      <c r="H404">
        <v>5</v>
      </c>
      <c r="I404">
        <v>4.38</v>
      </c>
      <c r="J404" t="s">
        <v>218</v>
      </c>
      <c r="K404" t="s">
        <v>42</v>
      </c>
      <c r="L404">
        <v>407</v>
      </c>
      <c r="M404">
        <v>2007</v>
      </c>
      <c r="N404">
        <v>2007</v>
      </c>
      <c r="P404" s="1">
        <v>41852</v>
      </c>
      <c r="S404" t="s">
        <v>43</v>
      </c>
      <c r="W404">
        <v>1</v>
      </c>
      <c r="Z404">
        <v>0</v>
      </c>
    </row>
    <row r="405" spans="1:26" x14ac:dyDescent="0.3">
      <c r="A405">
        <v>91474</v>
      </c>
      <c r="B405" t="s">
        <v>1153</v>
      </c>
      <c r="C405" t="s">
        <v>173</v>
      </c>
      <c r="D405" t="s">
        <v>174</v>
      </c>
      <c r="F405" t="str">
        <f>"0451461037"</f>
        <v>0451461037</v>
      </c>
      <c r="G405" t="str">
        <f>"9780451461032"</f>
        <v>9780451461032</v>
      </c>
      <c r="H405">
        <v>5</v>
      </c>
      <c r="I405">
        <v>4.3899999999999997</v>
      </c>
      <c r="J405" t="s">
        <v>218</v>
      </c>
      <c r="K405" t="s">
        <v>102</v>
      </c>
      <c r="L405">
        <v>547</v>
      </c>
      <c r="M405">
        <v>2007</v>
      </c>
      <c r="N405">
        <v>2006</v>
      </c>
      <c r="P405" s="1">
        <v>41852</v>
      </c>
      <c r="S405" t="s">
        <v>43</v>
      </c>
      <c r="W405">
        <v>1</v>
      </c>
      <c r="Z405">
        <v>0</v>
      </c>
    </row>
    <row r="406" spans="1:26" x14ac:dyDescent="0.3">
      <c r="A406">
        <v>2</v>
      </c>
      <c r="B406" t="s">
        <v>1154</v>
      </c>
      <c r="C406" t="s">
        <v>1059</v>
      </c>
      <c r="D406" t="s">
        <v>1060</v>
      </c>
      <c r="E406" t="s">
        <v>1143</v>
      </c>
      <c r="F406" t="str">
        <f>""</f>
        <v/>
      </c>
      <c r="G406" t="str">
        <f>""</f>
        <v/>
      </c>
      <c r="H406">
        <v>5</v>
      </c>
      <c r="I406">
        <v>4.5</v>
      </c>
      <c r="J406" t="s">
        <v>1155</v>
      </c>
      <c r="K406" t="s">
        <v>102</v>
      </c>
      <c r="L406">
        <v>870</v>
      </c>
      <c r="M406">
        <v>2004</v>
      </c>
      <c r="N406">
        <v>2003</v>
      </c>
      <c r="P406" s="1">
        <v>41852</v>
      </c>
      <c r="S406" t="s">
        <v>43</v>
      </c>
      <c r="W406">
        <v>1</v>
      </c>
      <c r="Z406">
        <v>0</v>
      </c>
    </row>
    <row r="407" spans="1:26" x14ac:dyDescent="0.3">
      <c r="A407">
        <v>927979</v>
      </c>
      <c r="B407" t="s">
        <v>1156</v>
      </c>
      <c r="C407" t="s">
        <v>173</v>
      </c>
      <c r="D407" t="s">
        <v>174</v>
      </c>
      <c r="F407" t="str">
        <f>"0451461894"</f>
        <v>0451461894</v>
      </c>
      <c r="G407" t="str">
        <f>"9780451461896"</f>
        <v>9780451461896</v>
      </c>
      <c r="H407">
        <v>5</v>
      </c>
      <c r="I407">
        <v>4.4400000000000004</v>
      </c>
      <c r="J407" t="s">
        <v>218</v>
      </c>
      <c r="K407" t="s">
        <v>42</v>
      </c>
      <c r="L407">
        <v>545</v>
      </c>
      <c r="M407">
        <v>2008</v>
      </c>
      <c r="N407">
        <v>2008</v>
      </c>
      <c r="P407" s="1">
        <v>41852</v>
      </c>
      <c r="S407" t="s">
        <v>43</v>
      </c>
      <c r="W407">
        <v>1</v>
      </c>
      <c r="Z407">
        <v>0</v>
      </c>
    </row>
    <row r="408" spans="1:26" x14ac:dyDescent="0.3">
      <c r="A408">
        <v>13603717</v>
      </c>
      <c r="B408" t="s">
        <v>1157</v>
      </c>
      <c r="C408" t="s">
        <v>709</v>
      </c>
      <c r="D408" t="s">
        <v>710</v>
      </c>
      <c r="F408" t="str">
        <f>""</f>
        <v/>
      </c>
      <c r="G408" t="str">
        <f>""</f>
        <v/>
      </c>
      <c r="H408">
        <v>0</v>
      </c>
      <c r="I408">
        <v>4.22</v>
      </c>
      <c r="J408" t="s">
        <v>1158</v>
      </c>
      <c r="K408" t="s">
        <v>57</v>
      </c>
      <c r="L408">
        <v>238</v>
      </c>
      <c r="M408">
        <v>2012</v>
      </c>
      <c r="N408">
        <v>2012</v>
      </c>
      <c r="P408" s="1">
        <v>41852</v>
      </c>
      <c r="Q408" t="s">
        <v>36</v>
      </c>
      <c r="R408" t="s">
        <v>1159</v>
      </c>
      <c r="S408" t="s">
        <v>36</v>
      </c>
      <c r="W408">
        <v>0</v>
      </c>
      <c r="Z408">
        <v>0</v>
      </c>
    </row>
    <row r="409" spans="1:26" x14ac:dyDescent="0.3">
      <c r="A409">
        <v>13314945</v>
      </c>
      <c r="B409" t="s">
        <v>1160</v>
      </c>
      <c r="C409" t="s">
        <v>709</v>
      </c>
      <c r="D409" t="s">
        <v>710</v>
      </c>
      <c r="F409" t="str">
        <f>""</f>
        <v/>
      </c>
      <c r="G409" t="str">
        <f>""</f>
        <v/>
      </c>
      <c r="H409">
        <v>0</v>
      </c>
      <c r="I409">
        <v>4.3499999999999996</v>
      </c>
      <c r="J409" t="s">
        <v>1158</v>
      </c>
      <c r="K409" t="s">
        <v>57</v>
      </c>
      <c r="L409">
        <v>166</v>
      </c>
      <c r="M409">
        <v>2011</v>
      </c>
      <c r="N409">
        <v>2011</v>
      </c>
      <c r="P409" s="1">
        <v>41852</v>
      </c>
      <c r="Q409" t="s">
        <v>36</v>
      </c>
      <c r="R409" t="s">
        <v>1161</v>
      </c>
      <c r="S409" t="s">
        <v>36</v>
      </c>
      <c r="W409">
        <v>0</v>
      </c>
      <c r="Z409">
        <v>0</v>
      </c>
    </row>
    <row r="410" spans="1:26" x14ac:dyDescent="0.3">
      <c r="A410">
        <v>13202200</v>
      </c>
      <c r="B410" t="s">
        <v>1162</v>
      </c>
      <c r="C410" t="s">
        <v>709</v>
      </c>
      <c r="D410" t="s">
        <v>710</v>
      </c>
      <c r="E410" t="s">
        <v>1163</v>
      </c>
      <c r="F410" t="str">
        <f>""</f>
        <v/>
      </c>
      <c r="G410" t="str">
        <f>""</f>
        <v/>
      </c>
      <c r="H410">
        <v>0</v>
      </c>
      <c r="I410">
        <v>4.34</v>
      </c>
      <c r="J410" t="s">
        <v>1158</v>
      </c>
      <c r="K410" t="s">
        <v>57</v>
      </c>
      <c r="L410">
        <v>122</v>
      </c>
      <c r="M410">
        <v>2011</v>
      </c>
      <c r="N410">
        <v>2011</v>
      </c>
      <c r="P410" s="1">
        <v>41852</v>
      </c>
      <c r="Q410" t="s">
        <v>36</v>
      </c>
      <c r="R410" t="s">
        <v>1164</v>
      </c>
      <c r="S410" t="s">
        <v>36</v>
      </c>
      <c r="W410">
        <v>0</v>
      </c>
      <c r="Z410">
        <v>0</v>
      </c>
    </row>
    <row r="411" spans="1:26" x14ac:dyDescent="0.3">
      <c r="A411">
        <v>13178410</v>
      </c>
      <c r="B411" t="s">
        <v>1165</v>
      </c>
      <c r="C411" t="s">
        <v>709</v>
      </c>
      <c r="D411" t="s">
        <v>710</v>
      </c>
      <c r="F411" t="str">
        <f>""</f>
        <v/>
      </c>
      <c r="G411" t="str">
        <f>""</f>
        <v/>
      </c>
      <c r="H411">
        <v>0</v>
      </c>
      <c r="I411">
        <v>4.1500000000000004</v>
      </c>
      <c r="J411" t="s">
        <v>1158</v>
      </c>
      <c r="K411" t="s">
        <v>57</v>
      </c>
      <c r="L411">
        <v>106</v>
      </c>
      <c r="M411">
        <v>2011</v>
      </c>
      <c r="N411">
        <v>2011</v>
      </c>
      <c r="P411" s="1">
        <v>41852</v>
      </c>
      <c r="Q411" t="s">
        <v>36</v>
      </c>
      <c r="R411" t="s">
        <v>1166</v>
      </c>
      <c r="S411" t="s">
        <v>36</v>
      </c>
      <c r="W411">
        <v>0</v>
      </c>
      <c r="Z411">
        <v>0</v>
      </c>
    </row>
    <row r="412" spans="1:26" x14ac:dyDescent="0.3">
      <c r="A412">
        <v>12287209</v>
      </c>
      <c r="B412" t="s">
        <v>1167</v>
      </c>
      <c r="C412" t="s">
        <v>709</v>
      </c>
      <c r="D412" t="s">
        <v>710</v>
      </c>
      <c r="F412" t="str">
        <f>""</f>
        <v/>
      </c>
      <c r="G412" t="str">
        <f>""</f>
        <v/>
      </c>
      <c r="H412">
        <v>0</v>
      </c>
      <c r="I412">
        <v>4.12</v>
      </c>
      <c r="J412" t="s">
        <v>1168</v>
      </c>
      <c r="K412" t="s">
        <v>57</v>
      </c>
      <c r="L412">
        <v>58</v>
      </c>
      <c r="M412">
        <v>2011</v>
      </c>
      <c r="N412">
        <v>2011</v>
      </c>
      <c r="P412" s="1">
        <v>41852</v>
      </c>
      <c r="Q412" t="s">
        <v>36</v>
      </c>
      <c r="R412" t="s">
        <v>1169</v>
      </c>
      <c r="S412" t="s">
        <v>36</v>
      </c>
      <c r="W412">
        <v>0</v>
      </c>
      <c r="Z412">
        <v>0</v>
      </c>
    </row>
    <row r="413" spans="1:26" x14ac:dyDescent="0.3">
      <c r="A413">
        <v>17855756</v>
      </c>
      <c r="B413" t="s">
        <v>1170</v>
      </c>
      <c r="C413" t="s">
        <v>709</v>
      </c>
      <c r="D413" t="s">
        <v>710</v>
      </c>
      <c r="F413" t="str">
        <f>"1490904387"</f>
        <v>1490904387</v>
      </c>
      <c r="G413" t="str">
        <f>"9781490904382"</f>
        <v>9781490904382</v>
      </c>
      <c r="H413">
        <v>0</v>
      </c>
      <c r="I413">
        <v>4.25</v>
      </c>
      <c r="J413" t="s">
        <v>1158</v>
      </c>
      <c r="K413" t="s">
        <v>102</v>
      </c>
      <c r="L413">
        <v>458</v>
      </c>
      <c r="M413">
        <v>2013</v>
      </c>
      <c r="N413">
        <v>2013</v>
      </c>
      <c r="P413" s="1">
        <v>41852</v>
      </c>
      <c r="Q413" t="s">
        <v>36</v>
      </c>
      <c r="R413" t="s">
        <v>1171</v>
      </c>
      <c r="S413" t="s">
        <v>36</v>
      </c>
      <c r="W413">
        <v>0</v>
      </c>
      <c r="Z413">
        <v>0</v>
      </c>
    </row>
    <row r="414" spans="1:26" x14ac:dyDescent="0.3">
      <c r="A414">
        <v>13453029</v>
      </c>
      <c r="B414" t="s">
        <v>1172</v>
      </c>
      <c r="C414" t="s">
        <v>709</v>
      </c>
      <c r="D414" t="s">
        <v>710</v>
      </c>
      <c r="F414" t="str">
        <f>""</f>
        <v/>
      </c>
      <c r="G414" t="str">
        <f>""</f>
        <v/>
      </c>
      <c r="H414">
        <v>3</v>
      </c>
      <c r="I414">
        <v>4.21</v>
      </c>
      <c r="J414" t="s">
        <v>1158</v>
      </c>
      <c r="K414" t="s">
        <v>57</v>
      </c>
      <c r="L414">
        <v>509</v>
      </c>
      <c r="M414">
        <v>2012</v>
      </c>
      <c r="N414">
        <v>2012</v>
      </c>
      <c r="P414" s="1">
        <v>41282</v>
      </c>
      <c r="S414" t="s">
        <v>43</v>
      </c>
      <c r="W414">
        <v>1</v>
      </c>
      <c r="Z414">
        <v>0</v>
      </c>
    </row>
    <row r="415" spans="1:26" x14ac:dyDescent="0.3">
      <c r="A415">
        <v>13425846</v>
      </c>
      <c r="B415" t="s">
        <v>1173</v>
      </c>
      <c r="C415" t="s">
        <v>709</v>
      </c>
      <c r="D415" t="s">
        <v>710</v>
      </c>
      <c r="F415" t="str">
        <f>""</f>
        <v/>
      </c>
      <c r="G415" t="str">
        <f>""</f>
        <v/>
      </c>
      <c r="H415">
        <v>0</v>
      </c>
      <c r="I415">
        <v>4.3499999999999996</v>
      </c>
      <c r="J415" t="s">
        <v>1174</v>
      </c>
      <c r="K415" t="s">
        <v>57</v>
      </c>
      <c r="L415">
        <v>254</v>
      </c>
      <c r="M415">
        <v>2012</v>
      </c>
      <c r="N415">
        <v>2012</v>
      </c>
      <c r="P415" s="1">
        <v>41852</v>
      </c>
      <c r="Q415" t="s">
        <v>36</v>
      </c>
      <c r="R415" t="s">
        <v>1175</v>
      </c>
      <c r="S415" t="s">
        <v>36</v>
      </c>
      <c r="W415">
        <v>0</v>
      </c>
      <c r="Z415">
        <v>0</v>
      </c>
    </row>
    <row r="416" spans="1:26" x14ac:dyDescent="0.3">
      <c r="A416">
        <v>17683</v>
      </c>
      <c r="B416" t="s">
        <v>1176</v>
      </c>
      <c r="C416" t="s">
        <v>173</v>
      </c>
      <c r="D416" t="s">
        <v>174</v>
      </c>
      <c r="F416" t="str">
        <f>"045146091X"</f>
        <v>045146091X</v>
      </c>
      <c r="G416" t="str">
        <f>"9780451460912"</f>
        <v>9780451460912</v>
      </c>
      <c r="H416">
        <v>5</v>
      </c>
      <c r="I416">
        <v>4.4000000000000004</v>
      </c>
      <c r="J416" t="s">
        <v>218</v>
      </c>
      <c r="K416" t="s">
        <v>257</v>
      </c>
      <c r="L416">
        <v>517</v>
      </c>
      <c r="M416">
        <v>2006</v>
      </c>
      <c r="N416">
        <v>2005</v>
      </c>
      <c r="P416" s="1">
        <v>41852</v>
      </c>
      <c r="S416" t="s">
        <v>43</v>
      </c>
      <c r="W416">
        <v>1</v>
      </c>
      <c r="Z416">
        <v>0</v>
      </c>
    </row>
    <row r="417" spans="1:26" x14ac:dyDescent="0.3">
      <c r="A417">
        <v>3475161</v>
      </c>
      <c r="B417" t="s">
        <v>1177</v>
      </c>
      <c r="C417" t="s">
        <v>173</v>
      </c>
      <c r="D417" t="s">
        <v>174</v>
      </c>
      <c r="F417" t="str">
        <f>"0451462564"</f>
        <v>0451462564</v>
      </c>
      <c r="G417" t="str">
        <f>"9780451462565"</f>
        <v>9780451462565</v>
      </c>
      <c r="H417">
        <v>5</v>
      </c>
      <c r="I417">
        <v>4.43</v>
      </c>
      <c r="J417" t="s">
        <v>218</v>
      </c>
      <c r="K417" t="s">
        <v>42</v>
      </c>
      <c r="L417">
        <v>418</v>
      </c>
      <c r="M417">
        <v>2009</v>
      </c>
      <c r="N417">
        <v>2009</v>
      </c>
      <c r="P417" s="1">
        <v>41852</v>
      </c>
      <c r="S417" t="s">
        <v>43</v>
      </c>
      <c r="W417">
        <v>1</v>
      </c>
      <c r="Z417">
        <v>0</v>
      </c>
    </row>
    <row r="418" spans="1:26" x14ac:dyDescent="0.3">
      <c r="A418">
        <v>13496</v>
      </c>
      <c r="B418" t="s">
        <v>1178</v>
      </c>
      <c r="C418" t="s">
        <v>734</v>
      </c>
      <c r="D418" t="s">
        <v>735</v>
      </c>
      <c r="F418" t="str">
        <f>"0553588486"</f>
        <v>0553588486</v>
      </c>
      <c r="G418" t="str">
        <f>"9780553588484"</f>
        <v>9780553588484</v>
      </c>
      <c r="H418">
        <v>5</v>
      </c>
      <c r="I418">
        <v>4.4400000000000004</v>
      </c>
      <c r="J418" t="s">
        <v>1141</v>
      </c>
      <c r="K418" t="s">
        <v>257</v>
      </c>
      <c r="L418">
        <v>835</v>
      </c>
      <c r="M418">
        <v>2005</v>
      </c>
      <c r="N418">
        <v>1996</v>
      </c>
      <c r="P418" s="1">
        <v>41852</v>
      </c>
      <c r="S418" t="s">
        <v>43</v>
      </c>
      <c r="W418">
        <v>1</v>
      </c>
      <c r="Z418">
        <v>0</v>
      </c>
    </row>
    <row r="419" spans="1:26" x14ac:dyDescent="0.3">
      <c r="A419">
        <v>5</v>
      </c>
      <c r="B419" t="s">
        <v>1179</v>
      </c>
      <c r="C419" t="s">
        <v>1059</v>
      </c>
      <c r="D419" t="s">
        <v>1060</v>
      </c>
      <c r="E419" t="s">
        <v>1143</v>
      </c>
      <c r="F419" t="str">
        <f>"043965548X"</f>
        <v>043965548X</v>
      </c>
      <c r="G419" t="str">
        <f>"9780439655484"</f>
        <v>9780439655484</v>
      </c>
      <c r="H419">
        <v>5</v>
      </c>
      <c r="I419">
        <v>4.58</v>
      </c>
      <c r="J419" t="s">
        <v>1155</v>
      </c>
      <c r="K419" t="s">
        <v>257</v>
      </c>
      <c r="L419">
        <v>435</v>
      </c>
      <c r="M419">
        <v>2004</v>
      </c>
      <c r="N419">
        <v>1999</v>
      </c>
      <c r="P419" s="1">
        <v>41852</v>
      </c>
      <c r="S419" t="s">
        <v>43</v>
      </c>
      <c r="W419">
        <v>1</v>
      </c>
      <c r="Z419">
        <v>0</v>
      </c>
    </row>
    <row r="420" spans="1:26" x14ac:dyDescent="0.3">
      <c r="A420">
        <v>6</v>
      </c>
      <c r="B420" t="s">
        <v>1180</v>
      </c>
      <c r="C420" t="s">
        <v>1059</v>
      </c>
      <c r="D420" t="s">
        <v>1060</v>
      </c>
      <c r="E420" t="s">
        <v>1143</v>
      </c>
      <c r="F420" t="str">
        <f>""</f>
        <v/>
      </c>
      <c r="G420" t="str">
        <f>""</f>
        <v/>
      </c>
      <c r="H420">
        <v>5</v>
      </c>
      <c r="I420">
        <v>4.57</v>
      </c>
      <c r="J420" t="s">
        <v>1181</v>
      </c>
      <c r="K420" t="s">
        <v>102</v>
      </c>
      <c r="L420">
        <v>734</v>
      </c>
      <c r="M420">
        <v>2002</v>
      </c>
      <c r="N420">
        <v>2000</v>
      </c>
      <c r="P420" s="1">
        <v>41852</v>
      </c>
      <c r="S420" t="s">
        <v>43</v>
      </c>
      <c r="W420">
        <v>1</v>
      </c>
      <c r="Z420">
        <v>0</v>
      </c>
    </row>
    <row r="421" spans="1:26" x14ac:dyDescent="0.3">
      <c r="A421">
        <v>3019950</v>
      </c>
      <c r="B421" t="s">
        <v>1182</v>
      </c>
      <c r="C421" t="s">
        <v>1183</v>
      </c>
      <c r="D421" t="s">
        <v>1184</v>
      </c>
      <c r="F421" t="str">
        <f>"0330441906"</f>
        <v>0330441906</v>
      </c>
      <c r="G421" t="str">
        <f>"9780330441902"</f>
        <v>9780330441902</v>
      </c>
      <c r="H421">
        <v>0</v>
      </c>
      <c r="I421">
        <v>3.74</v>
      </c>
      <c r="J421" t="s">
        <v>1185</v>
      </c>
      <c r="K421" t="s">
        <v>102</v>
      </c>
      <c r="L421">
        <v>336</v>
      </c>
      <c r="M421">
        <v>2008</v>
      </c>
      <c r="N421">
        <v>2007</v>
      </c>
      <c r="P421" s="1">
        <v>41852</v>
      </c>
      <c r="Q421" t="s">
        <v>36</v>
      </c>
      <c r="R421" t="s">
        <v>1186</v>
      </c>
      <c r="S421" t="s">
        <v>36</v>
      </c>
      <c r="W421">
        <v>0</v>
      </c>
      <c r="Z421">
        <v>0</v>
      </c>
    </row>
    <row r="422" spans="1:26" x14ac:dyDescent="0.3">
      <c r="A422">
        <v>710437</v>
      </c>
      <c r="B422" t="s">
        <v>1187</v>
      </c>
      <c r="C422" t="s">
        <v>1183</v>
      </c>
      <c r="D422" t="s">
        <v>1184</v>
      </c>
      <c r="F422" t="str">
        <f>"0060876271"</f>
        <v>0060876271</v>
      </c>
      <c r="G422" t="str">
        <f>"9780060876272"</f>
        <v>9780060876272</v>
      </c>
      <c r="H422">
        <v>0</v>
      </c>
      <c r="I422">
        <v>3.78</v>
      </c>
      <c r="J422" t="s">
        <v>137</v>
      </c>
      <c r="K422" t="s">
        <v>42</v>
      </c>
      <c r="L422">
        <v>486</v>
      </c>
      <c r="M422">
        <v>2006</v>
      </c>
      <c r="N422">
        <v>2005</v>
      </c>
      <c r="P422" s="1">
        <v>41852</v>
      </c>
      <c r="Q422" t="s">
        <v>36</v>
      </c>
      <c r="R422" t="s">
        <v>1188</v>
      </c>
      <c r="S422" t="s">
        <v>36</v>
      </c>
      <c r="W422">
        <v>0</v>
      </c>
      <c r="Z422">
        <v>0</v>
      </c>
    </row>
    <row r="423" spans="1:26" x14ac:dyDescent="0.3">
      <c r="A423">
        <v>7064529</v>
      </c>
      <c r="B423" t="s">
        <v>1189</v>
      </c>
      <c r="C423" t="s">
        <v>1183</v>
      </c>
      <c r="D423" t="s">
        <v>1184</v>
      </c>
      <c r="F423" t="str">
        <f>"0330441914"</f>
        <v>0330441914</v>
      </c>
      <c r="G423" t="str">
        <f>"9780330441919"</f>
        <v>9780330441919</v>
      </c>
      <c r="H423">
        <v>0</v>
      </c>
      <c r="I423">
        <v>4.13</v>
      </c>
      <c r="J423" t="s">
        <v>1190</v>
      </c>
      <c r="K423" t="s">
        <v>102</v>
      </c>
      <c r="L423">
        <v>498</v>
      </c>
      <c r="M423">
        <v>2010</v>
      </c>
      <c r="N423">
        <v>2008</v>
      </c>
      <c r="P423" s="1">
        <v>41852</v>
      </c>
      <c r="Q423" t="s">
        <v>36</v>
      </c>
      <c r="R423" t="s">
        <v>1191</v>
      </c>
      <c r="S423" t="s">
        <v>36</v>
      </c>
      <c r="W423">
        <v>0</v>
      </c>
      <c r="Z423">
        <v>0</v>
      </c>
    </row>
    <row r="424" spans="1:26" x14ac:dyDescent="0.3">
      <c r="A424">
        <v>20572455</v>
      </c>
      <c r="B424" t="s">
        <v>1192</v>
      </c>
      <c r="C424" t="s">
        <v>173</v>
      </c>
      <c r="D424" t="s">
        <v>174</v>
      </c>
      <c r="F424" t="str">
        <f>""</f>
        <v/>
      </c>
      <c r="G424" t="str">
        <f>""</f>
        <v/>
      </c>
      <c r="H424">
        <v>5</v>
      </c>
      <c r="I424">
        <v>4.5599999999999996</v>
      </c>
      <c r="J424" t="s">
        <v>218</v>
      </c>
      <c r="K424" t="s">
        <v>57</v>
      </c>
      <c r="L424">
        <v>610</v>
      </c>
      <c r="M424">
        <v>2014</v>
      </c>
      <c r="N424">
        <v>2014</v>
      </c>
      <c r="P424" s="1">
        <v>41852</v>
      </c>
      <c r="S424" t="s">
        <v>43</v>
      </c>
      <c r="W424">
        <v>1</v>
      </c>
      <c r="Z424">
        <v>0</v>
      </c>
    </row>
    <row r="425" spans="1:26" x14ac:dyDescent="0.3">
      <c r="A425">
        <v>9601799</v>
      </c>
      <c r="B425" t="s">
        <v>1193</v>
      </c>
      <c r="C425" t="s">
        <v>1194</v>
      </c>
      <c r="D425" t="s">
        <v>1195</v>
      </c>
      <c r="F425" t="str">
        <f>"1453706011"</f>
        <v>1453706011</v>
      </c>
      <c r="G425" t="str">
        <f>"9781453706015"</f>
        <v>9781453706015</v>
      </c>
      <c r="H425">
        <v>0</v>
      </c>
      <c r="I425">
        <v>3.75</v>
      </c>
      <c r="J425" t="s">
        <v>335</v>
      </c>
      <c r="K425" t="s">
        <v>102</v>
      </c>
      <c r="L425">
        <v>386</v>
      </c>
      <c r="M425">
        <v>2010</v>
      </c>
      <c r="N425">
        <v>2010</v>
      </c>
      <c r="P425" s="1">
        <v>41852</v>
      </c>
      <c r="Q425" t="s">
        <v>36</v>
      </c>
      <c r="R425" t="s">
        <v>1196</v>
      </c>
      <c r="S425" t="s">
        <v>36</v>
      </c>
      <c r="W425">
        <v>0</v>
      </c>
      <c r="Z425">
        <v>0</v>
      </c>
    </row>
    <row r="426" spans="1:26" x14ac:dyDescent="0.3">
      <c r="A426">
        <v>1096639</v>
      </c>
      <c r="B426" t="s">
        <v>1197</v>
      </c>
      <c r="C426" t="s">
        <v>1198</v>
      </c>
      <c r="D426" t="s">
        <v>1199</v>
      </c>
      <c r="F426" t="str">
        <f>"1419607952"</f>
        <v>1419607952</v>
      </c>
      <c r="G426" t="str">
        <f>"9781419607950"</f>
        <v>9781419607950</v>
      </c>
      <c r="H426">
        <v>0</v>
      </c>
      <c r="I426">
        <v>3.76</v>
      </c>
      <c r="J426" t="s">
        <v>1200</v>
      </c>
      <c r="K426" t="s">
        <v>102</v>
      </c>
      <c r="L426">
        <v>368</v>
      </c>
      <c r="M426">
        <v>2005</v>
      </c>
      <c r="N426">
        <v>2005</v>
      </c>
      <c r="P426" s="1">
        <v>41852</v>
      </c>
      <c r="Q426" t="s">
        <v>36</v>
      </c>
      <c r="R426" t="s">
        <v>1201</v>
      </c>
      <c r="S426" t="s">
        <v>36</v>
      </c>
      <c r="W426">
        <v>0</v>
      </c>
      <c r="Z426">
        <v>0</v>
      </c>
    </row>
    <row r="427" spans="1:26" x14ac:dyDescent="0.3">
      <c r="A427">
        <v>18405221</v>
      </c>
      <c r="B427" t="s">
        <v>1202</v>
      </c>
      <c r="C427" t="s">
        <v>364</v>
      </c>
      <c r="D427" t="s">
        <v>365</v>
      </c>
      <c r="F427" t="str">
        <f>""</f>
        <v/>
      </c>
      <c r="G427" t="str">
        <f>""</f>
        <v/>
      </c>
      <c r="H427">
        <v>0</v>
      </c>
      <c r="I427">
        <v>3.69</v>
      </c>
      <c r="J427" t="s">
        <v>175</v>
      </c>
      <c r="K427" t="s">
        <v>57</v>
      </c>
      <c r="L427">
        <v>643</v>
      </c>
      <c r="M427">
        <v>2015</v>
      </c>
      <c r="N427">
        <v>2015</v>
      </c>
      <c r="P427" s="1">
        <v>41851</v>
      </c>
      <c r="Q427" t="s">
        <v>36</v>
      </c>
      <c r="R427" t="s">
        <v>1203</v>
      </c>
      <c r="S427" t="s">
        <v>36</v>
      </c>
      <c r="W427">
        <v>0</v>
      </c>
      <c r="Z427">
        <v>0</v>
      </c>
    </row>
    <row r="428" spans="1:26" x14ac:dyDescent="0.3">
      <c r="A428">
        <v>50027</v>
      </c>
      <c r="B428" t="s">
        <v>1204</v>
      </c>
      <c r="C428" t="s">
        <v>1205</v>
      </c>
      <c r="D428" t="s">
        <v>1206</v>
      </c>
      <c r="F428" t="str">
        <f>""</f>
        <v/>
      </c>
      <c r="G428" t="str">
        <f>""</f>
        <v/>
      </c>
      <c r="H428">
        <v>0</v>
      </c>
      <c r="I428">
        <v>4.25</v>
      </c>
      <c r="J428" t="s">
        <v>1207</v>
      </c>
      <c r="K428" t="s">
        <v>257</v>
      </c>
      <c r="L428">
        <v>343</v>
      </c>
      <c r="M428">
        <v>2005</v>
      </c>
      <c r="N428">
        <v>1990</v>
      </c>
      <c r="P428" s="1">
        <v>41849</v>
      </c>
      <c r="Q428" t="s">
        <v>36</v>
      </c>
      <c r="R428" t="s">
        <v>1208</v>
      </c>
      <c r="S428" t="s">
        <v>36</v>
      </c>
      <c r="W428">
        <v>0</v>
      </c>
      <c r="Z428">
        <v>0</v>
      </c>
    </row>
    <row r="429" spans="1:26" x14ac:dyDescent="0.3">
      <c r="A429">
        <v>20637206</v>
      </c>
      <c r="B429" t="s">
        <v>1209</v>
      </c>
      <c r="C429" t="s">
        <v>200</v>
      </c>
      <c r="D429" t="s">
        <v>201</v>
      </c>
      <c r="F429" t="str">
        <f>""</f>
        <v/>
      </c>
      <c r="G429" t="str">
        <f>""</f>
        <v/>
      </c>
      <c r="H429">
        <v>3</v>
      </c>
      <c r="I429">
        <v>4.16</v>
      </c>
      <c r="K429" t="s">
        <v>57</v>
      </c>
      <c r="L429">
        <v>33</v>
      </c>
      <c r="M429">
        <v>2014</v>
      </c>
      <c r="N429">
        <v>2014</v>
      </c>
      <c r="P429" s="1">
        <v>41794</v>
      </c>
      <c r="S429" t="s">
        <v>43</v>
      </c>
      <c r="W429">
        <v>1</v>
      </c>
      <c r="Z429">
        <v>0</v>
      </c>
    </row>
    <row r="430" spans="1:26" x14ac:dyDescent="0.3">
      <c r="A430">
        <v>2890090</v>
      </c>
      <c r="B430" t="s">
        <v>1210</v>
      </c>
      <c r="C430" t="s">
        <v>1211</v>
      </c>
      <c r="D430" t="s">
        <v>1212</v>
      </c>
      <c r="F430" t="str">
        <f>"0553804693"</f>
        <v>0553804693</v>
      </c>
      <c r="G430" t="str">
        <f>"9780553804690"</f>
        <v>9780553804690</v>
      </c>
      <c r="H430">
        <v>4</v>
      </c>
      <c r="I430">
        <v>4.21</v>
      </c>
      <c r="J430" t="s">
        <v>223</v>
      </c>
      <c r="K430" t="s">
        <v>42</v>
      </c>
      <c r="L430">
        <v>650</v>
      </c>
      <c r="M430">
        <v>2013</v>
      </c>
      <c r="N430">
        <v>2013</v>
      </c>
      <c r="O430" s="1">
        <v>41849</v>
      </c>
      <c r="P430" s="1">
        <v>41836</v>
      </c>
      <c r="S430" t="s">
        <v>43</v>
      </c>
      <c r="W430">
        <v>1</v>
      </c>
      <c r="Z430">
        <v>0</v>
      </c>
    </row>
    <row r="431" spans="1:26" x14ac:dyDescent="0.3">
      <c r="A431">
        <v>6736971</v>
      </c>
      <c r="B431" t="s">
        <v>1213</v>
      </c>
      <c r="C431" t="s">
        <v>1214</v>
      </c>
      <c r="D431" t="s">
        <v>1215</v>
      </c>
      <c r="F431" t="str">
        <f>"0345503813"</f>
        <v>0345503813</v>
      </c>
      <c r="G431" t="str">
        <f>"9780345503817"</f>
        <v>9780345503817</v>
      </c>
      <c r="H431">
        <v>0</v>
      </c>
      <c r="I431">
        <v>4.2</v>
      </c>
      <c r="J431" t="s">
        <v>223</v>
      </c>
      <c r="K431" t="s">
        <v>42</v>
      </c>
      <c r="L431">
        <v>579</v>
      </c>
      <c r="M431">
        <v>2010</v>
      </c>
      <c r="N431">
        <v>2010</v>
      </c>
      <c r="P431" s="1">
        <v>41282</v>
      </c>
      <c r="Q431" t="s">
        <v>36</v>
      </c>
      <c r="R431" t="s">
        <v>1216</v>
      </c>
      <c r="S431" t="s">
        <v>36</v>
      </c>
      <c r="W431">
        <v>0</v>
      </c>
      <c r="Z431">
        <v>0</v>
      </c>
    </row>
    <row r="432" spans="1:26" x14ac:dyDescent="0.3">
      <c r="A432">
        <v>16280678</v>
      </c>
      <c r="B432" t="s">
        <v>1217</v>
      </c>
      <c r="C432" t="s">
        <v>200</v>
      </c>
      <c r="D432" t="s">
        <v>201</v>
      </c>
      <c r="F432" t="str">
        <f>"0345548485"</f>
        <v>0345548485</v>
      </c>
      <c r="G432" t="str">
        <f>"9780345548481"</f>
        <v>9780345548481</v>
      </c>
      <c r="H432">
        <v>3</v>
      </c>
      <c r="I432">
        <v>4.28</v>
      </c>
      <c r="J432" t="s">
        <v>223</v>
      </c>
      <c r="K432" t="s">
        <v>42</v>
      </c>
      <c r="L432">
        <v>352</v>
      </c>
      <c r="M432">
        <v>2014</v>
      </c>
      <c r="N432">
        <v>2014</v>
      </c>
      <c r="P432" s="1">
        <v>41794</v>
      </c>
      <c r="S432" t="s">
        <v>43</v>
      </c>
      <c r="W432">
        <v>1</v>
      </c>
      <c r="Z432">
        <v>0</v>
      </c>
    </row>
    <row r="433" spans="1:26" x14ac:dyDescent="0.3">
      <c r="A433">
        <v>311864</v>
      </c>
      <c r="B433" t="s">
        <v>1218</v>
      </c>
      <c r="C433" t="s">
        <v>1219</v>
      </c>
      <c r="D433" t="s">
        <v>1220</v>
      </c>
      <c r="F433" t="str">
        <f>"0345421450"</f>
        <v>0345421450</v>
      </c>
      <c r="G433" t="str">
        <f>"9780345421456"</f>
        <v>9780345421456</v>
      </c>
      <c r="H433">
        <v>0</v>
      </c>
      <c r="I433">
        <v>4.09</v>
      </c>
      <c r="J433" t="s">
        <v>223</v>
      </c>
      <c r="K433" t="s">
        <v>257</v>
      </c>
      <c r="L433">
        <v>545</v>
      </c>
      <c r="M433">
        <v>1999</v>
      </c>
      <c r="N433">
        <v>1998</v>
      </c>
      <c r="P433" s="1">
        <v>41836</v>
      </c>
      <c r="Q433" t="s">
        <v>36</v>
      </c>
      <c r="R433" t="s">
        <v>1221</v>
      </c>
      <c r="S433" t="s">
        <v>36</v>
      </c>
      <c r="W433">
        <v>0</v>
      </c>
      <c r="Z433">
        <v>0</v>
      </c>
    </row>
    <row r="434" spans="1:26" x14ac:dyDescent="0.3">
      <c r="A434">
        <v>15998999</v>
      </c>
      <c r="B434" t="s">
        <v>1222</v>
      </c>
      <c r="C434" t="s">
        <v>1211</v>
      </c>
      <c r="D434" t="s">
        <v>1212</v>
      </c>
      <c r="F434" t="str">
        <f>""</f>
        <v/>
      </c>
      <c r="G434" t="str">
        <f>""</f>
        <v/>
      </c>
      <c r="H434">
        <v>0</v>
      </c>
      <c r="I434">
        <v>4.1399999999999997</v>
      </c>
      <c r="K434" t="s">
        <v>42</v>
      </c>
      <c r="P434" s="1">
        <v>41836</v>
      </c>
      <c r="Q434" t="s">
        <v>36</v>
      </c>
      <c r="R434" t="s">
        <v>1223</v>
      </c>
      <c r="S434" t="s">
        <v>36</v>
      </c>
      <c r="W434">
        <v>0</v>
      </c>
      <c r="Z434">
        <v>0</v>
      </c>
    </row>
    <row r="435" spans="1:26" x14ac:dyDescent="0.3">
      <c r="A435">
        <v>15999003</v>
      </c>
      <c r="B435" t="s">
        <v>1224</v>
      </c>
      <c r="C435" t="s">
        <v>1211</v>
      </c>
      <c r="D435" t="s">
        <v>1212</v>
      </c>
      <c r="F435" t="str">
        <f>""</f>
        <v/>
      </c>
      <c r="G435" t="str">
        <f>""</f>
        <v/>
      </c>
      <c r="H435">
        <v>0</v>
      </c>
      <c r="I435">
        <v>3.94</v>
      </c>
      <c r="K435" t="s">
        <v>42</v>
      </c>
      <c r="P435" s="1">
        <v>41836</v>
      </c>
      <c r="Q435" t="s">
        <v>36</v>
      </c>
      <c r="R435" t="s">
        <v>1225</v>
      </c>
      <c r="S435" t="s">
        <v>36</v>
      </c>
      <c r="W435">
        <v>0</v>
      </c>
      <c r="Z435">
        <v>0</v>
      </c>
    </row>
    <row r="436" spans="1:26" x14ac:dyDescent="0.3">
      <c r="A436">
        <v>10626950</v>
      </c>
      <c r="B436" t="s">
        <v>1226</v>
      </c>
      <c r="C436" t="s">
        <v>1211</v>
      </c>
      <c r="D436" t="s">
        <v>1212</v>
      </c>
      <c r="F436" t="str">
        <f>""</f>
        <v/>
      </c>
      <c r="G436" t="str">
        <f>""</f>
        <v/>
      </c>
      <c r="H436">
        <v>0</v>
      </c>
      <c r="I436">
        <v>4.22</v>
      </c>
      <c r="J436" t="s">
        <v>307</v>
      </c>
      <c r="K436" t="s">
        <v>42</v>
      </c>
      <c r="P436" s="1">
        <v>41836</v>
      </c>
      <c r="Q436" t="s">
        <v>36</v>
      </c>
      <c r="R436" t="s">
        <v>1227</v>
      </c>
      <c r="S436" t="s">
        <v>36</v>
      </c>
      <c r="W436">
        <v>0</v>
      </c>
      <c r="Z436">
        <v>0</v>
      </c>
    </row>
    <row r="437" spans="1:26" x14ac:dyDescent="0.3">
      <c r="A437">
        <v>8074907</v>
      </c>
      <c r="B437" t="s">
        <v>1228</v>
      </c>
      <c r="C437" t="s">
        <v>1211</v>
      </c>
      <c r="D437" t="s">
        <v>1212</v>
      </c>
      <c r="F437" t="str">
        <f>"0575079584"</f>
        <v>0575079584</v>
      </c>
      <c r="G437" t="str">
        <f>"9780575079588"</f>
        <v>9780575079588</v>
      </c>
      <c r="H437">
        <v>0</v>
      </c>
      <c r="I437">
        <v>4.3</v>
      </c>
      <c r="J437" t="s">
        <v>307</v>
      </c>
      <c r="K437" t="s">
        <v>42</v>
      </c>
      <c r="L437">
        <v>512</v>
      </c>
      <c r="P437" s="1">
        <v>41836</v>
      </c>
      <c r="Q437" t="s">
        <v>36</v>
      </c>
      <c r="R437" t="s">
        <v>1229</v>
      </c>
      <c r="S437" t="s">
        <v>36</v>
      </c>
      <c r="W437">
        <v>0</v>
      </c>
      <c r="Z437">
        <v>0</v>
      </c>
    </row>
    <row r="438" spans="1:26" x14ac:dyDescent="0.3">
      <c r="A438">
        <v>887877</v>
      </c>
      <c r="B438" t="s">
        <v>1230</v>
      </c>
      <c r="C438" t="s">
        <v>1211</v>
      </c>
      <c r="D438" t="s">
        <v>1212</v>
      </c>
      <c r="F438" t="str">
        <f>"0553804685"</f>
        <v>0553804685</v>
      </c>
      <c r="G438" t="str">
        <f>"9780553804683"</f>
        <v>9780553804683</v>
      </c>
      <c r="H438">
        <v>3</v>
      </c>
      <c r="I438">
        <v>4.2300000000000004</v>
      </c>
      <c r="J438" t="s">
        <v>725</v>
      </c>
      <c r="K438" t="s">
        <v>42</v>
      </c>
      <c r="L438">
        <v>558</v>
      </c>
      <c r="M438">
        <v>2007</v>
      </c>
      <c r="N438">
        <v>2007</v>
      </c>
      <c r="P438" s="1">
        <v>41836</v>
      </c>
      <c r="S438" t="s">
        <v>43</v>
      </c>
      <c r="W438">
        <v>1</v>
      </c>
      <c r="Z438">
        <v>0</v>
      </c>
    </row>
    <row r="439" spans="1:26" x14ac:dyDescent="0.3">
      <c r="A439">
        <v>127455</v>
      </c>
      <c r="B439" t="s">
        <v>1231</v>
      </c>
      <c r="C439" t="s">
        <v>1211</v>
      </c>
      <c r="D439" t="s">
        <v>1212</v>
      </c>
      <c r="F439" t="str">
        <f>"0553804677"</f>
        <v>0553804677</v>
      </c>
      <c r="G439" t="str">
        <f>"9780553804676"</f>
        <v>9780553804676</v>
      </c>
      <c r="H439">
        <v>4</v>
      </c>
      <c r="I439">
        <v>4.28</v>
      </c>
      <c r="J439" t="s">
        <v>725</v>
      </c>
      <c r="K439" t="s">
        <v>42</v>
      </c>
      <c r="L439">
        <v>499</v>
      </c>
      <c r="M439">
        <v>2006</v>
      </c>
      <c r="N439">
        <v>2006</v>
      </c>
      <c r="O439" s="1">
        <v>41836</v>
      </c>
      <c r="P439" s="1">
        <v>41688</v>
      </c>
      <c r="S439" t="s">
        <v>43</v>
      </c>
      <c r="W439">
        <v>1</v>
      </c>
      <c r="Z439">
        <v>0</v>
      </c>
    </row>
    <row r="440" spans="1:26" x14ac:dyDescent="0.3">
      <c r="A440">
        <v>18214414</v>
      </c>
      <c r="B440" t="s">
        <v>1232</v>
      </c>
      <c r="C440" t="s">
        <v>1233</v>
      </c>
      <c r="D440" t="s">
        <v>1234</v>
      </c>
      <c r="F440" t="str">
        <f>"0316206873"</f>
        <v>0316206873</v>
      </c>
      <c r="G440" t="str">
        <f>"9780316206877"</f>
        <v>9780316206877</v>
      </c>
      <c r="H440">
        <v>0</v>
      </c>
      <c r="I440">
        <v>4.04</v>
      </c>
      <c r="J440" t="s">
        <v>1235</v>
      </c>
      <c r="K440" t="s">
        <v>42</v>
      </c>
      <c r="L440">
        <v>456</v>
      </c>
      <c r="M440">
        <v>2014</v>
      </c>
      <c r="N440">
        <v>2014</v>
      </c>
      <c r="P440" s="1">
        <v>41795</v>
      </c>
      <c r="Q440" t="s">
        <v>36</v>
      </c>
      <c r="R440" t="s">
        <v>1236</v>
      </c>
      <c r="S440" t="s">
        <v>36</v>
      </c>
      <c r="W440">
        <v>0</v>
      </c>
      <c r="Z440">
        <v>0</v>
      </c>
    </row>
    <row r="441" spans="1:26" x14ac:dyDescent="0.3">
      <c r="A441">
        <v>16160797</v>
      </c>
      <c r="B441" t="s">
        <v>1237</v>
      </c>
      <c r="C441" t="s">
        <v>1233</v>
      </c>
      <c r="D441" t="s">
        <v>1234</v>
      </c>
      <c r="F441" t="str">
        <f>"0316206849"</f>
        <v>0316206849</v>
      </c>
      <c r="G441" t="str">
        <f>"9780316206846"</f>
        <v>9780316206846</v>
      </c>
      <c r="H441">
        <v>0</v>
      </c>
      <c r="I441">
        <v>3.87</v>
      </c>
      <c r="J441" t="s">
        <v>1235</v>
      </c>
      <c r="K441" t="s">
        <v>42</v>
      </c>
      <c r="L441">
        <v>456</v>
      </c>
      <c r="M441">
        <v>2013</v>
      </c>
      <c r="N441">
        <v>2013</v>
      </c>
      <c r="P441" s="1">
        <v>41795</v>
      </c>
      <c r="Q441" t="s">
        <v>36</v>
      </c>
      <c r="R441" t="s">
        <v>1238</v>
      </c>
      <c r="S441" t="s">
        <v>36</v>
      </c>
      <c r="W441">
        <v>0</v>
      </c>
      <c r="Z441">
        <v>0</v>
      </c>
    </row>
    <row r="442" spans="1:26" x14ac:dyDescent="0.3">
      <c r="A442">
        <v>104089</v>
      </c>
      <c r="B442" t="s">
        <v>1239</v>
      </c>
      <c r="C442" t="s">
        <v>1240</v>
      </c>
      <c r="D442" t="s">
        <v>1241</v>
      </c>
      <c r="F442" t="str">
        <f>"0451457765"</f>
        <v>0451457765</v>
      </c>
      <c r="G442" t="str">
        <f>"9780451457769"</f>
        <v>9780451457769</v>
      </c>
      <c r="H442">
        <v>0</v>
      </c>
      <c r="I442">
        <v>4.08</v>
      </c>
      <c r="J442" t="s">
        <v>218</v>
      </c>
      <c r="K442" t="s">
        <v>102</v>
      </c>
      <c r="L442">
        <v>676</v>
      </c>
      <c r="M442">
        <v>1999</v>
      </c>
      <c r="N442">
        <v>1990</v>
      </c>
      <c r="P442" s="1">
        <v>41794</v>
      </c>
      <c r="Q442" t="s">
        <v>36</v>
      </c>
      <c r="R442" t="s">
        <v>1242</v>
      </c>
      <c r="S442" t="s">
        <v>36</v>
      </c>
      <c r="W442">
        <v>0</v>
      </c>
      <c r="Z442">
        <v>0</v>
      </c>
    </row>
    <row r="443" spans="1:26" x14ac:dyDescent="0.3">
      <c r="A443">
        <v>16280691</v>
      </c>
      <c r="B443" t="s">
        <v>1243</v>
      </c>
      <c r="C443" t="s">
        <v>200</v>
      </c>
      <c r="D443" t="s">
        <v>201</v>
      </c>
      <c r="F443" t="str">
        <f>"034554854X"</f>
        <v>034554854X</v>
      </c>
      <c r="G443" t="str">
        <f>"9780345548542"</f>
        <v>9780345548542</v>
      </c>
      <c r="H443">
        <v>0</v>
      </c>
      <c r="I443">
        <v>3.97</v>
      </c>
      <c r="J443" t="s">
        <v>223</v>
      </c>
      <c r="K443" t="s">
        <v>42</v>
      </c>
      <c r="L443">
        <v>268</v>
      </c>
      <c r="M443">
        <v>2018</v>
      </c>
      <c r="N443">
        <v>2018</v>
      </c>
      <c r="P443" s="1">
        <v>41794</v>
      </c>
      <c r="Q443" t="s">
        <v>36</v>
      </c>
      <c r="R443" t="s">
        <v>1244</v>
      </c>
      <c r="S443" t="s">
        <v>36</v>
      </c>
      <c r="W443">
        <v>0</v>
      </c>
      <c r="Z443">
        <v>0</v>
      </c>
    </row>
    <row r="444" spans="1:26" x14ac:dyDescent="0.3">
      <c r="A444">
        <v>51964</v>
      </c>
      <c r="B444" t="s">
        <v>1245</v>
      </c>
      <c r="C444" t="s">
        <v>604</v>
      </c>
      <c r="D444" t="s">
        <v>605</v>
      </c>
      <c r="F444" t="str">
        <f>"0765348276"</f>
        <v>0765348276</v>
      </c>
      <c r="G444" t="str">
        <f>"9780765348272"</f>
        <v>9780765348272</v>
      </c>
      <c r="H444">
        <v>0</v>
      </c>
      <c r="I444">
        <v>4.2300000000000004</v>
      </c>
      <c r="J444" t="s">
        <v>56</v>
      </c>
      <c r="K444" t="s">
        <v>257</v>
      </c>
      <c r="L444">
        <v>355</v>
      </c>
      <c r="M444">
        <v>2007</v>
      </c>
      <c r="N444">
        <v>2005</v>
      </c>
      <c r="P444" s="1">
        <v>41739</v>
      </c>
      <c r="Q444" t="s">
        <v>36</v>
      </c>
      <c r="R444" t="s">
        <v>1246</v>
      </c>
      <c r="S444" t="s">
        <v>36</v>
      </c>
      <c r="W444">
        <v>0</v>
      </c>
      <c r="Z444">
        <v>0</v>
      </c>
    </row>
    <row r="445" spans="1:26" x14ac:dyDescent="0.3">
      <c r="A445">
        <v>1006596</v>
      </c>
      <c r="B445" t="s">
        <v>1247</v>
      </c>
      <c r="C445" t="s">
        <v>1248</v>
      </c>
      <c r="D445" t="s">
        <v>1249</v>
      </c>
      <c r="F445" t="str">
        <f>"0312977026"</f>
        <v>0312977026</v>
      </c>
      <c r="G445" t="str">
        <f>"9780312977023"</f>
        <v>9780312977023</v>
      </c>
      <c r="H445">
        <v>0</v>
      </c>
      <c r="I445">
        <v>4.09</v>
      </c>
      <c r="J445" t="s">
        <v>1250</v>
      </c>
      <c r="K445" t="s">
        <v>102</v>
      </c>
      <c r="L445">
        <v>256</v>
      </c>
      <c r="M445">
        <v>2001</v>
      </c>
      <c r="N445">
        <v>1995</v>
      </c>
      <c r="P445" s="1">
        <v>41735</v>
      </c>
      <c r="Q445" t="s">
        <v>36</v>
      </c>
      <c r="R445" t="s">
        <v>1251</v>
      </c>
      <c r="S445" t="s">
        <v>36</v>
      </c>
      <c r="W445">
        <v>0</v>
      </c>
      <c r="Z445">
        <v>0</v>
      </c>
    </row>
    <row r="446" spans="1:26" x14ac:dyDescent="0.3">
      <c r="A446">
        <v>338327</v>
      </c>
      <c r="B446" t="s">
        <v>1252</v>
      </c>
      <c r="C446" t="s">
        <v>1253</v>
      </c>
      <c r="D446" t="s">
        <v>1254</v>
      </c>
      <c r="F446" t="str">
        <f>"0765310244"</f>
        <v>0765310244</v>
      </c>
      <c r="G446" t="str">
        <f>"9780765310248"</f>
        <v>9780765310248</v>
      </c>
      <c r="H446">
        <v>0</v>
      </c>
      <c r="I446">
        <v>3.83</v>
      </c>
      <c r="J446" t="s">
        <v>56</v>
      </c>
      <c r="K446" t="s">
        <v>102</v>
      </c>
      <c r="L446">
        <v>470</v>
      </c>
      <c r="M446">
        <v>2004</v>
      </c>
      <c r="N446">
        <v>1989</v>
      </c>
      <c r="P446" s="1">
        <v>41735</v>
      </c>
      <c r="Q446" t="s">
        <v>36</v>
      </c>
      <c r="R446" t="s">
        <v>1255</v>
      </c>
      <c r="S446" t="s">
        <v>36</v>
      </c>
      <c r="W446">
        <v>0</v>
      </c>
      <c r="Z446">
        <v>0</v>
      </c>
    </row>
    <row r="447" spans="1:26" x14ac:dyDescent="0.3">
      <c r="A447">
        <v>13542606</v>
      </c>
      <c r="B447" t="s">
        <v>1256</v>
      </c>
      <c r="C447" t="s">
        <v>590</v>
      </c>
      <c r="D447" t="s">
        <v>591</v>
      </c>
      <c r="F447" t="str">
        <f>"0525952616"</f>
        <v>0525952616</v>
      </c>
      <c r="G447" t="str">
        <f>"9780525952619"</f>
        <v>9780525952619</v>
      </c>
      <c r="H447">
        <v>0</v>
      </c>
      <c r="I447">
        <v>3.97</v>
      </c>
      <c r="J447" t="s">
        <v>592</v>
      </c>
      <c r="K447" t="s">
        <v>42</v>
      </c>
      <c r="L447">
        <v>400</v>
      </c>
      <c r="M447">
        <v>2012</v>
      </c>
      <c r="N447">
        <v>2012</v>
      </c>
      <c r="P447" s="1">
        <v>41711</v>
      </c>
      <c r="Q447" t="s">
        <v>36</v>
      </c>
      <c r="R447" t="s">
        <v>1257</v>
      </c>
      <c r="S447" t="s">
        <v>36</v>
      </c>
      <c r="W447">
        <v>0</v>
      </c>
      <c r="Z447">
        <v>0</v>
      </c>
    </row>
    <row r="448" spans="1:26" x14ac:dyDescent="0.3">
      <c r="A448">
        <v>18114057</v>
      </c>
      <c r="B448" t="s">
        <v>1258</v>
      </c>
      <c r="C448" t="s">
        <v>590</v>
      </c>
      <c r="D448" t="s">
        <v>591</v>
      </c>
      <c r="F448" t="str">
        <f>"0525953183"</f>
        <v>0525953183</v>
      </c>
      <c r="G448" t="str">
        <f>"9780525953180"</f>
        <v>9780525953180</v>
      </c>
      <c r="H448">
        <v>0</v>
      </c>
      <c r="I448">
        <v>3.93</v>
      </c>
      <c r="J448" t="s">
        <v>1259</v>
      </c>
      <c r="K448" t="s">
        <v>42</v>
      </c>
      <c r="L448">
        <v>406</v>
      </c>
      <c r="M448">
        <v>2014</v>
      </c>
      <c r="N448">
        <v>2014</v>
      </c>
      <c r="P448" s="1">
        <v>41711</v>
      </c>
      <c r="Q448" t="s">
        <v>36</v>
      </c>
      <c r="R448" t="s">
        <v>1260</v>
      </c>
      <c r="S448" t="s">
        <v>36</v>
      </c>
      <c r="W448">
        <v>0</v>
      </c>
      <c r="Z448">
        <v>0</v>
      </c>
    </row>
    <row r="449" spans="1:26" x14ac:dyDescent="0.3">
      <c r="A449">
        <v>14497</v>
      </c>
      <c r="B449" t="s">
        <v>1261</v>
      </c>
      <c r="C449" t="s">
        <v>679</v>
      </c>
      <c r="D449" t="s">
        <v>680</v>
      </c>
      <c r="F449" t="str">
        <f>"0060557818"</f>
        <v>0060557818</v>
      </c>
      <c r="G449" t="str">
        <f>"9780060557812"</f>
        <v>9780060557812</v>
      </c>
      <c r="H449">
        <v>3</v>
      </c>
      <c r="I449">
        <v>4.17</v>
      </c>
      <c r="J449" t="s">
        <v>1262</v>
      </c>
      <c r="K449" t="s">
        <v>102</v>
      </c>
      <c r="L449">
        <v>370</v>
      </c>
      <c r="M449">
        <v>2003</v>
      </c>
      <c r="N449">
        <v>1996</v>
      </c>
      <c r="P449" s="1">
        <v>41590</v>
      </c>
      <c r="S449" t="s">
        <v>43</v>
      </c>
      <c r="W449">
        <v>1</v>
      </c>
      <c r="Z449">
        <v>0</v>
      </c>
    </row>
    <row r="450" spans="1:26" x14ac:dyDescent="0.3">
      <c r="A450">
        <v>13569581</v>
      </c>
      <c r="B450" t="s">
        <v>1263</v>
      </c>
      <c r="C450" t="s">
        <v>364</v>
      </c>
      <c r="D450" t="s">
        <v>365</v>
      </c>
      <c r="F450" t="str">
        <f>""</f>
        <v/>
      </c>
      <c r="G450" t="str">
        <f>""</f>
        <v/>
      </c>
      <c r="H450">
        <v>5</v>
      </c>
      <c r="I450">
        <v>4.4000000000000004</v>
      </c>
      <c r="J450" t="s">
        <v>1264</v>
      </c>
      <c r="K450" t="s">
        <v>57</v>
      </c>
      <c r="L450">
        <v>591</v>
      </c>
      <c r="M450">
        <v>2012</v>
      </c>
      <c r="N450">
        <v>2011</v>
      </c>
      <c r="P450" s="1">
        <v>41519</v>
      </c>
      <c r="S450" t="s">
        <v>43</v>
      </c>
      <c r="W450">
        <v>1</v>
      </c>
      <c r="Z450">
        <v>0</v>
      </c>
    </row>
    <row r="451" spans="1:26" x14ac:dyDescent="0.3">
      <c r="A451">
        <v>10361837</v>
      </c>
      <c r="B451" t="s">
        <v>1265</v>
      </c>
      <c r="C451" t="s">
        <v>1266</v>
      </c>
      <c r="D451" t="s">
        <v>1267</v>
      </c>
      <c r="F451" t="str">
        <f>"1450059821"</f>
        <v>1450059821</v>
      </c>
      <c r="G451" t="str">
        <f>"9781450059824"</f>
        <v>9781450059824</v>
      </c>
      <c r="H451">
        <v>3</v>
      </c>
      <c r="I451">
        <v>3.69</v>
      </c>
      <c r="J451" t="s">
        <v>1268</v>
      </c>
      <c r="K451" t="s">
        <v>102</v>
      </c>
      <c r="L451">
        <v>220</v>
      </c>
      <c r="M451">
        <v>2010</v>
      </c>
      <c r="N451">
        <v>2010</v>
      </c>
      <c r="P451" s="1">
        <v>41284</v>
      </c>
      <c r="S451" t="s">
        <v>43</v>
      </c>
      <c r="W451">
        <v>1</v>
      </c>
      <c r="Z451">
        <v>0</v>
      </c>
    </row>
    <row r="452" spans="1:26" x14ac:dyDescent="0.3">
      <c r="A452">
        <v>13608133</v>
      </c>
      <c r="B452" t="s">
        <v>1269</v>
      </c>
      <c r="C452" t="s">
        <v>397</v>
      </c>
      <c r="D452" t="s">
        <v>398</v>
      </c>
      <c r="F452" t="str">
        <f>""</f>
        <v/>
      </c>
      <c r="G452" t="str">
        <f>""</f>
        <v/>
      </c>
      <c r="H452">
        <v>4</v>
      </c>
      <c r="I452">
        <v>4.04</v>
      </c>
      <c r="J452" t="s">
        <v>1270</v>
      </c>
      <c r="K452" t="s">
        <v>57</v>
      </c>
      <c r="L452">
        <v>388</v>
      </c>
      <c r="M452">
        <v>2012</v>
      </c>
      <c r="N452">
        <v>2012</v>
      </c>
      <c r="P452" s="1">
        <v>41282</v>
      </c>
      <c r="S452" t="s">
        <v>43</v>
      </c>
      <c r="W452">
        <v>1</v>
      </c>
      <c r="Z452">
        <v>0</v>
      </c>
    </row>
    <row r="453" spans="1:26" x14ac:dyDescent="0.3">
      <c r="A453">
        <v>9579634</v>
      </c>
      <c r="B453" t="s">
        <v>1271</v>
      </c>
      <c r="C453" t="s">
        <v>1272</v>
      </c>
      <c r="D453" t="s">
        <v>1273</v>
      </c>
      <c r="F453" t="str">
        <f>"0007423292"</f>
        <v>0007423292</v>
      </c>
      <c r="G453" t="str">
        <f>"9780007423293"</f>
        <v>9780007423293</v>
      </c>
      <c r="H453">
        <v>2</v>
      </c>
      <c r="I453">
        <v>3.85</v>
      </c>
      <c r="J453" t="s">
        <v>670</v>
      </c>
      <c r="K453" t="s">
        <v>42</v>
      </c>
      <c r="L453">
        <v>373</v>
      </c>
      <c r="M453">
        <v>2011</v>
      </c>
      <c r="N453">
        <v>2011</v>
      </c>
      <c r="P453" s="1">
        <v>41282</v>
      </c>
      <c r="S453" t="s">
        <v>43</v>
      </c>
      <c r="W453">
        <v>1</v>
      </c>
      <c r="Z453">
        <v>0</v>
      </c>
    </row>
    <row r="454" spans="1:26" x14ac:dyDescent="0.3">
      <c r="A454">
        <v>14743</v>
      </c>
      <c r="B454" t="s">
        <v>1274</v>
      </c>
      <c r="C454" t="s">
        <v>1275</v>
      </c>
      <c r="D454" t="s">
        <v>1276</v>
      </c>
      <c r="F454" t="str">
        <f>"0618680004"</f>
        <v>0618680004</v>
      </c>
      <c r="G454" t="str">
        <f>"9780618680009"</f>
        <v>9780618680009</v>
      </c>
      <c r="H454">
        <v>3</v>
      </c>
      <c r="I454">
        <v>3.9</v>
      </c>
      <c r="J454" t="s">
        <v>1277</v>
      </c>
      <c r="K454" t="s">
        <v>42</v>
      </c>
      <c r="L454">
        <v>374</v>
      </c>
      <c r="M454">
        <v>2006</v>
      </c>
      <c r="N454">
        <v>2006</v>
      </c>
      <c r="P454" s="1">
        <v>41284</v>
      </c>
      <c r="S454" t="s">
        <v>43</v>
      </c>
      <c r="W454">
        <v>1</v>
      </c>
      <c r="Z454">
        <v>0</v>
      </c>
    </row>
    <row r="455" spans="1:26" x14ac:dyDescent="0.3">
      <c r="A455">
        <v>8801543</v>
      </c>
      <c r="B455" t="s">
        <v>1278</v>
      </c>
      <c r="C455" t="s">
        <v>1279</v>
      </c>
      <c r="D455" t="s">
        <v>1280</v>
      </c>
      <c r="F455" t="str">
        <f>"0451463900"</f>
        <v>0451463900</v>
      </c>
      <c r="G455" t="str">
        <f>"9780451463906"</f>
        <v>9780451463906</v>
      </c>
      <c r="H455">
        <v>0</v>
      </c>
      <c r="I455">
        <v>3.94</v>
      </c>
      <c r="J455" t="s">
        <v>218</v>
      </c>
      <c r="K455" t="s">
        <v>257</v>
      </c>
      <c r="L455">
        <v>414</v>
      </c>
      <c r="M455">
        <v>2011</v>
      </c>
      <c r="N455">
        <v>2011</v>
      </c>
      <c r="P455" s="1">
        <v>41688</v>
      </c>
      <c r="Q455" t="s">
        <v>36</v>
      </c>
      <c r="R455" t="s">
        <v>1281</v>
      </c>
      <c r="S455" t="s">
        <v>36</v>
      </c>
      <c r="W455">
        <v>0</v>
      </c>
      <c r="Z455">
        <v>0</v>
      </c>
    </row>
    <row r="456" spans="1:26" x14ac:dyDescent="0.3">
      <c r="A456">
        <v>448873</v>
      </c>
      <c r="B456" t="s">
        <v>1282</v>
      </c>
      <c r="C456" t="s">
        <v>1283</v>
      </c>
      <c r="D456" t="s">
        <v>1284</v>
      </c>
      <c r="F456" t="str">
        <f>"0060824972"</f>
        <v>0060824972</v>
      </c>
      <c r="G456" t="str">
        <f>"9780060824976"</f>
        <v>9780060824976</v>
      </c>
      <c r="H456">
        <v>0</v>
      </c>
      <c r="I456">
        <v>3.87</v>
      </c>
      <c r="J456" t="s">
        <v>1285</v>
      </c>
      <c r="K456" t="s">
        <v>102</v>
      </c>
      <c r="L456">
        <v>280</v>
      </c>
      <c r="M456">
        <v>2005</v>
      </c>
      <c r="N456">
        <v>1996</v>
      </c>
      <c r="P456" s="1">
        <v>41688</v>
      </c>
      <c r="Q456" t="s">
        <v>36</v>
      </c>
      <c r="R456" t="s">
        <v>1286</v>
      </c>
      <c r="S456" t="s">
        <v>36</v>
      </c>
      <c r="W456">
        <v>0</v>
      </c>
      <c r="Z456">
        <v>0</v>
      </c>
    </row>
    <row r="457" spans="1:26" x14ac:dyDescent="0.3">
      <c r="A457">
        <v>3173125</v>
      </c>
      <c r="B457" t="s">
        <v>1287</v>
      </c>
      <c r="C457" t="s">
        <v>1288</v>
      </c>
      <c r="D457" t="s">
        <v>1289</v>
      </c>
      <c r="F457" t="str">
        <f>"0316032220"</f>
        <v>0316032220</v>
      </c>
      <c r="G457" t="str">
        <f>"9780316032223"</f>
        <v>9780316032223</v>
      </c>
      <c r="H457">
        <v>0</v>
      </c>
      <c r="I457">
        <v>3.79</v>
      </c>
      <c r="J457" t="s">
        <v>1290</v>
      </c>
      <c r="K457" t="s">
        <v>42</v>
      </c>
      <c r="L457">
        <v>320</v>
      </c>
      <c r="M457">
        <v>2009</v>
      </c>
      <c r="N457">
        <v>2009</v>
      </c>
      <c r="P457" s="1">
        <v>41688</v>
      </c>
      <c r="Q457" t="s">
        <v>36</v>
      </c>
      <c r="R457" t="s">
        <v>1291</v>
      </c>
      <c r="S457" t="s">
        <v>36</v>
      </c>
      <c r="W457">
        <v>0</v>
      </c>
      <c r="Z457">
        <v>0</v>
      </c>
    </row>
    <row r="458" spans="1:26" x14ac:dyDescent="0.3">
      <c r="A458">
        <v>9466833</v>
      </c>
      <c r="B458" t="s">
        <v>1292</v>
      </c>
      <c r="C458" t="s">
        <v>1293</v>
      </c>
      <c r="D458" t="s">
        <v>1294</v>
      </c>
      <c r="F458" t="str">
        <f>"0062021249"</f>
        <v>0062021249</v>
      </c>
      <c r="G458" t="str">
        <f>"9780062021243"</f>
        <v>9780062021243</v>
      </c>
      <c r="H458">
        <v>0</v>
      </c>
      <c r="I458">
        <v>3.59</v>
      </c>
      <c r="J458" t="s">
        <v>137</v>
      </c>
      <c r="K458" t="s">
        <v>257</v>
      </c>
      <c r="L458">
        <v>465</v>
      </c>
      <c r="M458">
        <v>2011</v>
      </c>
      <c r="N458">
        <v>2011</v>
      </c>
      <c r="P458" s="1">
        <v>41688</v>
      </c>
      <c r="Q458" t="s">
        <v>36</v>
      </c>
      <c r="R458" t="s">
        <v>1295</v>
      </c>
      <c r="S458" t="s">
        <v>36</v>
      </c>
      <c r="W458">
        <v>0</v>
      </c>
      <c r="Z458">
        <v>0</v>
      </c>
    </row>
    <row r="459" spans="1:26" x14ac:dyDescent="0.3">
      <c r="A459">
        <v>3428935</v>
      </c>
      <c r="B459" t="s">
        <v>1296</v>
      </c>
      <c r="C459" t="s">
        <v>1214</v>
      </c>
      <c r="D459" t="s">
        <v>1215</v>
      </c>
      <c r="F459" t="str">
        <f>"0345503805"</f>
        <v>0345503805</v>
      </c>
      <c r="G459" t="str">
        <f>"9780345503800"</f>
        <v>9780345503800</v>
      </c>
      <c r="H459">
        <v>0</v>
      </c>
      <c r="I459">
        <v>4.24</v>
      </c>
      <c r="J459" t="s">
        <v>1297</v>
      </c>
      <c r="K459" t="s">
        <v>42</v>
      </c>
      <c r="L459">
        <v>416</v>
      </c>
      <c r="M459">
        <v>2009</v>
      </c>
      <c r="N459">
        <v>2008</v>
      </c>
      <c r="P459" s="1">
        <v>41688</v>
      </c>
      <c r="Q459" t="s">
        <v>36</v>
      </c>
      <c r="R459" t="s">
        <v>1298</v>
      </c>
      <c r="S459" t="s">
        <v>36</v>
      </c>
      <c r="W459">
        <v>0</v>
      </c>
      <c r="Z459">
        <v>0</v>
      </c>
    </row>
    <row r="460" spans="1:26" x14ac:dyDescent="0.3">
      <c r="A460">
        <v>10790290</v>
      </c>
      <c r="B460" t="s">
        <v>1299</v>
      </c>
      <c r="C460" t="s">
        <v>655</v>
      </c>
      <c r="D460" t="s">
        <v>656</v>
      </c>
      <c r="F460" t="str">
        <f>"0316187747"</f>
        <v>0316187747</v>
      </c>
      <c r="G460" t="str">
        <f>"9780316187749"</f>
        <v>9780316187749</v>
      </c>
      <c r="H460">
        <v>0</v>
      </c>
      <c r="I460">
        <v>4.2</v>
      </c>
      <c r="J460" t="s">
        <v>205</v>
      </c>
      <c r="K460" t="s">
        <v>102</v>
      </c>
      <c r="L460">
        <v>649</v>
      </c>
      <c r="M460">
        <v>2011</v>
      </c>
      <c r="N460">
        <v>2011</v>
      </c>
      <c r="P460" s="1">
        <v>41688</v>
      </c>
      <c r="Q460" t="s">
        <v>36</v>
      </c>
      <c r="R460" t="s">
        <v>1300</v>
      </c>
      <c r="S460" t="s">
        <v>36</v>
      </c>
      <c r="W460">
        <v>0</v>
      </c>
      <c r="Z460">
        <v>0</v>
      </c>
    </row>
    <row r="461" spans="1:26" x14ac:dyDescent="0.3">
      <c r="A461">
        <v>208</v>
      </c>
      <c r="B461" t="s">
        <v>1301</v>
      </c>
      <c r="C461" t="s">
        <v>1302</v>
      </c>
      <c r="D461" t="s">
        <v>1303</v>
      </c>
      <c r="F461" t="str">
        <f>"0765313405"</f>
        <v>0765313405</v>
      </c>
      <c r="G461" t="str">
        <f>"9780765313409"</f>
        <v>9780765313409</v>
      </c>
      <c r="H461">
        <v>0</v>
      </c>
      <c r="I461">
        <v>3.62</v>
      </c>
      <c r="J461" t="s">
        <v>56</v>
      </c>
      <c r="K461" t="s">
        <v>42</v>
      </c>
      <c r="L461">
        <v>331</v>
      </c>
      <c r="M461">
        <v>2006</v>
      </c>
      <c r="N461">
        <v>2006</v>
      </c>
      <c r="P461" s="1">
        <v>41688</v>
      </c>
      <c r="Q461" t="s">
        <v>36</v>
      </c>
      <c r="R461" t="s">
        <v>1304</v>
      </c>
      <c r="S461" t="s">
        <v>36</v>
      </c>
      <c r="W461">
        <v>0</v>
      </c>
      <c r="Z461">
        <v>0</v>
      </c>
    </row>
    <row r="462" spans="1:26" x14ac:dyDescent="0.3">
      <c r="A462">
        <v>8752885</v>
      </c>
      <c r="B462" t="s">
        <v>1305</v>
      </c>
      <c r="C462" t="s">
        <v>1302</v>
      </c>
      <c r="D462" t="s">
        <v>1303</v>
      </c>
      <c r="F462" t="str">
        <f>"1841498874"</f>
        <v>1841498874</v>
      </c>
      <c r="G462" t="str">
        <f>"9781841498874"</f>
        <v>9781841498874</v>
      </c>
      <c r="H462">
        <v>0</v>
      </c>
      <c r="I462">
        <v>3.8</v>
      </c>
      <c r="J462" t="s">
        <v>205</v>
      </c>
      <c r="K462" t="s">
        <v>102</v>
      </c>
      <c r="L462">
        <v>555</v>
      </c>
      <c r="M462">
        <v>2011</v>
      </c>
      <c r="N462">
        <v>2011</v>
      </c>
      <c r="P462" s="1">
        <v>41688</v>
      </c>
      <c r="Q462" t="s">
        <v>36</v>
      </c>
      <c r="R462" t="s">
        <v>1306</v>
      </c>
      <c r="S462" t="s">
        <v>36</v>
      </c>
      <c r="W462">
        <v>0</v>
      </c>
      <c r="Z462">
        <v>0</v>
      </c>
    </row>
    <row r="463" spans="1:26" x14ac:dyDescent="0.3">
      <c r="A463">
        <v>8722254</v>
      </c>
      <c r="B463" t="s">
        <v>1307</v>
      </c>
      <c r="C463" t="s">
        <v>1308</v>
      </c>
      <c r="D463" t="s">
        <v>1309</v>
      </c>
      <c r="F463" t="str">
        <f>""</f>
        <v/>
      </c>
      <c r="G463" t="str">
        <f>""</f>
        <v/>
      </c>
      <c r="H463">
        <v>0</v>
      </c>
      <c r="I463">
        <v>4.16</v>
      </c>
      <c r="K463" t="s">
        <v>57</v>
      </c>
      <c r="L463">
        <v>408</v>
      </c>
      <c r="M463">
        <v>2010</v>
      </c>
      <c r="N463">
        <v>2010</v>
      </c>
      <c r="P463" s="1">
        <v>41683</v>
      </c>
      <c r="Q463" t="s">
        <v>36</v>
      </c>
      <c r="R463" t="s">
        <v>1310</v>
      </c>
      <c r="S463" t="s">
        <v>36</v>
      </c>
      <c r="W463">
        <v>0</v>
      </c>
      <c r="Z463">
        <v>0</v>
      </c>
    </row>
    <row r="464" spans="1:26" x14ac:dyDescent="0.3">
      <c r="A464">
        <v>19485109</v>
      </c>
      <c r="B464" t="s">
        <v>1311</v>
      </c>
      <c r="C464" t="s">
        <v>1312</v>
      </c>
      <c r="D464" t="s">
        <v>1313</v>
      </c>
      <c r="F464" t="str">
        <f>"0615922376"</f>
        <v>0615922376</v>
      </c>
      <c r="G464" t="str">
        <f>"9780615922379"</f>
        <v>9780615922379</v>
      </c>
      <c r="H464">
        <v>0</v>
      </c>
      <c r="I464">
        <v>4.08</v>
      </c>
      <c r="J464" t="s">
        <v>1314</v>
      </c>
      <c r="K464" t="s">
        <v>102</v>
      </c>
      <c r="L464">
        <v>483</v>
      </c>
      <c r="M464">
        <v>2013</v>
      </c>
      <c r="N464">
        <v>2013</v>
      </c>
      <c r="P464" s="1">
        <v>41650</v>
      </c>
      <c r="Q464" t="s">
        <v>36</v>
      </c>
      <c r="R464" t="s">
        <v>1315</v>
      </c>
      <c r="S464" t="s">
        <v>36</v>
      </c>
      <c r="W464">
        <v>0</v>
      </c>
      <c r="Z464">
        <v>0</v>
      </c>
    </row>
    <row r="465" spans="1:26" x14ac:dyDescent="0.3">
      <c r="A465">
        <v>3636</v>
      </c>
      <c r="B465" t="s">
        <v>1316</v>
      </c>
      <c r="C465" t="s">
        <v>1317</v>
      </c>
      <c r="D465" t="s">
        <v>1318</v>
      </c>
      <c r="F465" t="str">
        <f>"0385732554"</f>
        <v>0385732554</v>
      </c>
      <c r="G465" t="str">
        <f>"9780385732550"</f>
        <v>9780385732550</v>
      </c>
      <c r="H465">
        <v>0</v>
      </c>
      <c r="I465">
        <v>4.13</v>
      </c>
      <c r="J465" t="s">
        <v>1319</v>
      </c>
      <c r="K465" t="s">
        <v>102</v>
      </c>
      <c r="L465">
        <v>208</v>
      </c>
      <c r="M465">
        <v>2006</v>
      </c>
      <c r="N465">
        <v>1993</v>
      </c>
      <c r="P465" s="1">
        <v>41647</v>
      </c>
      <c r="Q465" t="s">
        <v>36</v>
      </c>
      <c r="R465" t="s">
        <v>1320</v>
      </c>
      <c r="S465" t="s">
        <v>36</v>
      </c>
      <c r="W465">
        <v>0</v>
      </c>
      <c r="Z465">
        <v>0</v>
      </c>
    </row>
    <row r="466" spans="1:26" x14ac:dyDescent="0.3">
      <c r="A466">
        <v>18047306</v>
      </c>
      <c r="B466" t="s">
        <v>1321</v>
      </c>
      <c r="C466" t="s">
        <v>109</v>
      </c>
      <c r="D466" t="s">
        <v>110</v>
      </c>
      <c r="F466" t="str">
        <f>""</f>
        <v/>
      </c>
      <c r="G466" t="str">
        <f>""</f>
        <v/>
      </c>
      <c r="H466">
        <v>0</v>
      </c>
      <c r="I466">
        <v>4.07</v>
      </c>
      <c r="J466" t="s">
        <v>111</v>
      </c>
      <c r="K466" t="s">
        <v>57</v>
      </c>
      <c r="L466">
        <v>294</v>
      </c>
      <c r="M466">
        <v>2013</v>
      </c>
      <c r="N466">
        <v>2013</v>
      </c>
      <c r="P466" s="1">
        <v>41636</v>
      </c>
      <c r="Q466" t="s">
        <v>36</v>
      </c>
      <c r="R466" t="s">
        <v>1320</v>
      </c>
      <c r="S466" t="s">
        <v>36</v>
      </c>
      <c r="W466">
        <v>0</v>
      </c>
      <c r="Z466">
        <v>0</v>
      </c>
    </row>
    <row r="467" spans="1:26" x14ac:dyDescent="0.3">
      <c r="A467">
        <v>322067</v>
      </c>
      <c r="B467" t="s">
        <v>1322</v>
      </c>
      <c r="C467" t="s">
        <v>608</v>
      </c>
      <c r="D467" t="s">
        <v>609</v>
      </c>
      <c r="F467" t="str">
        <f>"0812558154"</f>
        <v>0812558154</v>
      </c>
      <c r="G467" t="str">
        <f>"9780812558159"</f>
        <v>9780812558159</v>
      </c>
      <c r="H467">
        <v>0</v>
      </c>
      <c r="I467">
        <v>3.96</v>
      </c>
      <c r="J467" t="s">
        <v>56</v>
      </c>
      <c r="K467" t="s">
        <v>102</v>
      </c>
      <c r="L467">
        <v>335</v>
      </c>
      <c r="M467">
        <v>1987</v>
      </c>
      <c r="N467">
        <v>1986</v>
      </c>
      <c r="P467" s="1">
        <v>41608</v>
      </c>
      <c r="Q467" t="s">
        <v>36</v>
      </c>
      <c r="R467" t="s">
        <v>1323</v>
      </c>
      <c r="S467" t="s">
        <v>36</v>
      </c>
      <c r="W467">
        <v>0</v>
      </c>
      <c r="Z467">
        <v>0</v>
      </c>
    </row>
    <row r="468" spans="1:26" x14ac:dyDescent="0.3">
      <c r="A468">
        <v>9969571</v>
      </c>
      <c r="B468" t="s">
        <v>1324</v>
      </c>
      <c r="C468" t="s">
        <v>1325</v>
      </c>
      <c r="D468" t="s">
        <v>1326</v>
      </c>
      <c r="F468" t="str">
        <f>"030788743X"</f>
        <v>030788743X</v>
      </c>
      <c r="G468" t="str">
        <f>"9780307887436"</f>
        <v>9780307887436</v>
      </c>
      <c r="H468">
        <v>0</v>
      </c>
      <c r="I468">
        <v>4.24</v>
      </c>
      <c r="J468" t="s">
        <v>1327</v>
      </c>
      <c r="K468" t="s">
        <v>42</v>
      </c>
      <c r="L468">
        <v>374</v>
      </c>
      <c r="M468">
        <v>2011</v>
      </c>
      <c r="N468">
        <v>2011</v>
      </c>
      <c r="P468" s="1">
        <v>41538</v>
      </c>
      <c r="Q468" t="s">
        <v>36</v>
      </c>
      <c r="R468" t="s">
        <v>1328</v>
      </c>
      <c r="S468" t="s">
        <v>36</v>
      </c>
      <c r="W468">
        <v>0</v>
      </c>
      <c r="Z468">
        <v>0</v>
      </c>
    </row>
    <row r="469" spans="1:26" x14ac:dyDescent="0.3">
      <c r="A469">
        <v>12844699</v>
      </c>
      <c r="B469" t="s">
        <v>1329</v>
      </c>
      <c r="C469" t="s">
        <v>1330</v>
      </c>
      <c r="D469" t="s">
        <v>1331</v>
      </c>
      <c r="F469" t="str">
        <f>"0756407397"</f>
        <v>0756407397</v>
      </c>
      <c r="G469" t="str">
        <f>"9780756407391"</f>
        <v>9780756407391</v>
      </c>
      <c r="H469">
        <v>0</v>
      </c>
      <c r="I469">
        <v>3.8</v>
      </c>
      <c r="J469" t="s">
        <v>370</v>
      </c>
      <c r="K469" t="s">
        <v>42</v>
      </c>
      <c r="L469">
        <v>308</v>
      </c>
      <c r="M469">
        <v>2012</v>
      </c>
      <c r="N469">
        <v>2012</v>
      </c>
      <c r="P469" s="1">
        <v>41498</v>
      </c>
      <c r="Q469" t="s">
        <v>36</v>
      </c>
      <c r="R469" t="s">
        <v>1332</v>
      </c>
      <c r="S469" t="s">
        <v>36</v>
      </c>
      <c r="W469">
        <v>0</v>
      </c>
      <c r="Z469">
        <v>0</v>
      </c>
    </row>
    <row r="470" spans="1:26" x14ac:dyDescent="0.3">
      <c r="A470">
        <v>144127</v>
      </c>
      <c r="B470" t="s">
        <v>1333</v>
      </c>
      <c r="C470" t="s">
        <v>1334</v>
      </c>
      <c r="D470" t="s">
        <v>1335</v>
      </c>
      <c r="F470" t="str">
        <f>"0812541626"</f>
        <v>0812541626</v>
      </c>
      <c r="G470" t="str">
        <f>"9780812541625"</f>
        <v>9780812541625</v>
      </c>
      <c r="H470">
        <v>0</v>
      </c>
      <c r="I470">
        <v>3.77</v>
      </c>
      <c r="J470" t="s">
        <v>256</v>
      </c>
      <c r="K470" t="s">
        <v>257</v>
      </c>
      <c r="L470">
        <v>613</v>
      </c>
      <c r="M470">
        <v>1999</v>
      </c>
      <c r="N470">
        <v>1998</v>
      </c>
      <c r="P470" s="1">
        <v>41490</v>
      </c>
      <c r="Q470" t="s">
        <v>36</v>
      </c>
      <c r="R470" t="s">
        <v>1336</v>
      </c>
      <c r="S470" t="s">
        <v>36</v>
      </c>
      <c r="W470">
        <v>0</v>
      </c>
      <c r="Z470">
        <v>0</v>
      </c>
    </row>
    <row r="471" spans="1:26" x14ac:dyDescent="0.3">
      <c r="A471">
        <v>1111572</v>
      </c>
      <c r="B471" t="s">
        <v>1337</v>
      </c>
      <c r="C471" t="s">
        <v>1338</v>
      </c>
      <c r="D471" t="s">
        <v>1339</v>
      </c>
      <c r="F471" t="str">
        <f>"1590710088"</f>
        <v>1590710088</v>
      </c>
      <c r="G471" t="str">
        <f>"9781590710081"</f>
        <v>9781590710081</v>
      </c>
      <c r="H471">
        <v>3</v>
      </c>
      <c r="I471">
        <v>3.74</v>
      </c>
      <c r="J471" t="s">
        <v>1340</v>
      </c>
      <c r="K471" t="s">
        <v>42</v>
      </c>
      <c r="L471">
        <v>486</v>
      </c>
      <c r="M471">
        <v>2010</v>
      </c>
      <c r="N471">
        <v>2003</v>
      </c>
      <c r="P471" s="1">
        <v>41489</v>
      </c>
      <c r="S471" t="s">
        <v>43</v>
      </c>
      <c r="W471">
        <v>1</v>
      </c>
      <c r="Z471">
        <v>0</v>
      </c>
    </row>
    <row r="472" spans="1:26" x14ac:dyDescent="0.3">
      <c r="A472">
        <v>5907</v>
      </c>
      <c r="B472" t="s">
        <v>1341</v>
      </c>
      <c r="C472" t="s">
        <v>1051</v>
      </c>
      <c r="D472" t="s">
        <v>1052</v>
      </c>
      <c r="E472" t="s">
        <v>1342</v>
      </c>
      <c r="F472" t="str">
        <f>""</f>
        <v/>
      </c>
      <c r="G472" t="str">
        <f>""</f>
        <v/>
      </c>
      <c r="H472">
        <v>3</v>
      </c>
      <c r="I472">
        <v>4.28</v>
      </c>
      <c r="J472" t="s">
        <v>1137</v>
      </c>
      <c r="K472" t="s">
        <v>102</v>
      </c>
      <c r="L472">
        <v>366</v>
      </c>
      <c r="M472">
        <v>2002</v>
      </c>
      <c r="N472">
        <v>1937</v>
      </c>
      <c r="P472" s="1">
        <v>41244</v>
      </c>
      <c r="S472" t="s">
        <v>43</v>
      </c>
      <c r="W472">
        <v>1</v>
      </c>
      <c r="Z472">
        <v>0</v>
      </c>
    </row>
    <row r="473" spans="1:26" x14ac:dyDescent="0.3">
      <c r="A473">
        <v>1885</v>
      </c>
      <c r="B473" t="s">
        <v>1343</v>
      </c>
      <c r="C473" t="s">
        <v>1344</v>
      </c>
      <c r="D473" t="s">
        <v>1345</v>
      </c>
      <c r="E473" t="s">
        <v>1346</v>
      </c>
      <c r="F473" t="str">
        <f>""</f>
        <v/>
      </c>
      <c r="G473" t="str">
        <f>""</f>
        <v/>
      </c>
      <c r="H473">
        <v>0</v>
      </c>
      <c r="I473">
        <v>4.28</v>
      </c>
      <c r="J473" t="s">
        <v>1347</v>
      </c>
      <c r="K473" t="s">
        <v>102</v>
      </c>
      <c r="L473">
        <v>279</v>
      </c>
      <c r="M473">
        <v>2000</v>
      </c>
      <c r="N473">
        <v>1813</v>
      </c>
      <c r="P473" s="1">
        <v>41489</v>
      </c>
      <c r="Q473" t="s">
        <v>36</v>
      </c>
      <c r="R473" t="s">
        <v>1348</v>
      </c>
      <c r="S473" t="s">
        <v>36</v>
      </c>
      <c r="W473">
        <v>0</v>
      </c>
      <c r="Z473">
        <v>0</v>
      </c>
    </row>
    <row r="474" spans="1:26" x14ac:dyDescent="0.3">
      <c r="A474">
        <v>13485378</v>
      </c>
      <c r="B474" t="s">
        <v>1349</v>
      </c>
      <c r="C474" t="s">
        <v>1350</v>
      </c>
      <c r="D474" t="s">
        <v>1351</v>
      </c>
      <c r="E474" t="s">
        <v>1352</v>
      </c>
      <c r="F474" t="str">
        <f>""</f>
        <v/>
      </c>
      <c r="G474" t="str">
        <f>""</f>
        <v/>
      </c>
      <c r="H474">
        <v>0</v>
      </c>
      <c r="I474">
        <v>4.3099999999999996</v>
      </c>
      <c r="K474" t="s">
        <v>57</v>
      </c>
      <c r="N474">
        <v>2006</v>
      </c>
      <c r="P474" s="1">
        <v>41284</v>
      </c>
      <c r="Q474" t="s">
        <v>36</v>
      </c>
      <c r="R474" t="s">
        <v>1353</v>
      </c>
      <c r="S474" t="s">
        <v>36</v>
      </c>
      <c r="W474">
        <v>0</v>
      </c>
      <c r="Z474">
        <v>0</v>
      </c>
    </row>
    <row r="475" spans="1:26" x14ac:dyDescent="0.3">
      <c r="A475">
        <v>5759</v>
      </c>
      <c r="B475" t="s">
        <v>1354</v>
      </c>
      <c r="C475" t="s">
        <v>894</v>
      </c>
      <c r="D475" t="s">
        <v>895</v>
      </c>
      <c r="F475" t="str">
        <f>"0393327345"</f>
        <v>0393327345</v>
      </c>
      <c r="G475" t="str">
        <f>"9780393327342"</f>
        <v>9780393327342</v>
      </c>
      <c r="H475">
        <v>4</v>
      </c>
      <c r="I475">
        <v>4.1900000000000004</v>
      </c>
      <c r="J475" t="s">
        <v>1355</v>
      </c>
      <c r="K475" t="s">
        <v>102</v>
      </c>
      <c r="L475">
        <v>218</v>
      </c>
      <c r="M475">
        <v>2005</v>
      </c>
      <c r="N475">
        <v>1996</v>
      </c>
      <c r="P475" s="1">
        <v>41282</v>
      </c>
      <c r="S475" t="s">
        <v>43</v>
      </c>
      <c r="W475">
        <v>1</v>
      </c>
      <c r="Z475">
        <v>0</v>
      </c>
    </row>
    <row r="476" spans="1:26" x14ac:dyDescent="0.3">
      <c r="A476">
        <v>16250940</v>
      </c>
      <c r="B476" t="s">
        <v>1356</v>
      </c>
      <c r="C476" t="s">
        <v>397</v>
      </c>
      <c r="D476" t="s">
        <v>398</v>
      </c>
      <c r="F476" t="str">
        <f>"1481270443"</f>
        <v>1481270443</v>
      </c>
      <c r="G476" t="str">
        <f>"9781481270441"</f>
        <v>9781481270441</v>
      </c>
      <c r="H476">
        <v>4</v>
      </c>
      <c r="I476">
        <v>4.2699999999999996</v>
      </c>
      <c r="J476" t="s">
        <v>1270</v>
      </c>
      <c r="K476" t="s">
        <v>35</v>
      </c>
      <c r="L476">
        <v>508</v>
      </c>
      <c r="M476">
        <v>2012</v>
      </c>
      <c r="N476">
        <v>2012</v>
      </c>
      <c r="P476" s="1">
        <v>41282</v>
      </c>
      <c r="S476" t="s">
        <v>43</v>
      </c>
      <c r="W476">
        <v>1</v>
      </c>
      <c r="Z476">
        <v>0</v>
      </c>
    </row>
    <row r="477" spans="1:26" x14ac:dyDescent="0.3">
      <c r="A477">
        <v>711901</v>
      </c>
      <c r="B477" t="s">
        <v>1357</v>
      </c>
      <c r="C477" t="s">
        <v>1350</v>
      </c>
      <c r="D477" t="s">
        <v>1351</v>
      </c>
      <c r="E477" t="s">
        <v>1352</v>
      </c>
      <c r="F477" t="str">
        <f>"0316067598"</f>
        <v>0316067598</v>
      </c>
      <c r="G477" t="str">
        <f>"9780316067591"</f>
        <v>9780316067591</v>
      </c>
      <c r="H477">
        <v>0</v>
      </c>
      <c r="I477">
        <v>4.3099999999999996</v>
      </c>
      <c r="J477" t="s">
        <v>1290</v>
      </c>
      <c r="K477" t="s">
        <v>42</v>
      </c>
      <c r="L477">
        <v>390</v>
      </c>
      <c r="M477">
        <v>2007</v>
      </c>
      <c r="N477">
        <v>2006</v>
      </c>
      <c r="P477" s="1">
        <v>41284</v>
      </c>
      <c r="Q477" t="s">
        <v>36</v>
      </c>
      <c r="R477" t="s">
        <v>1358</v>
      </c>
      <c r="S477" t="s">
        <v>36</v>
      </c>
      <c r="W477">
        <v>0</v>
      </c>
      <c r="Z477">
        <v>0</v>
      </c>
    </row>
    <row r="478" spans="1:26" x14ac:dyDescent="0.3">
      <c r="A478">
        <v>16148938</v>
      </c>
      <c r="B478" t="s">
        <v>1359</v>
      </c>
      <c r="C478" t="s">
        <v>709</v>
      </c>
      <c r="D478" t="s">
        <v>710</v>
      </c>
      <c r="F478" t="str">
        <f>""</f>
        <v/>
      </c>
      <c r="G478" t="str">
        <f>""</f>
        <v/>
      </c>
      <c r="H478">
        <v>0</v>
      </c>
      <c r="I478">
        <v>4.2699999999999996</v>
      </c>
      <c r="J478" t="s">
        <v>1158</v>
      </c>
      <c r="K478" t="s">
        <v>57</v>
      </c>
      <c r="L478">
        <v>268</v>
      </c>
      <c r="M478">
        <v>2012</v>
      </c>
      <c r="N478">
        <v>2012</v>
      </c>
      <c r="P478" s="1">
        <v>41282</v>
      </c>
      <c r="Q478" t="s">
        <v>36</v>
      </c>
      <c r="R478" t="s">
        <v>1360</v>
      </c>
      <c r="S478" t="s">
        <v>36</v>
      </c>
      <c r="W478">
        <v>0</v>
      </c>
      <c r="Z478">
        <v>0</v>
      </c>
    </row>
    <row r="479" spans="1:26" x14ac:dyDescent="0.3">
      <c r="A479">
        <v>2429135</v>
      </c>
      <c r="B479" t="s">
        <v>1361</v>
      </c>
      <c r="C479" t="s">
        <v>1362</v>
      </c>
      <c r="D479" t="s">
        <v>1363</v>
      </c>
      <c r="E479" t="s">
        <v>1364</v>
      </c>
      <c r="F479" t="str">
        <f>""</f>
        <v/>
      </c>
      <c r="G479" t="str">
        <f>""</f>
        <v/>
      </c>
      <c r="H479">
        <v>4</v>
      </c>
      <c r="I479">
        <v>4.1500000000000004</v>
      </c>
      <c r="J479" t="s">
        <v>1365</v>
      </c>
      <c r="K479" t="s">
        <v>42</v>
      </c>
      <c r="L479">
        <v>480</v>
      </c>
      <c r="M479">
        <v>2008</v>
      </c>
      <c r="N479">
        <v>2005</v>
      </c>
      <c r="P479" s="1">
        <v>41244</v>
      </c>
      <c r="S479" t="s">
        <v>43</v>
      </c>
      <c r="W479">
        <v>1</v>
      </c>
      <c r="Z47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goodreads_library_export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Mortensen (TRMO) | VIA</dc:creator>
  <cp:lastModifiedBy>VIA University College</cp:lastModifiedBy>
  <dcterms:created xsi:type="dcterms:W3CDTF">2022-02-15T08:11:42Z</dcterms:created>
  <dcterms:modified xsi:type="dcterms:W3CDTF">2022-02-15T08:11:42Z</dcterms:modified>
</cp:coreProperties>
</file>