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defaultThemeVersion="124226"/>
  <mc:AlternateContent xmlns:mc="http://schemas.openxmlformats.org/markup-compatibility/2006">
    <mc:Choice Requires="x15">
      <x15ac:absPath xmlns:x15ac="http://schemas.microsoft.com/office/spreadsheetml/2010/11/ac" url="F:\Bibliotheken\Desktop\Skripte\MA\ma-ems\study\ueq_results\"/>
    </mc:Choice>
  </mc:AlternateContent>
  <xr:revisionPtr revIDLastSave="0" documentId="13_ncr:1_{736DBE63-4ADB-40F1-8C90-03A758A05B22}" xr6:coauthVersionLast="47" xr6:coauthVersionMax="47" xr10:uidLastSave="{00000000-0000-0000-0000-000000000000}"/>
  <bookViews>
    <workbookView xWindow="-38520" yWindow="-120" windowWidth="38640" windowHeight="21240" tabRatio="798" activeTab="3"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D18" i="14"/>
  <c r="C18" i="14"/>
  <c r="B18" i="14"/>
  <c r="A18" i="14"/>
  <c r="H17" i="14"/>
  <c r="G17" i="14"/>
  <c r="F17" i="14"/>
  <c r="E17" i="14"/>
  <c r="L17" i="14" s="1"/>
  <c r="D17" i="14"/>
  <c r="C17" i="14"/>
  <c r="B17" i="14"/>
  <c r="A17" i="14"/>
  <c r="H16" i="14"/>
  <c r="G16" i="14"/>
  <c r="F16" i="14"/>
  <c r="E16" i="14"/>
  <c r="D16" i="14"/>
  <c r="C16" i="14"/>
  <c r="B16" i="14"/>
  <c r="A16" i="14"/>
  <c r="H15" i="14"/>
  <c r="G15" i="14"/>
  <c r="F15" i="14"/>
  <c r="E15" i="14"/>
  <c r="D15" i="14"/>
  <c r="C15" i="14"/>
  <c r="B15" i="14"/>
  <c r="A15" i="14"/>
  <c r="H14" i="14"/>
  <c r="G14" i="14"/>
  <c r="F14" i="14"/>
  <c r="E14" i="14"/>
  <c r="L14" i="14" s="1"/>
  <c r="D14" i="14"/>
  <c r="C14" i="14"/>
  <c r="B14" i="14"/>
  <c r="A14" i="14"/>
  <c r="H13" i="14"/>
  <c r="G13" i="14"/>
  <c r="F13" i="14"/>
  <c r="E13" i="14"/>
  <c r="L13" i="14" s="1"/>
  <c r="D13" i="14"/>
  <c r="C13" i="14"/>
  <c r="B13" i="14"/>
  <c r="A13" i="14"/>
  <c r="H12" i="14"/>
  <c r="G12" i="14"/>
  <c r="F12" i="14"/>
  <c r="E12" i="14"/>
  <c r="L12" i="14" s="1"/>
  <c r="D12" i="14"/>
  <c r="C12" i="14"/>
  <c r="B12" i="14"/>
  <c r="A12" i="14"/>
  <c r="H11" i="14"/>
  <c r="G11" i="14"/>
  <c r="F11" i="14"/>
  <c r="E11" i="14"/>
  <c r="L11" i="14" s="1"/>
  <c r="D11" i="14"/>
  <c r="C11" i="14"/>
  <c r="B11" i="14"/>
  <c r="A11" i="14"/>
  <c r="H10" i="14"/>
  <c r="G10" i="14"/>
  <c r="F10" i="14"/>
  <c r="E10" i="14"/>
  <c r="L10" i="14" s="1"/>
  <c r="D10" i="14"/>
  <c r="C10" i="14"/>
  <c r="B10" i="14"/>
  <c r="A10" i="14"/>
  <c r="H9" i="14"/>
  <c r="G9" i="14"/>
  <c r="F9" i="14"/>
  <c r="E9" i="14"/>
  <c r="L9" i="14" s="1"/>
  <c r="D9" i="14"/>
  <c r="C9" i="14"/>
  <c r="B9" i="14"/>
  <c r="A9" i="14"/>
  <c r="H8" i="14"/>
  <c r="G8" i="14"/>
  <c r="F8" i="14"/>
  <c r="E8" i="14"/>
  <c r="L8" i="14" s="1"/>
  <c r="D8" i="14"/>
  <c r="C8" i="14"/>
  <c r="B8" i="14"/>
  <c r="A8" i="14"/>
  <c r="H7" i="14"/>
  <c r="G7" i="14"/>
  <c r="F7" i="14"/>
  <c r="E7" i="14"/>
  <c r="L7" i="14" s="1"/>
  <c r="D7" i="14"/>
  <c r="C7" i="14"/>
  <c r="B7" i="14"/>
  <c r="A7" i="14"/>
  <c r="H6" i="14"/>
  <c r="G6" i="14"/>
  <c r="F6" i="14"/>
  <c r="E6" i="14"/>
  <c r="D6" i="14"/>
  <c r="C6" i="14"/>
  <c r="B6" i="14"/>
  <c r="A6" i="14"/>
  <c r="H5" i="14"/>
  <c r="G5" i="14"/>
  <c r="F5" i="14"/>
  <c r="E5" i="14"/>
  <c r="L5" i="14" s="1"/>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18" i="14" l="1"/>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M7" i="14" s="1"/>
  <c r="K8" i="14"/>
  <c r="M8" i="14" s="1"/>
  <c r="K9" i="14"/>
  <c r="M9" i="14" s="1"/>
  <c r="K10" i="14"/>
  <c r="M10" i="14" s="1"/>
  <c r="K11" i="14"/>
  <c r="M11" i="14" s="1"/>
  <c r="K12" i="14"/>
  <c r="M12" i="14" s="1"/>
  <c r="K13" i="14"/>
  <c r="M13" i="14" s="1"/>
  <c r="M14" i="14"/>
  <c r="K14" i="14"/>
  <c r="K15" i="14"/>
  <c r="M15" i="14" s="1"/>
  <c r="K16" i="14"/>
  <c r="M16" i="14" s="1"/>
  <c r="K17" i="14"/>
  <c r="M17" i="14" s="1"/>
  <c r="K18" i="14"/>
  <c r="M18" i="14" s="1"/>
  <c r="M19" i="14"/>
  <c r="K19" i="14"/>
  <c r="M20" i="14"/>
  <c r="K20" i="14"/>
  <c r="M21" i="14"/>
  <c r="K21" i="14"/>
  <c r="M22" i="14"/>
  <c r="K22" i="14"/>
  <c r="M23" i="14"/>
  <c r="K23" i="14"/>
  <c r="M24" i="14"/>
  <c r="K24" i="14"/>
  <c r="M25" i="14"/>
  <c r="K25" i="14"/>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L14" i="7" l="1"/>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<sst xmlns="http://schemas.openxmlformats.org/spreadsheetml/2006/main" count="795" uniqueCount="710">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</sst>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3">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0.73333333333333328</c:v>
                </c:pt>
                <c:pt idx="1">
                  <c:v>1.1333333333333333</c:v>
                </c:pt>
                <c:pt idx="2">
                  <c:v>1.1333333333333333</c:v>
                </c:pt>
                <c:pt idx="3">
                  <c:v>0.2</c:v>
                </c:pt>
                <c:pt idx="4">
                  <c:v>1.5333333333333334</c:v>
                </c:pt>
                <c:pt idx="5">
                  <c:v>1.7333333333333334</c:v>
                </c:pt>
                <c:pt idx="6">
                  <c:v>1.2</c:v>
                </c:pt>
                <c:pt idx="7">
                  <c:v>1.3333333333333333</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Pragmatische Qualität</c:v>
                </c:pt>
                <c:pt idx="1">
                  <c:v>Hedonische Qualität</c:v>
                </c:pt>
                <c:pt idx="2">
                  <c:v>Overall</c:v>
                </c:pt>
              </c:strCache>
            </c:strRef>
          </c:cat>
          <c:val>
            <c:numRef>
              <c:f>Results!$L$4:$L$6</c:f>
              <c:numCache>
                <c:formatCode>0.000</c:formatCode>
                <c:ptCount val="3"/>
                <c:pt idx="0">
                  <c:v>0.8</c:v>
                </c:pt>
                <c:pt idx="1">
                  <c:v>1.45</c:v>
                </c:pt>
                <c:pt idx="2">
                  <c:v>1.125</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0.8</c:v>
                </c:pt>
                <c:pt idx="1">
                  <c:v>1.45</c:v>
                </c:pt>
                <c:pt idx="2" formatCode="0.00">
                  <c:v>1.125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0.69984712590572284</c:v>
                  </c:pt>
                  <c:pt idx="1">
                    <c:v>0.54980562371307695</c:v>
                  </c:pt>
                  <c:pt idx="2">
                    <c:v>0.52327647578123038</c:v>
                  </c:pt>
                </c:numCache>
              </c:numRef>
            </c:plus>
            <c:minus>
              <c:numRef>
                <c:f>Confidence_Intervals!$M$5:$M$7</c:f>
                <c:numCache>
                  <c:formatCode>General</c:formatCode>
                  <c:ptCount val="3"/>
                  <c:pt idx="0">
                    <c:v>0.69984712590572284</c:v>
                  </c:pt>
                  <c:pt idx="1">
                    <c:v>0.54980562371307695</c:v>
                  </c:pt>
                  <c:pt idx="2">
                    <c:v>0.52327647578123038</c:v>
                  </c:pt>
                </c:numCache>
              </c:numRef>
            </c:minus>
            <c:spPr>
              <a:ln w="31750"/>
            </c:spPr>
          </c:errBars>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0.8</c:v>
                </c:pt>
                <c:pt idx="1">
                  <c:v>1.45</c:v>
                </c:pt>
                <c:pt idx="2" formatCode="0.00">
                  <c:v>1.125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48" t="s">
        <v>707</v>
      </c>
      <c r="B1" s="48"/>
      <c r="C1" s="48"/>
    </row>
    <row r="2" spans="1:3" ht="107.25" customHeight="1" x14ac:dyDescent="0.25">
      <c r="A2" s="49" t="s">
        <v>416</v>
      </c>
      <c r="B2" s="49"/>
      <c r="C2" s="49"/>
    </row>
    <row r="4" spans="1:3" ht="18.75" x14ac:dyDescent="0.3">
      <c r="A4" s="23" t="s">
        <v>256</v>
      </c>
      <c r="B4" s="24" t="s">
        <v>39</v>
      </c>
    </row>
    <row r="6" spans="1:3" ht="30.75" customHeight="1" x14ac:dyDescent="0.25">
      <c r="A6" s="50" t="s">
        <v>257</v>
      </c>
      <c r="B6" s="50"/>
      <c r="C6" s="50"/>
    </row>
    <row r="8" spans="1:3" ht="262.5" customHeight="1" x14ac:dyDescent="0.25">
      <c r="A8" s="51" t="s">
        <v>417</v>
      </c>
      <c r="B8" s="51"/>
      <c r="C8" s="51"/>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9.140625" defaultRowHeight="15" x14ac:dyDescent="0.25"/>
  <cols>
    <col min="1" max="1" width="28" customWidth="1"/>
    <col min="2" max="2" width="18.140625" customWidth="1"/>
    <col min="3" max="7" width="18.42578125" customWidth="1"/>
  </cols>
  <sheetData>
    <row r="1" spans="1:7" ht="21" x14ac:dyDescent="0.35">
      <c r="A1" s="71" t="s">
        <v>267</v>
      </c>
      <c r="B1" s="71"/>
      <c r="C1" s="71"/>
      <c r="D1" s="71"/>
      <c r="E1" s="71"/>
      <c r="F1" s="71"/>
      <c r="G1" s="71"/>
    </row>
    <row r="2" spans="1:7" ht="197.25" customHeight="1" x14ac:dyDescent="0.25">
      <c r="A2" s="50" t="s">
        <v>268</v>
      </c>
      <c r="B2" s="50"/>
      <c r="C2" s="50"/>
      <c r="D2" s="50"/>
      <c r="E2" s="50"/>
      <c r="F2" s="50"/>
      <c r="G2" s="50"/>
    </row>
    <row r="3" spans="1:7" x14ac:dyDescent="0.25">
      <c r="A3" s="72"/>
      <c r="B3" s="72"/>
      <c r="C3" s="72"/>
      <c r="D3" s="72"/>
      <c r="E3" s="72"/>
      <c r="F3" s="72"/>
      <c r="G3" s="72"/>
    </row>
    <row r="4" spans="1:7" x14ac:dyDescent="0.25">
      <c r="A4" s="25" t="s">
        <v>25</v>
      </c>
      <c r="B4" s="25" t="s">
        <v>265</v>
      </c>
    </row>
    <row r="5" spans="1:7" x14ac:dyDescent="0.25">
      <c r="A5" s="11" t="str">
        <f>VLOOKUP(Read_First!B4,Items!A1:S50,18,FALSE)</f>
        <v>Pragmatische Qualität</v>
      </c>
      <c r="B5" s="9">
        <f>SQRT(VAR(DT!K4:K1004))</f>
        <v>1.382931668593933</v>
      </c>
    </row>
    <row r="6" spans="1:7" x14ac:dyDescent="0.25">
      <c r="A6" s="11" t="str">
        <f>VLOOKUP(Read_First!B4,Items!A1:S50,19,FALSE)</f>
        <v>Hedonische Qualität</v>
      </c>
      <c r="B6" s="9">
        <f>SQRT(VAR(DT!L4:L1004))</f>
        <v>1.0864424250079443</v>
      </c>
    </row>
    <row r="9" spans="1:7" x14ac:dyDescent="0.25">
      <c r="A9" s="25" t="s">
        <v>266</v>
      </c>
      <c r="B9" s="35" t="str">
        <f>VLOOKUP(Read_First!B4,Items!A1:S50,18,FALSE)</f>
        <v>Pragmatische Qualität</v>
      </c>
      <c r="C9" s="35" t="str">
        <f>VLOOKUP(Read_First!B4,Items!A1:S50,19,FALSE)</f>
        <v>Hedonische Qualität</v>
      </c>
    </row>
    <row r="10" spans="1:7" x14ac:dyDescent="0.25">
      <c r="A10" s="25" t="s">
        <v>269</v>
      </c>
      <c r="B10" s="7">
        <f>POWER((1.65*B5)/0.5,2)</f>
        <v>20.827124999999995</v>
      </c>
      <c r="C10" s="7">
        <f>POWER((1.65*B6)/0.5,2)</f>
        <v>12.854089285714283</v>
      </c>
    </row>
    <row r="11" spans="1:7" x14ac:dyDescent="0.25">
      <c r="A11" s="25" t="s">
        <v>270</v>
      </c>
      <c r="B11" s="7">
        <f>POWER((1.96*B5)/0.5,2)</f>
        <v>29.388239999999996</v>
      </c>
      <c r="C11" s="7">
        <f>POWER((1.96*B6)/0.5,2)</f>
        <v>18.137839999999994</v>
      </c>
    </row>
    <row r="12" spans="1:7" x14ac:dyDescent="0.25">
      <c r="A12" s="25" t="s">
        <v>271</v>
      </c>
      <c r="B12" s="7">
        <f>POWER((2.58*B6)/0.5,2)</f>
        <v>31.427717142857137</v>
      </c>
      <c r="C12" s="7">
        <f>POWER((2.58*B6)/0.5,2)</f>
        <v>31.427717142857137</v>
      </c>
    </row>
    <row r="13" spans="1:7" x14ac:dyDescent="0.25">
      <c r="A13" s="25" t="s">
        <v>272</v>
      </c>
      <c r="B13" s="7">
        <f>POWER((1.65*B5)/0.25,2)</f>
        <v>83.308499999999981</v>
      </c>
      <c r="C13" s="7">
        <f>POWER((1.65*B6)/0.25,2)</f>
        <v>51.41635714285713</v>
      </c>
    </row>
    <row r="14" spans="1:7" x14ac:dyDescent="0.25">
      <c r="A14" s="25" t="s">
        <v>273</v>
      </c>
      <c r="B14" s="7">
        <f>POWER((1.96*B5)/0.25,2)</f>
        <v>117.55295999999998</v>
      </c>
      <c r="C14" s="7">
        <f>POWER((1.96*B6)/0.25,2)</f>
        <v>72.551359999999974</v>
      </c>
    </row>
    <row r="15" spans="1:7" x14ac:dyDescent="0.25">
      <c r="A15" s="25" t="s">
        <v>274</v>
      </c>
      <c r="B15" s="7">
        <f>POWER((2.58*B5)/0.25,2)</f>
        <v>203.68584000000001</v>
      </c>
      <c r="C15" s="7">
        <f>POWER((2.58*B6)/0.25,2)</f>
        <v>125.71086857142855</v>
      </c>
    </row>
    <row r="16" spans="1:7" x14ac:dyDescent="0.25">
      <c r="A16" s="25" t="s">
        <v>275</v>
      </c>
      <c r="B16" s="7">
        <f>POWER((1.65*B5)/0.1,2)</f>
        <v>520.6781249999998</v>
      </c>
      <c r="C16" s="7">
        <f>POWER((1.65*B6)/0.1,2)</f>
        <v>321.35223214285696</v>
      </c>
    </row>
    <row r="17" spans="1:3" x14ac:dyDescent="0.25">
      <c r="A17" s="25" t="s">
        <v>276</v>
      </c>
      <c r="B17" s="7">
        <f>POWER((1.96*B5)/0.1,2)</f>
        <v>734.70599999999979</v>
      </c>
      <c r="C17" s="7">
        <f>POWER((1.96*B6)/0.1,2)</f>
        <v>453.44599999999974</v>
      </c>
    </row>
    <row r="18" spans="1:3" x14ac:dyDescent="0.25">
      <c r="A18" s="25" t="s">
        <v>277</v>
      </c>
      <c r="B18" s="7">
        <f>POWER((2.58*B5)/0.1,2)</f>
        <v>1273.0365000000002</v>
      </c>
      <c r="C18" s="7">
        <f>POWER((2.58*B6)/0.1,2)</f>
        <v>785.6929285714283</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H27" sqref="H27"/>
    </sheetView>
  </sheetViews>
  <sheetFormatPr baseColWidth="10" defaultColWidth="9.140625" defaultRowHeight="15" x14ac:dyDescent="0.25"/>
  <cols>
    <col min="1" max="8" width="8.85546875" style="2" customWidth="1"/>
  </cols>
  <sheetData>
    <row r="1" spans="1:8" ht="126" customHeight="1" x14ac:dyDescent="0.25">
      <c r="A1" s="52" t="s">
        <v>264</v>
      </c>
      <c r="B1" s="53"/>
      <c r="C1" s="53"/>
      <c r="D1" s="53"/>
      <c r="E1" s="53"/>
      <c r="F1" s="53"/>
      <c r="G1" s="53"/>
      <c r="H1" s="53"/>
    </row>
    <row r="2" spans="1:8" x14ac:dyDescent="0.25">
      <c r="A2" s="54" t="s">
        <v>0</v>
      </c>
      <c r="B2" s="54"/>
      <c r="C2" s="54"/>
      <c r="D2" s="54"/>
      <c r="E2" s="54"/>
      <c r="F2" s="54"/>
      <c r="G2" s="54"/>
      <c r="H2" s="54"/>
    </row>
    <row r="3" spans="1:8" x14ac:dyDescent="0.25">
      <c r="A3" s="1">
        <v>1</v>
      </c>
      <c r="B3" s="1">
        <v>2</v>
      </c>
      <c r="C3" s="1">
        <v>3</v>
      </c>
      <c r="D3" s="1">
        <v>4</v>
      </c>
      <c r="E3" s="1">
        <v>5</v>
      </c>
      <c r="F3" s="1">
        <v>6</v>
      </c>
      <c r="G3" s="1">
        <v>7</v>
      </c>
      <c r="H3" s="1">
        <v>8</v>
      </c>
    </row>
    <row r="4" spans="1:8" x14ac:dyDescent="0.25">
      <c r="A4" s="2">
        <v>6</v>
      </c>
      <c r="B4" s="2">
        <v>3</v>
      </c>
      <c r="C4" s="2">
        <v>6</v>
      </c>
      <c r="D4" s="2">
        <v>4</v>
      </c>
      <c r="E4" s="2">
        <v>7</v>
      </c>
      <c r="F4" s="2">
        <v>7</v>
      </c>
      <c r="G4" s="2">
        <v>7</v>
      </c>
      <c r="H4" s="2">
        <v>6</v>
      </c>
    </row>
    <row r="5" spans="1:8" x14ac:dyDescent="0.25">
      <c r="A5" s="2">
        <v>5</v>
      </c>
      <c r="B5" s="2">
        <v>6</v>
      </c>
      <c r="C5" s="2">
        <v>6</v>
      </c>
      <c r="D5" s="2">
        <v>2</v>
      </c>
      <c r="E5" s="2">
        <v>6</v>
      </c>
      <c r="F5" s="2">
        <v>6</v>
      </c>
      <c r="G5" s="2">
        <v>5</v>
      </c>
      <c r="H5" s="2">
        <v>5</v>
      </c>
    </row>
    <row r="6" spans="1:8" x14ac:dyDescent="0.25">
      <c r="A6" s="2">
        <v>4</v>
      </c>
      <c r="B6" s="2">
        <v>7</v>
      </c>
      <c r="C6" s="2">
        <v>4</v>
      </c>
      <c r="D6" s="2">
        <v>4</v>
      </c>
      <c r="E6" s="2">
        <v>2</v>
      </c>
      <c r="F6" s="2">
        <v>5</v>
      </c>
      <c r="G6" s="2">
        <v>4</v>
      </c>
      <c r="H6" s="2">
        <v>2</v>
      </c>
    </row>
    <row r="7" spans="1:8" x14ac:dyDescent="0.25">
      <c r="A7" s="2">
        <v>5</v>
      </c>
      <c r="B7" s="2">
        <v>5</v>
      </c>
      <c r="C7" s="2">
        <v>5</v>
      </c>
      <c r="D7" s="2">
        <v>5</v>
      </c>
      <c r="E7" s="2">
        <v>6</v>
      </c>
      <c r="F7" s="2">
        <v>6</v>
      </c>
      <c r="G7" s="2">
        <v>6</v>
      </c>
      <c r="H7" s="2">
        <v>6</v>
      </c>
    </row>
    <row r="8" spans="1:8" x14ac:dyDescent="0.25">
      <c r="A8" s="2">
        <v>5</v>
      </c>
      <c r="B8" s="2">
        <v>5</v>
      </c>
      <c r="C8" s="2">
        <v>6</v>
      </c>
      <c r="D8" s="2">
        <v>5</v>
      </c>
      <c r="E8" s="2">
        <v>6</v>
      </c>
      <c r="F8" s="2">
        <v>4</v>
      </c>
      <c r="G8" s="2">
        <v>3</v>
      </c>
      <c r="H8" s="2">
        <v>3</v>
      </c>
    </row>
    <row r="9" spans="1:8" x14ac:dyDescent="0.25">
      <c r="A9" s="2">
        <v>6</v>
      </c>
      <c r="B9" s="2">
        <v>6</v>
      </c>
      <c r="C9" s="2">
        <v>7</v>
      </c>
      <c r="D9" s="2">
        <v>4</v>
      </c>
      <c r="E9" s="2">
        <v>6</v>
      </c>
      <c r="F9" s="2">
        <v>6</v>
      </c>
      <c r="G9" s="2">
        <v>7</v>
      </c>
      <c r="H9" s="2">
        <v>7</v>
      </c>
    </row>
    <row r="10" spans="1:8" x14ac:dyDescent="0.25">
      <c r="A10" s="2">
        <v>4</v>
      </c>
      <c r="B10" s="2">
        <v>5</v>
      </c>
      <c r="C10" s="2">
        <v>5</v>
      </c>
      <c r="D10" s="2">
        <v>3</v>
      </c>
      <c r="E10" s="2">
        <v>5</v>
      </c>
      <c r="F10" s="2">
        <v>5</v>
      </c>
      <c r="G10" s="2">
        <v>5</v>
      </c>
      <c r="H10" s="2">
        <v>6</v>
      </c>
    </row>
    <row r="11" spans="1:8" x14ac:dyDescent="0.25">
      <c r="A11" s="2">
        <v>2</v>
      </c>
      <c r="B11" s="2">
        <v>3</v>
      </c>
      <c r="C11" s="2">
        <v>3</v>
      </c>
      <c r="D11" s="2">
        <v>2</v>
      </c>
      <c r="E11" s="2">
        <v>5</v>
      </c>
      <c r="F11" s="2">
        <v>6</v>
      </c>
      <c r="G11" s="2">
        <v>5</v>
      </c>
      <c r="H11" s="2">
        <v>6</v>
      </c>
    </row>
    <row r="12" spans="1:8" x14ac:dyDescent="0.25">
      <c r="A12" s="2">
        <v>4</v>
      </c>
      <c r="B12" s="2">
        <v>7</v>
      </c>
      <c r="C12" s="2">
        <v>3</v>
      </c>
      <c r="D12" s="2">
        <v>4</v>
      </c>
      <c r="E12" s="2">
        <v>4</v>
      </c>
      <c r="F12" s="2">
        <v>4</v>
      </c>
      <c r="G12" s="2">
        <v>4</v>
      </c>
      <c r="H12" s="2">
        <v>4</v>
      </c>
    </row>
    <row r="13" spans="1:8" x14ac:dyDescent="0.25">
      <c r="A13" s="2">
        <v>1</v>
      </c>
      <c r="B13" s="2">
        <v>1</v>
      </c>
      <c r="C13" s="2">
        <v>2</v>
      </c>
      <c r="D13" s="2">
        <v>1</v>
      </c>
      <c r="E13" s="2">
        <v>5</v>
      </c>
      <c r="F13" s="2">
        <v>5</v>
      </c>
      <c r="G13" s="2">
        <v>4</v>
      </c>
      <c r="H13" s="2">
        <v>4</v>
      </c>
    </row>
    <row r="14" spans="1:8" x14ac:dyDescent="0.25">
      <c r="A14" s="2">
        <v>7</v>
      </c>
      <c r="B14" s="2">
        <v>6</v>
      </c>
      <c r="C14" s="2">
        <v>6</v>
      </c>
      <c r="D14" s="2">
        <v>6</v>
      </c>
      <c r="E14" s="2">
        <v>7</v>
      </c>
      <c r="F14" s="2">
        <v>7</v>
      </c>
      <c r="G14" s="2">
        <v>7</v>
      </c>
      <c r="H14" s="2">
        <v>7</v>
      </c>
    </row>
    <row r="15" spans="1:8" x14ac:dyDescent="0.25">
      <c r="A15" s="2">
        <v>5</v>
      </c>
      <c r="B15" s="2">
        <v>6</v>
      </c>
      <c r="C15" s="2">
        <v>6</v>
      </c>
      <c r="D15" s="2">
        <v>6</v>
      </c>
      <c r="E15" s="2">
        <v>6</v>
      </c>
      <c r="F15" s="2">
        <v>6</v>
      </c>
      <c r="G15" s="2">
        <v>6</v>
      </c>
      <c r="H15" s="2">
        <v>7</v>
      </c>
    </row>
    <row r="16" spans="1:8" x14ac:dyDescent="0.25">
      <c r="A16" s="2">
        <v>7</v>
      </c>
      <c r="B16" s="2">
        <v>6</v>
      </c>
      <c r="C16" s="2">
        <v>7</v>
      </c>
      <c r="D16" s="2">
        <v>6</v>
      </c>
      <c r="E16" s="2">
        <v>6</v>
      </c>
      <c r="F16" s="2">
        <v>6</v>
      </c>
      <c r="G16" s="2">
        <v>6</v>
      </c>
      <c r="H16" s="2">
        <v>6</v>
      </c>
    </row>
    <row r="17" spans="1:8" x14ac:dyDescent="0.25">
      <c r="A17" s="2">
        <v>4</v>
      </c>
      <c r="B17" s="2">
        <v>5</v>
      </c>
      <c r="C17" s="2">
        <v>5</v>
      </c>
      <c r="D17" s="2">
        <v>5</v>
      </c>
      <c r="E17" s="2">
        <v>6</v>
      </c>
      <c r="F17" s="2">
        <v>6</v>
      </c>
      <c r="G17" s="2">
        <v>5</v>
      </c>
      <c r="H17" s="2">
        <v>6</v>
      </c>
    </row>
    <row r="18" spans="1:8" x14ac:dyDescent="0.25">
      <c r="A18" s="2">
        <v>6</v>
      </c>
      <c r="B18" s="2">
        <v>6</v>
      </c>
      <c r="C18" s="2">
        <v>6</v>
      </c>
      <c r="D18" s="2">
        <v>6</v>
      </c>
      <c r="E18" s="2">
        <v>6</v>
      </c>
      <c r="F18" s="2">
        <v>7</v>
      </c>
      <c r="G18" s="2">
        <v>4</v>
      </c>
      <c r="H18" s="2">
        <v>5</v>
      </c>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4" workbookViewId="0">
      <selection activeCell="I1" sqref="I1"/>
    </sheetView>
  </sheetViews>
  <sheetFormatPr baseColWidth="10" defaultColWidth="9.140625" defaultRowHeight="15" x14ac:dyDescent="0.25"/>
  <cols>
    <col min="1" max="8" width="8.85546875" style="2" customWidth="1"/>
    <col min="11" max="12" width="18.5703125" style="2" customWidth="1"/>
    <col min="13" max="13" width="18.140625" customWidth="1"/>
  </cols>
  <sheetData>
    <row r="1" spans="1:13" ht="96" customHeight="1" x14ac:dyDescent="0.25">
      <c r="A1" s="55" t="s">
        <v>418</v>
      </c>
      <c r="B1" s="53"/>
      <c r="C1" s="53"/>
      <c r="D1" s="53"/>
      <c r="E1" s="53"/>
      <c r="F1" s="53"/>
      <c r="G1" s="53"/>
      <c r="H1" s="53"/>
      <c r="K1" s="56"/>
      <c r="L1" s="57"/>
      <c r="M1" s="57"/>
    </row>
    <row r="2" spans="1:13" x14ac:dyDescent="0.25">
      <c r="A2" s="54" t="s">
        <v>0</v>
      </c>
      <c r="B2" s="54"/>
      <c r="C2" s="54"/>
      <c r="D2" s="54"/>
      <c r="E2" s="54"/>
      <c r="F2" s="54"/>
      <c r="G2" s="54"/>
      <c r="H2" s="54"/>
      <c r="K2" s="54" t="s">
        <v>4</v>
      </c>
      <c r="L2" s="54"/>
      <c r="M2" s="54"/>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IF(Data!A4&gt;0,Data!A4-4,"")</f>
        <v>2</v>
      </c>
      <c r="B4" s="2">
        <f>IF(Data!B4&gt;0,Data!B4-4,"")</f>
        <v>-1</v>
      </c>
      <c r="C4" s="2">
        <f>IF(Data!C4&gt;0,Data!C4-4,"")</f>
        <v>2</v>
      </c>
      <c r="D4" s="2">
        <f>IF(Data!D4&gt;0,Data!D4-4,"")</f>
        <v>0</v>
      </c>
      <c r="E4" s="2">
        <f>IF(Data!E4&gt;0,Data!E4-4,"")</f>
        <v>3</v>
      </c>
      <c r="F4" s="2">
        <f>IF(Data!F4&gt;0,Data!F4-4,"")</f>
        <v>3</v>
      </c>
      <c r="G4" s="2">
        <f>IF(Data!G4&gt;0,Data!G4-4,"")</f>
        <v>3</v>
      </c>
      <c r="H4" s="2">
        <f>IF(Data!H4&gt;0,Data!H4-4,"")</f>
        <v>2</v>
      </c>
      <c r="K4" s="9">
        <f>IF(COUNT(A4,B4,C4,D4)&gt;0,AVERAGE(A4,B4,C4,D4),"")</f>
        <v>0.75</v>
      </c>
      <c r="L4" s="9">
        <f>IF(COUNT(E4,F4,G4,H4)&gt;0,AVERAGE(E4,F4,G4,H4),"")</f>
        <v>2.75</v>
      </c>
      <c r="M4" s="9">
        <f>IF(COUNT(A4,B4,C4,D4,E4,F4,G4,H4)&gt;0,AVERAGE(A4,B4,C4,D4,E4,F4,G4,H4),"")</f>
        <v>1.75</v>
      </c>
    </row>
    <row r="5" spans="1:13" x14ac:dyDescent="0.25">
      <c r="A5" s="2">
        <f>IF(Data!A5&gt;0,Data!A5-4,"")</f>
        <v>1</v>
      </c>
      <c r="B5" s="2">
        <f>IF(Data!B5&gt;0,Data!B5-4,"")</f>
        <v>2</v>
      </c>
      <c r="C5" s="2">
        <f>IF(Data!C5&gt;0,Data!C5-4,"")</f>
        <v>2</v>
      </c>
      <c r="D5" s="2">
        <f>IF(Data!D5&gt;0,Data!D5-4,"")</f>
        <v>-2</v>
      </c>
      <c r="E5" s="2">
        <f>IF(Data!E5&gt;0,Data!E5-4,"")</f>
        <v>2</v>
      </c>
      <c r="F5" s="2">
        <f>IF(Data!F5&gt;0,Data!F5-4,"")</f>
        <v>2</v>
      </c>
      <c r="G5" s="2">
        <f>IF(Data!G5&gt;0,Data!G5-4,"")</f>
        <v>1</v>
      </c>
      <c r="H5" s="2">
        <f>IF(Data!H5&gt;0,Data!H5-4,"")</f>
        <v>1</v>
      </c>
      <c r="K5" s="9">
        <f t="shared" ref="K5:K68" si="0">IF(COUNT(A5,B5,C5,D5)&gt;0,AVERAGE(A5,B5,C5,D5),"")</f>
        <v>0.75</v>
      </c>
      <c r="L5" s="9">
        <f t="shared" ref="L5:L68" si="1">IF(COUNT(E5,F5,G5,H5)&gt;0,AVERAGE(E5,F5,G5,H5),"")</f>
        <v>1.5</v>
      </c>
      <c r="M5" s="9">
        <f t="shared" ref="M5:M68" si="2">IF(COUNT(A5,B5,C5,D5,E5,F5,G5,H5)&gt;0,AVERAGE(A5,B5,C5,D5,E5,F5,G5,H5),"")</f>
        <v>1.125</v>
      </c>
    </row>
    <row r="6" spans="1:13" x14ac:dyDescent="0.25">
      <c r="A6" s="2">
        <f>IF(Data!A6&gt;0,Data!A6-4,"")</f>
        <v>0</v>
      </c>
      <c r="B6" s="2">
        <f>IF(Data!B6&gt;0,Data!B6-4,"")</f>
        <v>3</v>
      </c>
      <c r="C6" s="2">
        <f>IF(Data!C6&gt;0,Data!C6-4,"")</f>
        <v>0</v>
      </c>
      <c r="D6" s="2">
        <f>IF(Data!D6&gt;0,Data!D6-4,"")</f>
        <v>0</v>
      </c>
      <c r="E6" s="2">
        <f>IF(Data!E6&gt;0,Data!E6-4,"")</f>
        <v>-2</v>
      </c>
      <c r="F6" s="2">
        <f>IF(Data!F6&gt;0,Data!F6-4,"")</f>
        <v>1</v>
      </c>
      <c r="G6" s="2">
        <f>IF(Data!G6&gt;0,Data!G6-4,"")</f>
        <v>0</v>
      </c>
      <c r="H6" s="2">
        <f>IF(Data!H6&gt;0,Data!H6-4,"")</f>
        <v>-2</v>
      </c>
      <c r="K6" s="9">
        <f t="shared" si="0"/>
        <v>0.75</v>
      </c>
      <c r="L6" s="9">
        <f t="shared" si="1"/>
        <v>-0.75</v>
      </c>
      <c r="M6" s="9">
        <f t="shared" si="2"/>
        <v>0</v>
      </c>
    </row>
    <row r="7" spans="1:13" x14ac:dyDescent="0.25">
      <c r="A7" s="2">
        <f>IF(Data!A7&gt;0,Data!A7-4,"")</f>
        <v>1</v>
      </c>
      <c r="B7" s="2">
        <f>IF(Data!B7&gt;0,Data!B7-4,"")</f>
        <v>1</v>
      </c>
      <c r="C7" s="2">
        <f>IF(Data!C7&gt;0,Data!C7-4,"")</f>
        <v>1</v>
      </c>
      <c r="D7" s="2">
        <f>IF(Data!D7&gt;0,Data!D7-4,"")</f>
        <v>1</v>
      </c>
      <c r="E7" s="2">
        <f>IF(Data!E7&gt;0,Data!E7-4,"")</f>
        <v>2</v>
      </c>
      <c r="F7" s="2">
        <f>IF(Data!F7&gt;0,Data!F7-4,"")</f>
        <v>2</v>
      </c>
      <c r="G7" s="2">
        <f>IF(Data!G7&gt;0,Data!G7-4,"")</f>
        <v>2</v>
      </c>
      <c r="H7" s="2">
        <f>IF(Data!H7&gt;0,Data!H7-4,"")</f>
        <v>2</v>
      </c>
      <c r="K7" s="9">
        <f t="shared" si="0"/>
        <v>1</v>
      </c>
      <c r="L7" s="9">
        <f t="shared" si="1"/>
        <v>2</v>
      </c>
      <c r="M7" s="9">
        <f t="shared" si="2"/>
        <v>1.5</v>
      </c>
    </row>
    <row r="8" spans="1:13" x14ac:dyDescent="0.25">
      <c r="A8" s="2">
        <f>IF(Data!A8&gt;0,Data!A8-4,"")</f>
        <v>1</v>
      </c>
      <c r="B8" s="2">
        <f>IF(Data!B8&gt;0,Data!B8-4,"")</f>
        <v>1</v>
      </c>
      <c r="C8" s="2">
        <f>IF(Data!C8&gt;0,Data!C8-4,"")</f>
        <v>2</v>
      </c>
      <c r="D8" s="2">
        <f>IF(Data!D8&gt;0,Data!D8-4,"")</f>
        <v>1</v>
      </c>
      <c r="E8" s="2">
        <f>IF(Data!E8&gt;0,Data!E8-4,"")</f>
        <v>2</v>
      </c>
      <c r="F8" s="2">
        <f>IF(Data!F8&gt;0,Data!F8-4,"")</f>
        <v>0</v>
      </c>
      <c r="G8" s="2">
        <f>IF(Data!G8&gt;0,Data!G8-4,"")</f>
        <v>-1</v>
      </c>
      <c r="H8" s="2">
        <f>IF(Data!H8&gt;0,Data!H8-4,"")</f>
        <v>-1</v>
      </c>
      <c r="K8" s="9">
        <f t="shared" si="0"/>
        <v>1.25</v>
      </c>
      <c r="L8" s="9">
        <f t="shared" si="1"/>
        <v>0</v>
      </c>
      <c r="M8" s="9">
        <f t="shared" si="2"/>
        <v>0.625</v>
      </c>
    </row>
    <row r="9" spans="1:13" x14ac:dyDescent="0.25">
      <c r="A9" s="2">
        <f>IF(Data!A9&gt;0,Data!A9-4,"")</f>
        <v>2</v>
      </c>
      <c r="B9" s="2">
        <f>IF(Data!B9&gt;0,Data!B9-4,"")</f>
        <v>2</v>
      </c>
      <c r="C9" s="2">
        <f>IF(Data!C9&gt;0,Data!C9-4,"")</f>
        <v>3</v>
      </c>
      <c r="D9" s="2">
        <f>IF(Data!D9&gt;0,Data!D9-4,"")</f>
        <v>0</v>
      </c>
      <c r="E9" s="2">
        <f>IF(Data!E9&gt;0,Data!E9-4,"")</f>
        <v>2</v>
      </c>
      <c r="F9" s="2">
        <f>IF(Data!F9&gt;0,Data!F9-4,"")</f>
        <v>2</v>
      </c>
      <c r="G9" s="2">
        <f>IF(Data!G9&gt;0,Data!G9-4,"")</f>
        <v>3</v>
      </c>
      <c r="H9" s="2">
        <f>IF(Data!H9&gt;0,Data!H9-4,"")</f>
        <v>3</v>
      </c>
      <c r="K9" s="9">
        <f t="shared" si="0"/>
        <v>1.75</v>
      </c>
      <c r="L9" s="9">
        <f t="shared" si="1"/>
        <v>2.5</v>
      </c>
      <c r="M9" s="9">
        <f t="shared" si="2"/>
        <v>2.125</v>
      </c>
    </row>
    <row r="10" spans="1:13" x14ac:dyDescent="0.25">
      <c r="A10" s="2">
        <f>IF(Data!A10&gt;0,Data!A10-4,"")</f>
        <v>0</v>
      </c>
      <c r="B10" s="2">
        <f>IF(Data!B10&gt;0,Data!B10-4,"")</f>
        <v>1</v>
      </c>
      <c r="C10" s="2">
        <f>IF(Data!C10&gt;0,Data!C10-4,"")</f>
        <v>1</v>
      </c>
      <c r="D10" s="2">
        <f>IF(Data!D10&gt;0,Data!D10-4,"")</f>
        <v>-1</v>
      </c>
      <c r="E10" s="2">
        <f>IF(Data!E10&gt;0,Data!E10-4,"")</f>
        <v>1</v>
      </c>
      <c r="F10" s="2">
        <f>IF(Data!F10&gt;0,Data!F10-4,"")</f>
        <v>1</v>
      </c>
      <c r="G10" s="2">
        <f>IF(Data!G10&gt;0,Data!G10-4,"")</f>
        <v>1</v>
      </c>
      <c r="H10" s="2">
        <f>IF(Data!H10&gt;0,Data!H10-4,"")</f>
        <v>2</v>
      </c>
      <c r="K10" s="9">
        <f t="shared" si="0"/>
        <v>0.25</v>
      </c>
      <c r="L10" s="9">
        <f t="shared" si="1"/>
        <v>1.25</v>
      </c>
      <c r="M10" s="9">
        <f t="shared" si="2"/>
        <v>0.75</v>
      </c>
    </row>
    <row r="11" spans="1:13" x14ac:dyDescent="0.25">
      <c r="A11" s="2">
        <f>IF(Data!A11&gt;0,Data!A11-4,"")</f>
        <v>-2</v>
      </c>
      <c r="B11" s="2">
        <f>IF(Data!B11&gt;0,Data!B11-4,"")</f>
        <v>-1</v>
      </c>
      <c r="C11" s="2">
        <f>IF(Data!C11&gt;0,Data!C11-4,"")</f>
        <v>-1</v>
      </c>
      <c r="D11" s="2">
        <f>IF(Data!D11&gt;0,Data!D11-4,"")</f>
        <v>-2</v>
      </c>
      <c r="E11" s="2">
        <f>IF(Data!E11&gt;0,Data!E11-4,"")</f>
        <v>1</v>
      </c>
      <c r="F11" s="2">
        <f>IF(Data!F11&gt;0,Data!F11-4,"")</f>
        <v>2</v>
      </c>
      <c r="G11" s="2">
        <f>IF(Data!G11&gt;0,Data!G11-4,"")</f>
        <v>1</v>
      </c>
      <c r="H11" s="2">
        <f>IF(Data!H11&gt;0,Data!H11-4,"")</f>
        <v>2</v>
      </c>
      <c r="K11" s="9">
        <f t="shared" si="0"/>
        <v>-1.5</v>
      </c>
      <c r="L11" s="9">
        <f t="shared" si="1"/>
        <v>1.5</v>
      </c>
      <c r="M11" s="9">
        <f t="shared" si="2"/>
        <v>0</v>
      </c>
    </row>
    <row r="12" spans="1:13" x14ac:dyDescent="0.25">
      <c r="A12" s="2">
        <f>IF(Data!A12&gt;0,Data!A12-4,"")</f>
        <v>0</v>
      </c>
      <c r="B12" s="2">
        <f>IF(Data!B12&gt;0,Data!B12-4,"")</f>
        <v>3</v>
      </c>
      <c r="C12" s="2">
        <f>IF(Data!C12&gt;0,Data!C12-4,"")</f>
        <v>-1</v>
      </c>
      <c r="D12" s="2">
        <f>IF(Data!D12&gt;0,Data!D12-4,"")</f>
        <v>0</v>
      </c>
      <c r="E12" s="2">
        <f>IF(Data!E12&gt;0,Data!E12-4,"")</f>
        <v>0</v>
      </c>
      <c r="F12" s="2">
        <f>IF(Data!F12&gt;0,Data!F12-4,"")</f>
        <v>0</v>
      </c>
      <c r="G12" s="2">
        <f>IF(Data!G12&gt;0,Data!G12-4,"")</f>
        <v>0</v>
      </c>
      <c r="H12" s="2">
        <f>IF(Data!H12&gt;0,Data!H12-4,"")</f>
        <v>0</v>
      </c>
      <c r="K12" s="9">
        <f t="shared" si="0"/>
        <v>0.5</v>
      </c>
      <c r="L12" s="9">
        <f t="shared" si="1"/>
        <v>0</v>
      </c>
      <c r="M12" s="9">
        <f t="shared" si="2"/>
        <v>0.25</v>
      </c>
    </row>
    <row r="13" spans="1:13" x14ac:dyDescent="0.25">
      <c r="A13" s="2">
        <f>IF(Data!A13&gt;0,Data!A13-4,"")</f>
        <v>-3</v>
      </c>
      <c r="B13" s="2">
        <f>IF(Data!B13&gt;0,Data!B13-4,"")</f>
        <v>-3</v>
      </c>
      <c r="C13" s="2">
        <f>IF(Data!C13&gt;0,Data!C13-4,"")</f>
        <v>-2</v>
      </c>
      <c r="D13" s="2">
        <f>IF(Data!D13&gt;0,Data!D13-4,"")</f>
        <v>-3</v>
      </c>
      <c r="E13" s="2">
        <f>IF(Data!E13&gt;0,Data!E13-4,"")</f>
        <v>1</v>
      </c>
      <c r="F13" s="2">
        <f>IF(Data!F13&gt;0,Data!F13-4,"")</f>
        <v>1</v>
      </c>
      <c r="G13" s="2">
        <f>IF(Data!G13&gt;0,Data!G13-4,"")</f>
        <v>0</v>
      </c>
      <c r="H13" s="2">
        <f>IF(Data!H13&gt;0,Data!H13-4,"")</f>
        <v>0</v>
      </c>
      <c r="K13" s="9">
        <f t="shared" si="0"/>
        <v>-2.75</v>
      </c>
      <c r="L13" s="9">
        <f t="shared" si="1"/>
        <v>0.5</v>
      </c>
      <c r="M13" s="9">
        <f t="shared" si="2"/>
        <v>-1.125</v>
      </c>
    </row>
    <row r="14" spans="1:13" x14ac:dyDescent="0.25">
      <c r="A14" s="2">
        <f>IF(Data!A14&gt;0,Data!A14-4,"")</f>
        <v>3</v>
      </c>
      <c r="B14" s="2">
        <f>IF(Data!B14&gt;0,Data!B14-4,"")</f>
        <v>2</v>
      </c>
      <c r="C14" s="2">
        <f>IF(Data!C14&gt;0,Data!C14-4,"")</f>
        <v>2</v>
      </c>
      <c r="D14" s="2">
        <f>IF(Data!D14&gt;0,Data!D14-4,"")</f>
        <v>2</v>
      </c>
      <c r="E14" s="2">
        <f>IF(Data!E14&gt;0,Data!E14-4,"")</f>
        <v>3</v>
      </c>
      <c r="F14" s="2">
        <f>IF(Data!F14&gt;0,Data!F14-4,"")</f>
        <v>3</v>
      </c>
      <c r="G14" s="2">
        <f>IF(Data!G14&gt;0,Data!G14-4,"")</f>
        <v>3</v>
      </c>
      <c r="H14" s="2">
        <f>IF(Data!H14&gt;0,Data!H14-4,"")</f>
        <v>3</v>
      </c>
      <c r="K14" s="9">
        <f t="shared" si="0"/>
        <v>2.25</v>
      </c>
      <c r="L14" s="9">
        <f t="shared" si="1"/>
        <v>3</v>
      </c>
      <c r="M14" s="9">
        <f t="shared" si="2"/>
        <v>2.625</v>
      </c>
    </row>
    <row r="15" spans="1:13" x14ac:dyDescent="0.25">
      <c r="A15" s="2">
        <f>IF(Data!A15&gt;0,Data!A15-4,"")</f>
        <v>1</v>
      </c>
      <c r="B15" s="2">
        <f>IF(Data!B15&gt;0,Data!B15-4,"")</f>
        <v>2</v>
      </c>
      <c r="C15" s="2">
        <f>IF(Data!C15&gt;0,Data!C15-4,"")</f>
        <v>2</v>
      </c>
      <c r="D15" s="2">
        <f>IF(Data!D15&gt;0,Data!D15-4,"")</f>
        <v>2</v>
      </c>
      <c r="E15" s="2">
        <f>IF(Data!E15&gt;0,Data!E15-4,"")</f>
        <v>2</v>
      </c>
      <c r="F15" s="2">
        <f>IF(Data!F15&gt;0,Data!F15-4,"")</f>
        <v>2</v>
      </c>
      <c r="G15" s="2">
        <f>IF(Data!G15&gt;0,Data!G15-4,"")</f>
        <v>2</v>
      </c>
      <c r="H15" s="2">
        <f>IF(Data!H15&gt;0,Data!H15-4,"")</f>
        <v>3</v>
      </c>
      <c r="K15" s="9">
        <f t="shared" si="0"/>
        <v>1.75</v>
      </c>
      <c r="L15" s="9">
        <f t="shared" si="1"/>
        <v>2.25</v>
      </c>
      <c r="M15" s="9">
        <f t="shared" si="2"/>
        <v>2</v>
      </c>
    </row>
    <row r="16" spans="1:13" x14ac:dyDescent="0.25">
      <c r="A16" s="2">
        <f>IF(Data!A16&gt;0,Data!A16-4,"")</f>
        <v>3</v>
      </c>
      <c r="B16" s="2">
        <f>IF(Data!B16&gt;0,Data!B16-4,"")</f>
        <v>2</v>
      </c>
      <c r="C16" s="2">
        <f>IF(Data!C16&gt;0,Data!C16-4,"")</f>
        <v>3</v>
      </c>
      <c r="D16" s="2">
        <f>IF(Data!D16&gt;0,Data!D16-4,"")</f>
        <v>2</v>
      </c>
      <c r="E16" s="2">
        <f>IF(Data!E16&gt;0,Data!E16-4,"")</f>
        <v>2</v>
      </c>
      <c r="F16" s="2">
        <f>IF(Data!F16&gt;0,Data!F16-4,"")</f>
        <v>2</v>
      </c>
      <c r="G16" s="2">
        <f>IF(Data!G16&gt;0,Data!G16-4,"")</f>
        <v>2</v>
      </c>
      <c r="H16" s="2">
        <f>IF(Data!H16&gt;0,Data!H16-4,"")</f>
        <v>2</v>
      </c>
      <c r="K16" s="9">
        <f t="shared" si="0"/>
        <v>2.5</v>
      </c>
      <c r="L16" s="9">
        <f t="shared" si="1"/>
        <v>2</v>
      </c>
      <c r="M16" s="9">
        <f t="shared" si="2"/>
        <v>2.25</v>
      </c>
    </row>
    <row r="17" spans="1:13" x14ac:dyDescent="0.25">
      <c r="A17" s="2">
        <f>IF(Data!A17&gt;0,Data!A17-4,"")</f>
        <v>0</v>
      </c>
      <c r="B17" s="2">
        <f>IF(Data!B17&gt;0,Data!B17-4,"")</f>
        <v>1</v>
      </c>
      <c r="C17" s="2">
        <f>IF(Data!C17&gt;0,Data!C17-4,"")</f>
        <v>1</v>
      </c>
      <c r="D17" s="2">
        <f>IF(Data!D17&gt;0,Data!D17-4,"")</f>
        <v>1</v>
      </c>
      <c r="E17" s="2">
        <f>IF(Data!E17&gt;0,Data!E17-4,"")</f>
        <v>2</v>
      </c>
      <c r="F17" s="2">
        <f>IF(Data!F17&gt;0,Data!F17-4,"")</f>
        <v>2</v>
      </c>
      <c r="G17" s="2">
        <f>IF(Data!G17&gt;0,Data!G17-4,"")</f>
        <v>1</v>
      </c>
      <c r="H17" s="2">
        <f>IF(Data!H17&gt;0,Data!H17-4,"")</f>
        <v>2</v>
      </c>
      <c r="K17" s="9">
        <f t="shared" si="0"/>
        <v>0.75</v>
      </c>
      <c r="L17" s="9">
        <f t="shared" si="1"/>
        <v>1.75</v>
      </c>
      <c r="M17" s="9">
        <f t="shared" si="2"/>
        <v>1.25</v>
      </c>
    </row>
    <row r="18" spans="1:13" x14ac:dyDescent="0.25">
      <c r="A18" s="2">
        <f>IF(Data!A18&gt;0,Data!A18-4,"")</f>
        <v>2</v>
      </c>
      <c r="B18" s="2">
        <f>IF(Data!B18&gt;0,Data!B18-4,"")</f>
        <v>2</v>
      </c>
      <c r="C18" s="2">
        <f>IF(Data!C18&gt;0,Data!C18-4,"")</f>
        <v>2</v>
      </c>
      <c r="D18" s="2">
        <f>IF(Data!D18&gt;0,Data!D18-4,"")</f>
        <v>2</v>
      </c>
      <c r="E18" s="2">
        <f>IF(Data!E18&gt;0,Data!E18-4,"")</f>
        <v>2</v>
      </c>
      <c r="F18" s="2">
        <f>IF(Data!F18&gt;0,Data!F18-4,"")</f>
        <v>3</v>
      </c>
      <c r="G18" s="2">
        <f>IF(Data!G18&gt;0,Data!G18-4,"")</f>
        <v>0</v>
      </c>
      <c r="H18" s="2">
        <f>IF(Data!H18&gt;0,Data!H18-4,"")</f>
        <v>1</v>
      </c>
      <c r="K18" s="9">
        <f t="shared" si="0"/>
        <v>2</v>
      </c>
      <c r="L18" s="9">
        <f t="shared" si="1"/>
        <v>1.5</v>
      </c>
      <c r="M18" s="9">
        <f t="shared" si="2"/>
        <v>1.75</v>
      </c>
    </row>
    <row r="19" spans="1:13"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9" t="str">
        <f t="shared" si="0"/>
        <v/>
      </c>
      <c r="L19" s="9" t="str">
        <f t="shared" si="1"/>
        <v/>
      </c>
      <c r="M19" s="9" t="str">
        <f t="shared" si="2"/>
        <v/>
      </c>
    </row>
    <row r="20" spans="1:13"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9" t="str">
        <f t="shared" si="0"/>
        <v/>
      </c>
      <c r="L20" s="9" t="str">
        <f t="shared" si="1"/>
        <v/>
      </c>
      <c r="M20" s="9" t="str">
        <f t="shared" si="2"/>
        <v/>
      </c>
    </row>
    <row r="21" spans="1:13"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9" t="str">
        <f t="shared" si="0"/>
        <v/>
      </c>
      <c r="L21" s="9" t="str">
        <f t="shared" si="1"/>
        <v/>
      </c>
      <c r="M21" s="9" t="str">
        <f t="shared" si="2"/>
        <v/>
      </c>
    </row>
    <row r="22" spans="1:13"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9" t="str">
        <f t="shared" si="0"/>
        <v/>
      </c>
      <c r="L22" s="9" t="str">
        <f t="shared" si="1"/>
        <v/>
      </c>
      <c r="M22" s="9" t="str">
        <f t="shared" si="2"/>
        <v/>
      </c>
    </row>
    <row r="23" spans="1:13"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9" t="str">
        <f t="shared" si="0"/>
        <v/>
      </c>
      <c r="L23" s="9" t="str">
        <f t="shared" si="1"/>
        <v/>
      </c>
      <c r="M23" s="9" t="str">
        <f t="shared" si="2"/>
        <v/>
      </c>
    </row>
    <row r="24" spans="1:13"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9" t="str">
        <f t="shared" si="0"/>
        <v/>
      </c>
      <c r="L24" s="9" t="str">
        <f t="shared" si="1"/>
        <v/>
      </c>
      <c r="M24" s="9" t="str">
        <f t="shared" si="2"/>
        <v/>
      </c>
    </row>
    <row r="25" spans="1:13"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9" t="str">
        <f t="shared" si="0"/>
        <v/>
      </c>
      <c r="L25" s="9" t="str">
        <f t="shared" si="1"/>
        <v/>
      </c>
      <c r="M25" s="9" t="str">
        <f t="shared" si="2"/>
        <v/>
      </c>
    </row>
    <row r="26" spans="1:13"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abSelected="1" workbookViewId="0">
      <selection activeCell="M35" sqref="M35"/>
    </sheetView>
  </sheetViews>
  <sheetFormatPr baseColWidth="10" defaultColWidth="9.140625" defaultRowHeight="15" x14ac:dyDescent="0.25"/>
  <cols>
    <col min="1" max="1" width="5.42578125" customWidth="1"/>
    <col min="2" max="2" width="8.140625" customWidth="1"/>
    <col min="5" max="5" width="7.42578125" customWidth="1"/>
    <col min="6" max="6" width="19.140625" customWidth="1"/>
    <col min="7" max="7" width="24.42578125" customWidth="1"/>
    <col min="8" max="8" width="17.42578125" customWidth="1"/>
    <col min="9" max="9" width="2.5703125" customWidth="1"/>
    <col min="11" max="11" width="23.5703125" customWidth="1"/>
    <col min="12" max="12" width="10.5703125" bestFit="1" customWidth="1"/>
  </cols>
  <sheetData>
    <row r="1" spans="1:18" ht="110.45" customHeight="1" x14ac:dyDescent="0.25">
      <c r="A1" s="58" t="s">
        <v>415</v>
      </c>
      <c r="B1" s="59"/>
      <c r="C1" s="59"/>
      <c r="D1" s="59"/>
      <c r="E1" s="59"/>
      <c r="F1" s="59"/>
      <c r="G1" s="59"/>
      <c r="H1" s="59"/>
      <c r="I1" s="59"/>
      <c r="J1" s="59"/>
      <c r="K1" s="59"/>
      <c r="L1" s="59"/>
      <c r="M1" s="59"/>
      <c r="N1" s="59"/>
    </row>
    <row r="3" spans="1:18" x14ac:dyDescent="0.25">
      <c r="A3" s="3" t="s">
        <v>1</v>
      </c>
      <c r="B3" s="5" t="s">
        <v>21</v>
      </c>
      <c r="C3" s="5" t="s">
        <v>22</v>
      </c>
      <c r="D3" s="5" t="s">
        <v>23</v>
      </c>
      <c r="E3" s="5" t="s">
        <v>24</v>
      </c>
      <c r="F3" s="3" t="s">
        <v>413</v>
      </c>
      <c r="G3" s="3" t="s">
        <v>414</v>
      </c>
      <c r="H3" s="5" t="s">
        <v>25</v>
      </c>
      <c r="I3" s="2"/>
      <c r="K3" s="60" t="s">
        <v>412</v>
      </c>
      <c r="L3" s="60"/>
    </row>
    <row r="4" spans="1:18" x14ac:dyDescent="0.25">
      <c r="A4" s="4">
        <v>1</v>
      </c>
      <c r="B4" s="6">
        <f>AVERAGE(DT!A4:A1004)</f>
        <v>0.73333333333333328</v>
      </c>
      <c r="C4" s="6">
        <f>VAR(DT!A4:A1004)</f>
        <v>2.7809523809523813</v>
      </c>
      <c r="D4" s="6">
        <f>SQRT(C4)</f>
        <v>1.667618775665584</v>
      </c>
      <c r="E4" s="7">
        <f>COUNTA(Data!A4:A1000)</f>
        <v>15</v>
      </c>
      <c r="F4" s="19" t="str">
        <f>VLOOKUP(Read_First!B4,Items!A1:Q50,8,FALSE)</f>
        <v>behindernd</v>
      </c>
      <c r="G4" s="19" t="str">
        <f>VLOOKUP(Read_First!B4,Items!A1:Q50,9,FALSE)</f>
        <v>unterstützend</v>
      </c>
      <c r="H4" s="21" t="str">
        <f>VLOOKUP(Read_First!B4,Items!A1:S50,18,FALSE)</f>
        <v>Pragmatische Qualität</v>
      </c>
      <c r="I4" s="41"/>
      <c r="K4" s="21" t="str">
        <f>VLOOKUP(Read_First!B4,Items!A1:S50,18,FALSE)</f>
        <v>Pragmatische Qualität</v>
      </c>
      <c r="L4" s="12">
        <f>AVERAGE(DT!K4:K1004)</f>
        <v>0.8</v>
      </c>
      <c r="R4" s="8"/>
    </row>
    <row r="5" spans="1:18" x14ac:dyDescent="0.25">
      <c r="A5" s="4">
        <v>2</v>
      </c>
      <c r="B5" s="6">
        <f>AVERAGE(DT!B4:B1004)</f>
        <v>1.1333333333333333</v>
      </c>
      <c r="C5" s="6">
        <f>VAR(DT!B4:B1004)</f>
        <v>2.6952380952380954</v>
      </c>
      <c r="D5" s="6">
        <f t="shared" ref="D5:D11" si="0">SQRT(C5)</f>
        <v>1.6417180315870614</v>
      </c>
      <c r="E5" s="7">
        <f>COUNTA(Data!B4:B1000)</f>
        <v>15</v>
      </c>
      <c r="F5" s="19" t="str">
        <f>VLOOKUP(Read_First!B4,Items!A1:Q50,10,FALSE)</f>
        <v>kompliziert</v>
      </c>
      <c r="G5" s="19" t="str">
        <f>VLOOKUP(Read_First!B4,Items!A1:Q50,11,FALSE)</f>
        <v>einfach</v>
      </c>
      <c r="H5" s="21" t="str">
        <f>VLOOKUP(Read_First!B4,Items!A1:S50,18,FALSE)</f>
        <v>Pragmatische Qualität</v>
      </c>
      <c r="I5" s="41"/>
      <c r="K5" s="21" t="str">
        <f>VLOOKUP(Read_First!B4,Items!A1:S50,19,FALSE)</f>
        <v>Hedonische Qualität</v>
      </c>
      <c r="L5" s="12">
        <f>AVERAGE(DT!L4:L1004)</f>
        <v>1.45</v>
      </c>
    </row>
    <row r="6" spans="1:18" x14ac:dyDescent="0.25">
      <c r="A6" s="4">
        <v>3</v>
      </c>
      <c r="B6" s="6">
        <f>AVERAGE(DT!C4:C1004)</f>
        <v>1.1333333333333333</v>
      </c>
      <c r="C6" s="6">
        <f>VAR(DT!C4:C1004)</f>
        <v>2.2666666666666666</v>
      </c>
      <c r="D6" s="6">
        <f t="shared" si="0"/>
        <v>1.505545305418162</v>
      </c>
      <c r="E6" s="7">
        <f>COUNTA(Data!C4:C1000)</f>
        <v>15</v>
      </c>
      <c r="F6" s="19" t="str">
        <f>VLOOKUP(Read_First!B4,Items!A1:Q50,14,FALSE)</f>
        <v>ineffizient</v>
      </c>
      <c r="G6" s="19" t="str">
        <f>VLOOKUP(Read_First!B4,Items!A1:Q50,15,FALSE)</f>
        <v>effizient</v>
      </c>
      <c r="H6" s="21" t="str">
        <f>VLOOKUP(Read_First!B4,Items!A1:S50,18,FALSE)</f>
        <v>Pragmatische Qualität</v>
      </c>
      <c r="I6" s="41"/>
      <c r="K6" s="21" t="s">
        <v>411</v>
      </c>
      <c r="L6" s="12">
        <f>AVERAGE(DT!M4:M1004)</f>
        <v>1.125</v>
      </c>
    </row>
    <row r="7" spans="1:18" x14ac:dyDescent="0.25">
      <c r="A7" s="4">
        <v>4</v>
      </c>
      <c r="B7" s="6">
        <f>AVERAGE(DT!D4:D1004)</f>
        <v>0.2</v>
      </c>
      <c r="C7" s="6">
        <f>VAR(DT!D4:D1004)</f>
        <v>2.6</v>
      </c>
      <c r="D7" s="6">
        <f t="shared" si="0"/>
        <v>1.61245154965971</v>
      </c>
      <c r="E7" s="7">
        <f>COUNTA(Data!D4:D1000)</f>
        <v>15</v>
      </c>
      <c r="F7" s="19" t="str">
        <f>VLOOKUP(Read_First!B4,Items!A1:Q50,17,FALSE)</f>
        <v>verwirrend</v>
      </c>
      <c r="G7" s="19" t="str">
        <f>VLOOKUP(Read_First!B4,Items!A1:Q50,16,FALSE)</f>
        <v>übersichtlich</v>
      </c>
      <c r="H7" s="21" t="str">
        <f>VLOOKUP(Read_First!B4,Items!A1:S50,18,FALSE)</f>
        <v>Pragmatische Qualität</v>
      </c>
      <c r="I7" s="41"/>
      <c r="K7" s="37"/>
      <c r="L7" s="38"/>
    </row>
    <row r="8" spans="1:18" x14ac:dyDescent="0.25">
      <c r="A8" s="4">
        <v>5</v>
      </c>
      <c r="B8" s="6">
        <f>AVERAGE(DT!E4:E1004)</f>
        <v>1.5333333333333334</v>
      </c>
      <c r="C8" s="6">
        <f>VAR(DT!E4:E1004)</f>
        <v>1.5523809523809524</v>
      </c>
      <c r="D8" s="6">
        <f t="shared" si="0"/>
        <v>1.2459458063579461</v>
      </c>
      <c r="E8" s="7">
        <f>COUNTA(Data!E4:E1000)</f>
        <v>15</v>
      </c>
      <c r="F8" s="19" t="str">
        <f>VLOOKUP(Read_First!B4,Items!A1:Q50,2,FALSE)</f>
        <v>langweilig</v>
      </c>
      <c r="G8" s="19" t="str">
        <f>VLOOKUP(Read_First!B4,Items!A1:Q50,3,FALSE)</f>
        <v>spannend</v>
      </c>
      <c r="H8" s="22" t="str">
        <f>VLOOKUP(Read_First!B4,Items!A1:S50,19,FALSE)</f>
        <v>Hedonische Qualität</v>
      </c>
      <c r="I8" s="42"/>
      <c r="K8" s="37"/>
      <c r="L8" s="38"/>
    </row>
    <row r="9" spans="1:18" x14ac:dyDescent="0.25">
      <c r="A9" s="4">
        <v>6</v>
      </c>
      <c r="B9" s="6">
        <f>AVERAGE(DT!F4:F1004)</f>
        <v>1.7333333333333334</v>
      </c>
      <c r="C9" s="6">
        <f>VAR(DT!F4:F1004)</f>
        <v>0.92380952380952353</v>
      </c>
      <c r="D9" s="6">
        <f t="shared" si="0"/>
        <v>0.96115010472325468</v>
      </c>
      <c r="E9" s="7">
        <f>COUNTA(Data!F4:F1000)</f>
        <v>15</v>
      </c>
      <c r="F9" s="19" t="str">
        <f>VLOOKUP(Read_First!B4,Items!A1:Q50,4,FALSE)</f>
        <v>uninteressant</v>
      </c>
      <c r="G9" s="19" t="str">
        <f>VLOOKUP(Read_First!B4,Items!A1:Q50,5,FALSE)</f>
        <v>interessant</v>
      </c>
      <c r="H9" s="22" t="str">
        <f>VLOOKUP(Read_First!B4,Items!A1:S50,19,FALSE)</f>
        <v>Hedonische Qualität</v>
      </c>
      <c r="I9" s="42"/>
      <c r="K9" s="20"/>
      <c r="L9" s="38"/>
    </row>
    <row r="10" spans="1:18" x14ac:dyDescent="0.25">
      <c r="A10" s="4">
        <v>7</v>
      </c>
      <c r="B10" s="6">
        <f>AVERAGE(DT!G4:G1004)</f>
        <v>1.2</v>
      </c>
      <c r="C10" s="6">
        <f>VAR(DT!G4:G1004)</f>
        <v>1.5999999999999999</v>
      </c>
      <c r="D10" s="6">
        <f t="shared" si="0"/>
        <v>1.2649110640673518</v>
      </c>
      <c r="E10" s="7">
        <f>COUNTA(Data!G4:G1000)</f>
        <v>15</v>
      </c>
      <c r="F10" s="19" t="str">
        <f>VLOOKUP(Read_First!B4,Items!A1:Q50,7,FALSE)</f>
        <v>konventionell</v>
      </c>
      <c r="G10" s="19" t="str">
        <f>VLOOKUP(Read_First!B4,Items!A1:Q50,6,FALSE)</f>
        <v>originell</v>
      </c>
      <c r="H10" s="22" t="str">
        <f>VLOOKUP(Read_First!B4,Items!A1:S50,19,FALSE)</f>
        <v>Hedonische Qualität</v>
      </c>
      <c r="I10" s="42"/>
    </row>
    <row r="11" spans="1:18" x14ac:dyDescent="0.25">
      <c r="A11" s="4">
        <v>8</v>
      </c>
      <c r="B11" s="6">
        <f>AVERAGE(DT!H4:H1004)</f>
        <v>1.3333333333333333</v>
      </c>
      <c r="C11" s="6">
        <f>VAR(DT!H4:H1004)</f>
        <v>2.2380952380952381</v>
      </c>
      <c r="D11" s="6">
        <f t="shared" si="0"/>
        <v>1.4960264830861913</v>
      </c>
      <c r="E11" s="7">
        <f>COUNTA(Data!H4:H1000)</f>
        <v>15</v>
      </c>
      <c r="F11" s="19" t="str">
        <f>VLOOKUP(Read_First!B4,Items!A1:Q50,12,FALSE)</f>
        <v>herkömmlich</v>
      </c>
      <c r="G11" s="19" t="str">
        <f>VLOOKUP(Read_First!B4,Items!A1:Q50,13,FALSE)</f>
        <v>neuartig</v>
      </c>
      <c r="H11" s="21" t="str">
        <f>VLOOKUP(Read_First!B4,Items!A1:S50,19,FALSE)</f>
        <v>Hedonische Qualität</v>
      </c>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1"/>
      <c r="L27" s="51"/>
      <c r="M27" s="51"/>
      <c r="N27" s="51"/>
      <c r="O27" s="51"/>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40625" defaultRowHeight="15" x14ac:dyDescent="0.25"/>
  <cols>
    <col min="5" max="5" width="12.5703125" customWidth="1"/>
    <col min="9" max="9" width="18.5703125" customWidth="1"/>
    <col min="13" max="13" width="11.85546875" customWidth="1"/>
  </cols>
  <sheetData>
    <row r="1" spans="1:15" ht="88.5" customHeight="1" x14ac:dyDescent="0.25">
      <c r="A1" s="61" t="s">
        <v>258</v>
      </c>
      <c r="B1" s="62"/>
      <c r="C1" s="62"/>
      <c r="D1" s="62"/>
      <c r="E1" s="62"/>
      <c r="F1" s="62"/>
      <c r="G1" s="62"/>
      <c r="H1" s="62"/>
      <c r="I1" s="62"/>
      <c r="J1" s="62"/>
      <c r="K1" s="62"/>
      <c r="L1" s="62"/>
      <c r="M1" s="62"/>
      <c r="N1" s="62"/>
      <c r="O1" s="62"/>
    </row>
    <row r="3" spans="1:15" x14ac:dyDescent="0.25">
      <c r="A3" s="60" t="s">
        <v>29</v>
      </c>
      <c r="B3" s="60"/>
      <c r="C3" s="60"/>
      <c r="D3" s="60"/>
      <c r="E3" s="60"/>
      <c r="F3" s="60"/>
      <c r="G3" s="60"/>
      <c r="I3" s="60" t="s">
        <v>26</v>
      </c>
      <c r="J3" s="60"/>
      <c r="K3" s="60"/>
      <c r="L3" s="60"/>
      <c r="M3" s="60"/>
      <c r="N3" s="60"/>
      <c r="O3" s="60"/>
    </row>
    <row r="4" spans="1:15" x14ac:dyDescent="0.25">
      <c r="A4" s="3" t="s">
        <v>1</v>
      </c>
      <c r="B4" s="5" t="s">
        <v>21</v>
      </c>
      <c r="C4" s="5" t="s">
        <v>23</v>
      </c>
      <c r="D4" s="3" t="s">
        <v>2</v>
      </c>
      <c r="E4" s="5" t="s">
        <v>27</v>
      </c>
      <c r="F4" s="60" t="s">
        <v>28</v>
      </c>
      <c r="G4" s="60"/>
      <c r="I4" s="5" t="s">
        <v>25</v>
      </c>
      <c r="J4" s="3" t="s">
        <v>21</v>
      </c>
      <c r="K4" s="3" t="s">
        <v>23</v>
      </c>
      <c r="L4" s="3" t="s">
        <v>2</v>
      </c>
      <c r="M4" s="5" t="s">
        <v>27</v>
      </c>
      <c r="N4" s="60" t="s">
        <v>28</v>
      </c>
      <c r="O4" s="60"/>
    </row>
    <row r="5" spans="1:15" x14ac:dyDescent="0.25">
      <c r="A5" s="13">
        <v>1</v>
      </c>
      <c r="B5" s="12">
        <f>Results!B4</f>
        <v>0.73333333333333328</v>
      </c>
      <c r="C5" s="12">
        <f>Results!D4</f>
        <v>1.667618775665584</v>
      </c>
      <c r="D5" s="7">
        <f>Results!E4</f>
        <v>15</v>
      </c>
      <c r="E5" s="12">
        <f t="shared" ref="E5:E12" si="0">CONFIDENCE(0.05, C5, D5)</f>
        <v>0.84391603270072035</v>
      </c>
      <c r="F5" s="12">
        <f t="shared" ref="F5:F12" si="1">B5-E5</f>
        <v>-0.11058269936738707</v>
      </c>
      <c r="G5" s="12">
        <f t="shared" ref="G5:G12" si="2">B5+E5</f>
        <v>1.5772493660340536</v>
      </c>
      <c r="I5" s="11" t="str">
        <f>VLOOKUP(Read_First!B4,Items!A1:S50,18,FALSE)</f>
        <v>Pragmatische Qualität</v>
      </c>
      <c r="J5" s="12">
        <f>AVERAGE(DT!K4:K1004)</f>
        <v>0.8</v>
      </c>
      <c r="K5" s="12">
        <f>STDEV(DT!K4:K1004)</f>
        <v>1.382931668593933</v>
      </c>
      <c r="L5" s="7">
        <f>MAX(D5:D12)</f>
        <v>15</v>
      </c>
      <c r="M5" s="12">
        <f t="shared" ref="M5:M7" si="3">CONFIDENCE(0.05, K5, L5)</f>
        <v>0.69984712590572284</v>
      </c>
      <c r="N5" s="12">
        <f t="shared" ref="N5:N7" si="4">J5-M5</f>
        <v>0.1001528740942772</v>
      </c>
      <c r="O5" s="12">
        <f t="shared" ref="O5:O7" si="5">J5+M5</f>
        <v>1.4998471259057229</v>
      </c>
    </row>
    <row r="6" spans="1:15" x14ac:dyDescent="0.25">
      <c r="A6" s="13">
        <v>2</v>
      </c>
      <c r="B6" s="12">
        <f>Results!B5</f>
        <v>1.1333333333333333</v>
      </c>
      <c r="C6" s="12">
        <f>Results!D5</f>
        <v>1.6417180315870614</v>
      </c>
      <c r="D6" s="7">
        <f>Results!E5</f>
        <v>15</v>
      </c>
      <c r="E6" s="12">
        <f t="shared" si="0"/>
        <v>0.83080868856085877</v>
      </c>
      <c r="F6" s="12">
        <f t="shared" si="1"/>
        <v>0.30252464477247454</v>
      </c>
      <c r="G6" s="12">
        <f t="shared" si="2"/>
        <v>1.9641420218941921</v>
      </c>
      <c r="I6" s="11" t="str">
        <f>VLOOKUP(Read_First!B4,Items!A1:S50,19,FALSE)</f>
        <v>Hedonische Qualität</v>
      </c>
      <c r="J6" s="12">
        <f>AVERAGE(DT!L4:L1004)</f>
        <v>1.45</v>
      </c>
      <c r="K6" s="12">
        <f>STDEV(DT!L4:L1004)</f>
        <v>1.0864424250079443</v>
      </c>
      <c r="L6" s="7">
        <f>L5</f>
        <v>15</v>
      </c>
      <c r="M6" s="12">
        <f t="shared" si="3"/>
        <v>0.54980562371307695</v>
      </c>
      <c r="N6" s="12">
        <f t="shared" si="4"/>
        <v>0.900194376286923</v>
      </c>
      <c r="O6" s="12">
        <f t="shared" si="5"/>
        <v>1.999805623713077</v>
      </c>
    </row>
    <row r="7" spans="1:15" x14ac:dyDescent="0.25">
      <c r="A7" s="13">
        <v>3</v>
      </c>
      <c r="B7" s="12">
        <f>Results!B6</f>
        <v>1.1333333333333333</v>
      </c>
      <c r="C7" s="12">
        <f>Results!D6</f>
        <v>1.505545305418162</v>
      </c>
      <c r="D7" s="7">
        <f>Results!E6</f>
        <v>15</v>
      </c>
      <c r="E7" s="12">
        <f t="shared" si="0"/>
        <v>0.76189704729882468</v>
      </c>
      <c r="F7" s="12">
        <f t="shared" si="1"/>
        <v>0.37143628603450862</v>
      </c>
      <c r="G7" s="12">
        <f t="shared" si="2"/>
        <v>1.895230380632158</v>
      </c>
      <c r="I7" s="11" t="s">
        <v>411</v>
      </c>
      <c r="J7" s="12">
        <f>AVERAGE(DT!M4:M1004)</f>
        <v>1.125</v>
      </c>
      <c r="K7" s="12">
        <f>STDEV(DT!M4:M1004)</f>
        <v>1.0340195494145306</v>
      </c>
      <c r="L7" s="7">
        <f>L6</f>
        <v>15</v>
      </c>
      <c r="M7" s="12">
        <f t="shared" si="3"/>
        <v>0.52327647578123038</v>
      </c>
      <c r="N7" s="12">
        <f t="shared" si="4"/>
        <v>0.60172352421876962</v>
      </c>
      <c r="O7" s="12">
        <f t="shared" si="5"/>
        <v>1.6482764757812305</v>
      </c>
    </row>
    <row r="8" spans="1:15" x14ac:dyDescent="0.25">
      <c r="A8" s="13">
        <v>4</v>
      </c>
      <c r="B8" s="12">
        <f>Results!B7</f>
        <v>0.2</v>
      </c>
      <c r="C8" s="12">
        <f>Results!D7</f>
        <v>1.61245154965971</v>
      </c>
      <c r="D8" s="7">
        <f>Results!E7</f>
        <v>15</v>
      </c>
      <c r="E8" s="12">
        <f t="shared" si="0"/>
        <v>0.81599807735903895</v>
      </c>
      <c r="F8" s="12">
        <f t="shared" si="1"/>
        <v>-0.615998077359039</v>
      </c>
      <c r="G8" s="12">
        <f t="shared" si="2"/>
        <v>1.0159980773590389</v>
      </c>
      <c r="I8" s="37"/>
      <c r="J8" s="38"/>
      <c r="K8" s="38"/>
      <c r="L8" s="43"/>
      <c r="M8" s="38"/>
      <c r="N8" s="38"/>
      <c r="O8" s="38"/>
    </row>
    <row r="9" spans="1:15" x14ac:dyDescent="0.25">
      <c r="A9" s="13">
        <v>5</v>
      </c>
      <c r="B9" s="12">
        <f>Results!B8</f>
        <v>1.5333333333333334</v>
      </c>
      <c r="C9" s="12">
        <f>Results!D8</f>
        <v>1.2459458063579461</v>
      </c>
      <c r="D9" s="7">
        <f>Results!E8</f>
        <v>15</v>
      </c>
      <c r="E9" s="12">
        <f t="shared" si="0"/>
        <v>0.63052398857888314</v>
      </c>
      <c r="F9" s="12">
        <f t="shared" si="1"/>
        <v>0.90280934475445029</v>
      </c>
      <c r="G9" s="12">
        <f t="shared" si="2"/>
        <v>2.1638573219122166</v>
      </c>
      <c r="I9" s="37"/>
      <c r="J9" s="38"/>
      <c r="K9" s="38"/>
      <c r="L9" s="43"/>
      <c r="M9" s="38"/>
      <c r="N9" s="38"/>
      <c r="O9" s="38"/>
    </row>
    <row r="10" spans="1:15" x14ac:dyDescent="0.25">
      <c r="A10" s="13">
        <v>6</v>
      </c>
      <c r="B10" s="12">
        <f>Results!B9</f>
        <v>1.7333333333333334</v>
      </c>
      <c r="C10" s="12">
        <f>Results!D9</f>
        <v>0.96115010472325468</v>
      </c>
      <c r="D10" s="7">
        <f>Results!E9</f>
        <v>15</v>
      </c>
      <c r="E10" s="12">
        <f t="shared" si="0"/>
        <v>0.48640012636232816</v>
      </c>
      <c r="F10" s="12">
        <f t="shared" si="1"/>
        <v>1.2469332069710053</v>
      </c>
      <c r="G10" s="12">
        <f t="shared" si="2"/>
        <v>2.2197334596956617</v>
      </c>
      <c r="I10" s="20"/>
      <c r="J10" s="38"/>
      <c r="K10" s="38"/>
      <c r="L10" s="43"/>
      <c r="M10" s="38"/>
      <c r="N10" s="38"/>
      <c r="O10" s="38"/>
    </row>
    <row r="11" spans="1:15" x14ac:dyDescent="0.25">
      <c r="A11" s="13">
        <v>7</v>
      </c>
      <c r="B11" s="12">
        <f>Results!B10</f>
        <v>1.2</v>
      </c>
      <c r="C11" s="12">
        <f>Results!D10</f>
        <v>1.2649110640673518</v>
      </c>
      <c r="D11" s="7">
        <f>Results!E10</f>
        <v>15</v>
      </c>
      <c r="E11" s="12">
        <f t="shared" si="0"/>
        <v>0.6401215568473746</v>
      </c>
      <c r="F11" s="12">
        <f t="shared" si="1"/>
        <v>0.55987844315262536</v>
      </c>
      <c r="G11" s="12">
        <f t="shared" si="2"/>
        <v>1.8401215568473746</v>
      </c>
    </row>
    <row r="12" spans="1:15" x14ac:dyDescent="0.25">
      <c r="A12" s="13">
        <v>8</v>
      </c>
      <c r="B12" s="12">
        <f>Results!B11</f>
        <v>1.3333333333333333</v>
      </c>
      <c r="C12" s="12">
        <f>Results!D11</f>
        <v>1.4960264830861913</v>
      </c>
      <c r="D12" s="7">
        <f>Results!E11</f>
        <v>15</v>
      </c>
      <c r="E12" s="12">
        <f t="shared" si="0"/>
        <v>0.75707994707448023</v>
      </c>
      <c r="F12" s="12">
        <f t="shared" si="1"/>
        <v>0.57625338625885303</v>
      </c>
      <c r="G12" s="12">
        <f t="shared" si="2"/>
        <v>2.0904132804078133</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5703125" customWidth="1"/>
    <col min="12" max="12" width="5.5703125" customWidth="1"/>
    <col min="13" max="13" width="9" customWidth="1"/>
    <col min="14" max="14" width="10.5703125" customWidth="1"/>
    <col min="15" max="15" width="5.140625" customWidth="1"/>
    <col min="16" max="16" width="9.5703125" customWidth="1"/>
    <col min="17" max="17" width="10.5703125" customWidth="1"/>
  </cols>
  <sheetData>
    <row r="1" spans="1:18" ht="137.25" customHeight="1" x14ac:dyDescent="0.25">
      <c r="A1" s="51" t="s">
        <v>259</v>
      </c>
      <c r="B1" s="63"/>
      <c r="C1" s="63"/>
      <c r="D1" s="63"/>
      <c r="E1" s="63"/>
      <c r="F1" s="63"/>
      <c r="G1" s="63"/>
      <c r="H1" s="63"/>
      <c r="I1" s="63"/>
      <c r="J1" s="63"/>
      <c r="K1" s="63"/>
      <c r="L1" s="63"/>
      <c r="M1" s="63"/>
      <c r="N1" s="63"/>
      <c r="O1" s="63"/>
      <c r="P1" s="63"/>
      <c r="Q1" s="63"/>
      <c r="R1" s="63"/>
    </row>
    <row r="3" spans="1:18" x14ac:dyDescent="0.25">
      <c r="D3" s="54" t="str">
        <f>VLOOKUP(Read_First!B4,Items!A1:S50,18,FALSE)</f>
        <v>Pragmatische Qualität</v>
      </c>
      <c r="E3" s="54"/>
      <c r="G3" s="54" t="str">
        <f>VLOOKUP(Read_First!B4,Items!A1:S50,19,FALSE)</f>
        <v>Hedonische Qualität</v>
      </c>
      <c r="H3" s="54"/>
    </row>
    <row r="4" spans="1:18" x14ac:dyDescent="0.25">
      <c r="D4" s="29" t="s">
        <v>0</v>
      </c>
      <c r="E4" s="29" t="s">
        <v>30</v>
      </c>
      <c r="G4" s="29" t="s">
        <v>0</v>
      </c>
      <c r="H4" s="29" t="s">
        <v>30</v>
      </c>
    </row>
    <row r="5" spans="1:18" x14ac:dyDescent="0.25">
      <c r="D5" s="30">
        <v>1.2</v>
      </c>
      <c r="E5" s="31">
        <f>CORREL(DT!A4:A1004,DT!B4:B1004)</f>
        <v>0.58789810610744664</v>
      </c>
      <c r="G5" s="30">
        <v>5.6</v>
      </c>
      <c r="H5" s="31">
        <f>CORREL(DT!E4:E1004,DT!F4:F1004)</f>
        <v>0.60441317558903995</v>
      </c>
    </row>
    <row r="6" spans="1:18" x14ac:dyDescent="0.25">
      <c r="D6" s="30">
        <v>1.3</v>
      </c>
      <c r="E6" s="31">
        <f>CORREL(DT!A4:A1004,DT!C4:C1004)</f>
        <v>0.89712145025744994</v>
      </c>
      <c r="G6" s="30">
        <v>5.7</v>
      </c>
      <c r="H6" s="31">
        <f>CORREL(DT!E4:E1004,DT!G4:G1004)</f>
        <v>0.56199765766570164</v>
      </c>
    </row>
    <row r="7" spans="1:18" x14ac:dyDescent="0.25">
      <c r="D7" s="30">
        <v>1.4</v>
      </c>
      <c r="E7" s="31">
        <f>CORREL(DT!A4:A1004,DT!D4:D1004)</f>
        <v>0.7650344671729945</v>
      </c>
      <c r="G7" s="30">
        <v>5.8</v>
      </c>
      <c r="H7" s="31">
        <f>CORREL(DT!E4:E1004,DT!H4:H1004)</f>
        <v>0.70254632255447247</v>
      </c>
    </row>
    <row r="8" spans="1:18" x14ac:dyDescent="0.25">
      <c r="D8" s="30">
        <v>2.2999999999999998</v>
      </c>
      <c r="E8" s="31">
        <f>CORREL(DT!B4:B1004,DT!C4:C1004)</f>
        <v>0.45467419967147737</v>
      </c>
      <c r="G8" s="30">
        <v>6.7</v>
      </c>
      <c r="H8" s="31">
        <f>CORREL(DT!F4:F1004,DT!G4:G1004)</f>
        <v>0.69327056733191739</v>
      </c>
    </row>
    <row r="9" spans="1:18" x14ac:dyDescent="0.25">
      <c r="D9" s="30">
        <v>2.4</v>
      </c>
      <c r="E9" s="31">
        <f>CORREL(DT!B4:B1004,DT!D4:D1004)</f>
        <v>0.58282808783659812</v>
      </c>
      <c r="G9" s="30">
        <v>6.8</v>
      </c>
      <c r="H9" s="31">
        <f>CORREL(DT!F4:F1004,DT!H4:H1004)</f>
        <v>0.6623388073838159</v>
      </c>
    </row>
    <row r="10" spans="1:18" x14ac:dyDescent="0.25">
      <c r="D10" s="30">
        <v>3.4</v>
      </c>
      <c r="E10" s="31">
        <f>CORREL(DT!C4:C1004,DT!D4:D1004)</f>
        <v>0.63554339924097525</v>
      </c>
      <c r="G10" s="30">
        <v>7.8</v>
      </c>
      <c r="H10" s="31">
        <f>CORREL(DT!G4:G1004,DT!H4:H1004)</f>
        <v>0.83041535730831451</v>
      </c>
    </row>
    <row r="11" spans="1:18" x14ac:dyDescent="0.25">
      <c r="D11" s="32" t="s">
        <v>263</v>
      </c>
      <c r="E11" s="31">
        <f>AVERAGE(E5:E10)</f>
        <v>0.65384995171449034</v>
      </c>
      <c r="G11" s="32" t="s">
        <v>263</v>
      </c>
      <c r="H11" s="31">
        <f>AVERAGE(H5:H10)</f>
        <v>0.67583031463887699</v>
      </c>
    </row>
    <row r="12" spans="1:18" x14ac:dyDescent="0.25">
      <c r="C12" s="10"/>
      <c r="D12" s="33" t="s">
        <v>3</v>
      </c>
      <c r="E12" s="34">
        <f>(4*E11)/(1+(3*E11))</f>
        <v>0.88311861517903079</v>
      </c>
      <c r="F12" s="10"/>
      <c r="G12" s="33" t="s">
        <v>3</v>
      </c>
      <c r="H12" s="34">
        <f>(4*H11)/(1+(3*H11))</f>
        <v>0.89292463912650111</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J3" sqref="J3"/>
    </sheetView>
  </sheetViews>
  <sheetFormatPr baseColWidth="10" defaultColWidth="9.140625" defaultRowHeight="15" x14ac:dyDescent="0.25"/>
  <cols>
    <col min="1" max="2" width="18.140625" customWidth="1"/>
    <col min="3" max="3" width="26.85546875" customWidth="1"/>
    <col min="4" max="4" width="41.42578125" customWidth="1"/>
    <col min="5" max="5" width="20.140625" customWidth="1"/>
    <col min="6" max="6" width="10.5703125" customWidth="1"/>
    <col min="7" max="8" width="15.5703125" customWidth="1"/>
  </cols>
  <sheetData>
    <row r="1" spans="1:8" ht="183.95" customHeight="1" x14ac:dyDescent="0.25">
      <c r="A1" s="64" t="s">
        <v>704</v>
      </c>
      <c r="B1" s="65"/>
      <c r="C1" s="65"/>
      <c r="D1" s="65"/>
      <c r="E1" s="65"/>
      <c r="F1" s="65"/>
      <c r="G1" s="65"/>
      <c r="H1" s="65"/>
    </row>
    <row r="3" spans="1:8" x14ac:dyDescent="0.25">
      <c r="A3" s="28" t="s">
        <v>25</v>
      </c>
      <c r="B3" s="28" t="s">
        <v>21</v>
      </c>
      <c r="C3" s="28" t="s">
        <v>32</v>
      </c>
      <c r="D3" s="28" t="s">
        <v>33</v>
      </c>
    </row>
    <row r="4" spans="1:8" x14ac:dyDescent="0.25">
      <c r="A4" s="16" t="str">
        <f>VLOOKUP(Read_First!B4,Items!A1:S50,18,FALSE)</f>
        <v>Pragmatische Qualität</v>
      </c>
      <c r="B4" s="15">
        <f>Results!L4</f>
        <v>0.8</v>
      </c>
      <c r="C4" s="14" t="str">
        <f>IF(B4&gt;E32,"Excellent",IF(B4&gt;D32,"Good",IF(B4&gt;C32,"Above average",IF(B4&gt;B32,"Below average","Bad"))))</f>
        <v>Below average</v>
      </c>
      <c r="D4" t="str">
        <f>IF(B4&gt;E32,"In the range of the 10% best results",IF(B4&gt;D32,"10% of results better, 75% of results worse",IF(B4&gt;C32,"25% of results better, 50% of results worse",IF(B4&gt;B32,"50% of results better, 25% of results worse","In the range of the 25% worst results"))))</f>
        <v>50% of results better, 25% of results worse</v>
      </c>
    </row>
    <row r="5" spans="1:8" x14ac:dyDescent="0.25">
      <c r="A5" s="16" t="str">
        <f>VLOOKUP(Read_First!B4,Items!A1:S50,19,FALSE)</f>
        <v>Hedonische Qualität</v>
      </c>
      <c r="B5" s="15">
        <f>Results!L5</f>
        <v>1.45</v>
      </c>
      <c r="C5" s="14" t="str">
        <f>IF(B5&gt;E33,"Excellent",IF(B5&gt;D33,"Good",IF(B5&gt;C33,"Above Average",IF(B5&gt;B33,"Below Average","Bad"))))</f>
        <v>Good</v>
      </c>
      <c r="D5" t="str">
        <f>IF(B5&gt;E33,"In the range of the 10% best results",IF(B5&gt;D33,"10% of results better, 75% of results worse",IF(B5&gt;C33,"25% of results better, 50% of results worse",IF(B5&gt;B33,"50% of results better, 25% of results worse","In the range of the 25% worst results"))))</f>
        <v>10% of results better, 75% of results worse</v>
      </c>
    </row>
    <row r="6" spans="1:8" x14ac:dyDescent="0.25">
      <c r="A6" s="16" t="s">
        <v>411</v>
      </c>
      <c r="B6" s="39">
        <f>Results!L6</f>
        <v>1.125</v>
      </c>
      <c r="C6" s="14" t="str">
        <f>IF(B6&gt;E34,"Excellent",IF(B6&gt;D34,"Good",IF(B6&gt;C34,"Above Average",IF(B6&gt;B34,"Below Average","Bad"))))</f>
        <v>Above Average</v>
      </c>
      <c r="D6" t="str">
        <f>IF(B6&gt;E34,"In the range of the 10% best results",IF(B6&gt;D34,"10% of results better, 75% of results worse",IF(B6&gt;C34,"25% of results better, 50% of results worse",IF(B6&gt;B34,"50% of results better, 25% of results worse","In the range of the 25% worst results"))))</f>
        <v>25% of results better, 50% of results worse</v>
      </c>
    </row>
    <row r="24" spans="1:8" x14ac:dyDescent="0.25">
      <c r="A24" s="66" t="s">
        <v>260</v>
      </c>
      <c r="B24" s="66"/>
      <c r="C24" s="66"/>
      <c r="D24" s="66"/>
      <c r="E24" s="66"/>
      <c r="F24" s="66"/>
      <c r="G24" s="66"/>
      <c r="H24" s="66"/>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Pragmatische Qualität</v>
      </c>
      <c r="B26" s="26">
        <v>-1</v>
      </c>
      <c r="C26" s="27">
        <f>B32</f>
        <v>0.72</v>
      </c>
      <c r="D26" s="27">
        <f t="shared" ref="D26:F28" si="0">C32-B32</f>
        <v>0.44999999999999996</v>
      </c>
      <c r="E26" s="27">
        <f t="shared" si="0"/>
        <v>0.38000000000000012</v>
      </c>
      <c r="F26" s="27">
        <f t="shared" si="0"/>
        <v>0.18999999999999995</v>
      </c>
      <c r="G26" s="27">
        <f>2.5-E32</f>
        <v>0.76</v>
      </c>
      <c r="H26" s="27">
        <f>Results!L4</f>
        <v>0.8</v>
      </c>
    </row>
    <row r="27" spans="1:8" x14ac:dyDescent="0.25">
      <c r="A27" s="16" t="str">
        <f>VLOOKUP(Read_First!B4,Items!A1:S50,19,FALSE)</f>
        <v>Hedonische Qualität</v>
      </c>
      <c r="B27" s="26">
        <v>-1</v>
      </c>
      <c r="C27" s="27">
        <f>B33</f>
        <v>0.35</v>
      </c>
      <c r="D27" s="27">
        <f t="shared" si="0"/>
        <v>0.5</v>
      </c>
      <c r="E27" s="27">
        <f t="shared" si="0"/>
        <v>0.35</v>
      </c>
      <c r="F27" s="27">
        <f t="shared" si="0"/>
        <v>0.39000000000000012</v>
      </c>
      <c r="G27" s="27">
        <f>2.5-E33</f>
        <v>0.90999999999999992</v>
      </c>
      <c r="H27" s="27">
        <f>Results!L5</f>
        <v>1.45</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1.125</v>
      </c>
    </row>
    <row r="30" spans="1:8" x14ac:dyDescent="0.25">
      <c r="A30" s="66" t="s">
        <v>677</v>
      </c>
      <c r="B30" s="66"/>
      <c r="C30" s="66"/>
      <c r="D30" s="66"/>
      <c r="E30" s="66"/>
    </row>
    <row r="31" spans="1:8" x14ac:dyDescent="0.25">
      <c r="A31" s="14" t="s">
        <v>25</v>
      </c>
      <c r="B31" s="45">
        <v>0.25</v>
      </c>
      <c r="C31" s="45">
        <v>0.5</v>
      </c>
      <c r="D31" s="45">
        <v>0.75</v>
      </c>
      <c r="E31" s="45">
        <v>0.9</v>
      </c>
    </row>
    <row r="32" spans="1:8" x14ac:dyDescent="0.25">
      <c r="A32" s="14" t="s">
        <v>675</v>
      </c>
      <c r="B32">
        <v>0.72</v>
      </c>
      <c r="C32">
        <v>1.17</v>
      </c>
      <c r="D32">
        <v>1.55</v>
      </c>
      <c r="E32">
        <v>1.74</v>
      </c>
    </row>
    <row r="33" spans="1:5" x14ac:dyDescent="0.25">
      <c r="A33" s="14" t="s">
        <v>676</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baseColWidth="10" defaultColWidth="9.140625" defaultRowHeight="15" x14ac:dyDescent="0.25"/>
  <cols>
    <col min="1" max="8" width="8.85546875" style="2" customWidth="1"/>
    <col min="11" max="12" width="18.5703125" style="2" customWidth="1"/>
    <col min="13" max="13" width="9.140625" style="2"/>
    <col min="15" max="15" width="18.28515625" style="4" customWidth="1"/>
    <col min="16" max="16" width="16" style="4" customWidth="1"/>
  </cols>
  <sheetData>
    <row r="1" spans="1:16" ht="185.1" customHeight="1" x14ac:dyDescent="0.25">
      <c r="A1" s="67" t="s">
        <v>709</v>
      </c>
      <c r="B1" s="68"/>
      <c r="C1" s="68"/>
      <c r="D1" s="68"/>
      <c r="E1" s="68"/>
      <c r="F1" s="68"/>
      <c r="G1" s="68"/>
      <c r="H1" s="68"/>
      <c r="I1" s="68"/>
      <c r="J1" s="68"/>
      <c r="K1" s="68"/>
      <c r="L1" s="68"/>
      <c r="M1" s="69"/>
      <c r="O1" s="15"/>
      <c r="P1" s="15"/>
    </row>
    <row r="2" spans="1:16" x14ac:dyDescent="0.25">
      <c r="A2" s="54" t="s">
        <v>0</v>
      </c>
      <c r="B2" s="54"/>
      <c r="C2" s="54"/>
      <c r="D2" s="54"/>
      <c r="E2" s="54"/>
      <c r="F2" s="54"/>
      <c r="G2" s="54"/>
      <c r="H2" s="54"/>
      <c r="K2" s="54" t="s">
        <v>261</v>
      </c>
      <c r="L2" s="54"/>
      <c r="M2" s="54"/>
      <c r="O2" s="70" t="s">
        <v>705</v>
      </c>
      <c r="P2" s="70"/>
    </row>
    <row r="3" spans="1:16" x14ac:dyDescent="0.25">
      <c r="A3" s="1">
        <v>1</v>
      </c>
      <c r="B3" s="1">
        <v>2</v>
      </c>
      <c r="C3" s="1">
        <v>3</v>
      </c>
      <c r="D3" s="1">
        <v>4</v>
      </c>
      <c r="E3" s="1">
        <v>5</v>
      </c>
      <c r="F3" s="1">
        <v>6</v>
      </c>
      <c r="G3" s="1">
        <v>7</v>
      </c>
      <c r="H3" s="1">
        <v>8</v>
      </c>
      <c r="K3" s="25" t="str">
        <f>VLOOKUP(Read_First!B4,Items!A1:S50,18,FALSE)</f>
        <v>Pragmatische Qualität</v>
      </c>
      <c r="L3" s="25" t="str">
        <f>VLOOKUP(Read_First!B4,Items!A1:S50,19,FALSE)</f>
        <v>Hedonische Qualität</v>
      </c>
      <c r="M3" s="25" t="s">
        <v>262</v>
      </c>
      <c r="O3" s="47" t="s">
        <v>706</v>
      </c>
      <c r="P3" s="35" t="s">
        <v>708</v>
      </c>
    </row>
    <row r="4" spans="1:16" x14ac:dyDescent="0.25">
      <c r="A4" s="2">
        <f>IF(Data!A4&gt;0,Data!A4-4,"")</f>
        <v>2</v>
      </c>
      <c r="B4" s="2">
        <f>IF(Data!B4&gt;0,Data!B4-4,"")</f>
        <v>-1</v>
      </c>
      <c r="C4" s="2">
        <f>IF(Data!C4&gt;0,Data!C4-4,"")</f>
        <v>2</v>
      </c>
      <c r="D4" s="2">
        <f>IF(Data!D4&gt;0,Data!D4-4,"")</f>
        <v>0</v>
      </c>
      <c r="E4" s="2">
        <f>IF(Data!E4&gt;0,Data!E4-4,"")</f>
        <v>3</v>
      </c>
      <c r="F4" s="2">
        <f>IF(Data!F4&gt;0,Data!F4-4,"")</f>
        <v>3</v>
      </c>
      <c r="G4" s="2">
        <f>IF(Data!G4&gt;0,Data!G4-4,"")</f>
        <v>3</v>
      </c>
      <c r="H4" s="2">
        <f>IF(Data!H4&gt;0,Data!H4-4,"")</f>
        <v>2</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3</v>
      </c>
      <c r="P4" s="4" t="str">
        <f>IF(COUNTIF(Data!A4:H4,4)=8,"Remove","")</f>
        <v/>
      </c>
    </row>
    <row r="5" spans="1:16" x14ac:dyDescent="0.25">
      <c r="A5" s="2">
        <f>IF(Data!A5&gt;0,Data!A5-4,"")</f>
        <v>1</v>
      </c>
      <c r="B5" s="2">
        <f>IF(Data!B5&gt;0,Data!B5-4,"")</f>
        <v>2</v>
      </c>
      <c r="C5" s="2">
        <f>IF(Data!C5&gt;0,Data!C5-4,"")</f>
        <v>2</v>
      </c>
      <c r="D5" s="2">
        <f>IF(Data!D5&gt;0,Data!D5-4,"")</f>
        <v>-2</v>
      </c>
      <c r="E5" s="2">
        <f>IF(Data!E5&gt;0,Data!E5-4,"")</f>
        <v>2</v>
      </c>
      <c r="F5" s="2">
        <f>IF(Data!F5&gt;0,Data!F5-4,"")</f>
        <v>2</v>
      </c>
      <c r="G5" s="2">
        <f>IF(Data!G5&gt;0,Data!G5-4,"")</f>
        <v>1</v>
      </c>
      <c r="H5" s="2">
        <f>IF(Data!H5&gt;0,Data!H5-4,"")</f>
        <v>1</v>
      </c>
      <c r="K5" s="7">
        <f t="shared" ref="K5:K68" si="0">IF((MAX(A5,B5,C5,D5)-MIN(A5,B5,C5,D5))&gt;3,1,"")</f>
        <v>1</v>
      </c>
      <c r="L5" s="7" t="str">
        <f t="shared" ref="L5:L68" si="1">IF((MAX(E5,F5,G5,H5)-MIN(E5,F5,G5,H5))&gt;3,1,"")</f>
        <v/>
      </c>
      <c r="M5" s="4">
        <f t="shared" ref="M5:M68" si="2">IF(COUNT(A5:D5)&gt;0,IF(COUNT(E5:H5)&gt;0,SUM(K5,L5),0),"")</f>
        <v>1</v>
      </c>
      <c r="O5" s="4">
        <f>IF(MAX(COUNTIF(Data!A5:H5,1),COUNTIF(Data!A5:H5,2),COUNTIF(Data!A5:H5,3),COUNTIF(Data!A5:H5,4),COUNTIF(Data!A5:H5,5),COUNTIF(Data!A5:H5,6),COUNTIF(Data!A5:H5,7))&gt;0,MAX(COUNTIF(Data!A5:H5,1),COUNTIF(Data!A5:H5,2),COUNTIF(Data!A5:H5,3),COUNTIF(Data!A5:H5,4),COUNTIF(Data!A5:H5,5),COUNTIF(Data!A5:H5,6),COUNTIF(Data!A5:H5,7)),"")</f>
        <v>4</v>
      </c>
      <c r="P5" s="4" t="str">
        <f>IF(COUNTIF(Data!A5:H5,4)=8,"Remove","")</f>
        <v/>
      </c>
    </row>
    <row r="6" spans="1:16" x14ac:dyDescent="0.25">
      <c r="A6" s="2">
        <f>IF(Data!A6&gt;0,Data!A6-4,"")</f>
        <v>0</v>
      </c>
      <c r="B6" s="2">
        <f>IF(Data!B6&gt;0,Data!B6-4,"")</f>
        <v>3</v>
      </c>
      <c r="C6" s="2">
        <f>IF(Data!C6&gt;0,Data!C6-4,"")</f>
        <v>0</v>
      </c>
      <c r="D6" s="2">
        <f>IF(Data!D6&gt;0,Data!D6-4,"")</f>
        <v>0</v>
      </c>
      <c r="E6" s="2">
        <f>IF(Data!E6&gt;0,Data!E6-4,"")</f>
        <v>-2</v>
      </c>
      <c r="F6" s="2">
        <f>IF(Data!F6&gt;0,Data!F6-4,"")</f>
        <v>1</v>
      </c>
      <c r="G6" s="2">
        <f>IF(Data!G6&gt;0,Data!G6-4,"")</f>
        <v>0</v>
      </c>
      <c r="H6" s="2">
        <f>IF(Data!H6&gt;0,Data!H6-4,"")</f>
        <v>-2</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4</v>
      </c>
      <c r="P6" s="4" t="str">
        <f>IF(COUNTIF(Data!A6:H6,4)=8,"Remove","")</f>
        <v/>
      </c>
    </row>
    <row r="7" spans="1:16" x14ac:dyDescent="0.25">
      <c r="A7" s="2">
        <f>IF(Data!A7&gt;0,Data!A7-4,"")</f>
        <v>1</v>
      </c>
      <c r="B7" s="2">
        <f>IF(Data!B7&gt;0,Data!B7-4,"")</f>
        <v>1</v>
      </c>
      <c r="C7" s="2">
        <f>IF(Data!C7&gt;0,Data!C7-4,"")</f>
        <v>1</v>
      </c>
      <c r="D7" s="2">
        <f>IF(Data!D7&gt;0,Data!D7-4,"")</f>
        <v>1</v>
      </c>
      <c r="E7" s="2">
        <f>IF(Data!E7&gt;0,Data!E7-4,"")</f>
        <v>2</v>
      </c>
      <c r="F7" s="2">
        <f>IF(Data!F7&gt;0,Data!F7-4,"")</f>
        <v>2</v>
      </c>
      <c r="G7" s="2">
        <f>IF(Data!G7&gt;0,Data!G7-4,"")</f>
        <v>2</v>
      </c>
      <c r="H7" s="2">
        <f>IF(Data!H7&gt;0,Data!H7-4,"")</f>
        <v>2</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4</v>
      </c>
      <c r="P7" s="4" t="str">
        <f>IF(COUNTIF(Data!A7:H7,4)=8,"Remove","")</f>
        <v/>
      </c>
    </row>
    <row r="8" spans="1:16" x14ac:dyDescent="0.25">
      <c r="A8" s="2">
        <f>IF(Data!A8&gt;0,Data!A8-4,"")</f>
        <v>1</v>
      </c>
      <c r="B8" s="2">
        <f>IF(Data!B8&gt;0,Data!B8-4,"")</f>
        <v>1</v>
      </c>
      <c r="C8" s="2">
        <f>IF(Data!C8&gt;0,Data!C8-4,"")</f>
        <v>2</v>
      </c>
      <c r="D8" s="2">
        <f>IF(Data!D8&gt;0,Data!D8-4,"")</f>
        <v>1</v>
      </c>
      <c r="E8" s="2">
        <f>IF(Data!E8&gt;0,Data!E8-4,"")</f>
        <v>2</v>
      </c>
      <c r="F8" s="2">
        <f>IF(Data!F8&gt;0,Data!F8-4,"")</f>
        <v>0</v>
      </c>
      <c r="G8" s="2">
        <f>IF(Data!G8&gt;0,Data!G8-4,"")</f>
        <v>-1</v>
      </c>
      <c r="H8" s="2">
        <f>IF(Data!H8&gt;0,Data!H8-4,"")</f>
        <v>-1</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3</v>
      </c>
      <c r="P8" s="4" t="str">
        <f>IF(COUNTIF(Data!A8:H8,4)=8,"Remove","")</f>
        <v/>
      </c>
    </row>
    <row r="9" spans="1:16" x14ac:dyDescent="0.25">
      <c r="A9" s="2">
        <f>IF(Data!A9&gt;0,Data!A9-4,"")</f>
        <v>2</v>
      </c>
      <c r="B9" s="2">
        <f>IF(Data!B9&gt;0,Data!B9-4,"")</f>
        <v>2</v>
      </c>
      <c r="C9" s="2">
        <f>IF(Data!C9&gt;0,Data!C9-4,"")</f>
        <v>3</v>
      </c>
      <c r="D9" s="2">
        <f>IF(Data!D9&gt;0,Data!D9-4,"")</f>
        <v>0</v>
      </c>
      <c r="E9" s="2">
        <f>IF(Data!E9&gt;0,Data!E9-4,"")</f>
        <v>2</v>
      </c>
      <c r="F9" s="2">
        <f>IF(Data!F9&gt;0,Data!F9-4,"")</f>
        <v>2</v>
      </c>
      <c r="G9" s="2">
        <f>IF(Data!G9&gt;0,Data!G9-4,"")</f>
        <v>3</v>
      </c>
      <c r="H9" s="2">
        <f>IF(Data!H9&gt;0,Data!H9-4,"")</f>
        <v>3</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4</v>
      </c>
      <c r="P9" s="4" t="str">
        <f>IF(COUNTIF(Data!A9:H9,4)=8,"Remove","")</f>
        <v/>
      </c>
    </row>
    <row r="10" spans="1:16" x14ac:dyDescent="0.25">
      <c r="A10" s="2">
        <f>IF(Data!A10&gt;0,Data!A10-4,"")</f>
        <v>0</v>
      </c>
      <c r="B10" s="2">
        <f>IF(Data!B10&gt;0,Data!B10-4,"")</f>
        <v>1</v>
      </c>
      <c r="C10" s="2">
        <f>IF(Data!C10&gt;0,Data!C10-4,"")</f>
        <v>1</v>
      </c>
      <c r="D10" s="2">
        <f>IF(Data!D10&gt;0,Data!D10-4,"")</f>
        <v>-1</v>
      </c>
      <c r="E10" s="2">
        <f>IF(Data!E10&gt;0,Data!E10-4,"")</f>
        <v>1</v>
      </c>
      <c r="F10" s="2">
        <f>IF(Data!F10&gt;0,Data!F10-4,"")</f>
        <v>1</v>
      </c>
      <c r="G10" s="2">
        <f>IF(Data!G10&gt;0,Data!G10-4,"")</f>
        <v>1</v>
      </c>
      <c r="H10" s="2">
        <f>IF(Data!H10&gt;0,Data!H10-4,"")</f>
        <v>2</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5</v>
      </c>
      <c r="P10" s="4" t="str">
        <f>IF(COUNTIF(Data!A10:H10,4)=8,"Remove","")</f>
        <v/>
      </c>
    </row>
    <row r="11" spans="1:16" x14ac:dyDescent="0.25">
      <c r="A11" s="2">
        <f>IF(Data!A11&gt;0,Data!A11-4,"")</f>
        <v>-2</v>
      </c>
      <c r="B11" s="2">
        <f>IF(Data!B11&gt;0,Data!B11-4,"")</f>
        <v>-1</v>
      </c>
      <c r="C11" s="2">
        <f>IF(Data!C11&gt;0,Data!C11-4,"")</f>
        <v>-1</v>
      </c>
      <c r="D11" s="2">
        <f>IF(Data!D11&gt;0,Data!D11-4,"")</f>
        <v>-2</v>
      </c>
      <c r="E11" s="2">
        <f>IF(Data!E11&gt;0,Data!E11-4,"")</f>
        <v>1</v>
      </c>
      <c r="F11" s="2">
        <f>IF(Data!F11&gt;0,Data!F11-4,"")</f>
        <v>2</v>
      </c>
      <c r="G11" s="2">
        <f>IF(Data!G11&gt;0,Data!G11-4,"")</f>
        <v>1</v>
      </c>
      <c r="H11" s="2">
        <f>IF(Data!H11&gt;0,Data!H11-4,"")</f>
        <v>2</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2</v>
      </c>
      <c r="P11" s="4" t="str">
        <f>IF(COUNTIF(Data!A11:H11,4)=8,"Remove","")</f>
        <v/>
      </c>
    </row>
    <row r="12" spans="1:16" x14ac:dyDescent="0.25">
      <c r="A12" s="2">
        <f>IF(Data!A12&gt;0,Data!A12-4,"")</f>
        <v>0</v>
      </c>
      <c r="B12" s="2">
        <f>IF(Data!B12&gt;0,Data!B12-4,"")</f>
        <v>3</v>
      </c>
      <c r="C12" s="2">
        <f>IF(Data!C12&gt;0,Data!C12-4,"")</f>
        <v>-1</v>
      </c>
      <c r="D12" s="2">
        <f>IF(Data!D12&gt;0,Data!D12-4,"")</f>
        <v>0</v>
      </c>
      <c r="E12" s="2">
        <f>IF(Data!E12&gt;0,Data!E12-4,"")</f>
        <v>0</v>
      </c>
      <c r="F12" s="2">
        <f>IF(Data!F12&gt;0,Data!F12-4,"")</f>
        <v>0</v>
      </c>
      <c r="G12" s="2">
        <f>IF(Data!G12&gt;0,Data!G12-4,"")</f>
        <v>0</v>
      </c>
      <c r="H12" s="2">
        <f>IF(Data!H12&gt;0,Data!H12-4,"")</f>
        <v>0</v>
      </c>
      <c r="K12" s="7">
        <f t="shared" si="0"/>
        <v>1</v>
      </c>
      <c r="L12" s="7" t="str">
        <f t="shared" si="1"/>
        <v/>
      </c>
      <c r="M12" s="4">
        <f t="shared" si="2"/>
        <v>1</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6</v>
      </c>
      <c r="P12" s="4" t="str">
        <f>IF(COUNTIF(Data!A12:H12,4)=8,"Remove","")</f>
        <v/>
      </c>
    </row>
    <row r="13" spans="1:16" x14ac:dyDescent="0.25">
      <c r="A13" s="2">
        <f>IF(Data!A13&gt;0,Data!A13-4,"")</f>
        <v>-3</v>
      </c>
      <c r="B13" s="2">
        <f>IF(Data!B13&gt;0,Data!B13-4,"")</f>
        <v>-3</v>
      </c>
      <c r="C13" s="2">
        <f>IF(Data!C13&gt;0,Data!C13-4,"")</f>
        <v>-2</v>
      </c>
      <c r="D13" s="2">
        <f>IF(Data!D13&gt;0,Data!D13-4,"")</f>
        <v>-3</v>
      </c>
      <c r="E13" s="2">
        <f>IF(Data!E13&gt;0,Data!E13-4,"")</f>
        <v>1</v>
      </c>
      <c r="F13" s="2">
        <f>IF(Data!F13&gt;0,Data!F13-4,"")</f>
        <v>1</v>
      </c>
      <c r="G13" s="2">
        <f>IF(Data!G13&gt;0,Data!G13-4,"")</f>
        <v>0</v>
      </c>
      <c r="H13" s="2">
        <f>IF(Data!H13&gt;0,Data!H13-4,"")</f>
        <v>0</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3</v>
      </c>
      <c r="P13" s="4" t="str">
        <f>IF(COUNTIF(Data!A13:H13,4)=8,"Remove","")</f>
        <v/>
      </c>
    </row>
    <row r="14" spans="1:16" x14ac:dyDescent="0.25">
      <c r="A14" s="2">
        <f>IF(Data!A14&gt;0,Data!A14-4,"")</f>
        <v>3</v>
      </c>
      <c r="B14" s="2">
        <f>IF(Data!B14&gt;0,Data!B14-4,"")</f>
        <v>2</v>
      </c>
      <c r="C14" s="2">
        <f>IF(Data!C14&gt;0,Data!C14-4,"")</f>
        <v>2</v>
      </c>
      <c r="D14" s="2">
        <f>IF(Data!D14&gt;0,Data!D14-4,"")</f>
        <v>2</v>
      </c>
      <c r="E14" s="2">
        <f>IF(Data!E14&gt;0,Data!E14-4,"")</f>
        <v>3</v>
      </c>
      <c r="F14" s="2">
        <f>IF(Data!F14&gt;0,Data!F14-4,"")</f>
        <v>3</v>
      </c>
      <c r="G14" s="2">
        <f>IF(Data!G14&gt;0,Data!G14-4,"")</f>
        <v>3</v>
      </c>
      <c r="H14" s="2">
        <f>IF(Data!H14&gt;0,Data!H14-4,"")</f>
        <v>3</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5</v>
      </c>
      <c r="P14" s="4" t="str">
        <f>IF(COUNTIF(Data!A14:H14,4)=8,"Remove","")</f>
        <v/>
      </c>
    </row>
    <row r="15" spans="1:16" x14ac:dyDescent="0.25">
      <c r="A15" s="2">
        <f>IF(Data!A15&gt;0,Data!A15-4,"")</f>
        <v>1</v>
      </c>
      <c r="B15" s="2">
        <f>IF(Data!B15&gt;0,Data!B15-4,"")</f>
        <v>2</v>
      </c>
      <c r="C15" s="2">
        <f>IF(Data!C15&gt;0,Data!C15-4,"")</f>
        <v>2</v>
      </c>
      <c r="D15" s="2">
        <f>IF(Data!D15&gt;0,Data!D15-4,"")</f>
        <v>2</v>
      </c>
      <c r="E15" s="2">
        <f>IF(Data!E15&gt;0,Data!E15-4,"")</f>
        <v>2</v>
      </c>
      <c r="F15" s="2">
        <f>IF(Data!F15&gt;0,Data!F15-4,"")</f>
        <v>2</v>
      </c>
      <c r="G15" s="2">
        <f>IF(Data!G15&gt;0,Data!G15-4,"")</f>
        <v>2</v>
      </c>
      <c r="H15" s="2">
        <f>IF(Data!H15&gt;0,Data!H15-4,"")</f>
        <v>3</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6</v>
      </c>
      <c r="P15" s="4" t="str">
        <f>IF(COUNTIF(Data!A15:H15,4)=8,"Remove","")</f>
        <v/>
      </c>
    </row>
    <row r="16" spans="1:16" x14ac:dyDescent="0.25">
      <c r="A16" s="2">
        <f>IF(Data!A16&gt;0,Data!A16-4,"")</f>
        <v>3</v>
      </c>
      <c r="B16" s="2">
        <f>IF(Data!B16&gt;0,Data!B16-4,"")</f>
        <v>2</v>
      </c>
      <c r="C16" s="2">
        <f>IF(Data!C16&gt;0,Data!C16-4,"")</f>
        <v>3</v>
      </c>
      <c r="D16" s="2">
        <f>IF(Data!D16&gt;0,Data!D16-4,"")</f>
        <v>2</v>
      </c>
      <c r="E16" s="2">
        <f>IF(Data!E16&gt;0,Data!E16-4,"")</f>
        <v>2</v>
      </c>
      <c r="F16" s="2">
        <f>IF(Data!F16&gt;0,Data!F16-4,"")</f>
        <v>2</v>
      </c>
      <c r="G16" s="2">
        <f>IF(Data!G16&gt;0,Data!G16-4,"")</f>
        <v>2</v>
      </c>
      <c r="H16" s="2">
        <f>IF(Data!H16&gt;0,Data!H16-4,"")</f>
        <v>2</v>
      </c>
      <c r="K16" s="7" t="str">
        <f t="shared" si="0"/>
        <v/>
      </c>
      <c r="L16" s="7" t="str">
        <f t="shared" si="1"/>
        <v/>
      </c>
      <c r="M16" s="4">
        <f t="shared" si="2"/>
        <v>0</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6</v>
      </c>
      <c r="P16" s="4" t="str">
        <f>IF(COUNTIF(Data!A16:H16,4)=8,"Remove","")</f>
        <v/>
      </c>
    </row>
    <row r="17" spans="1:16" x14ac:dyDescent="0.25">
      <c r="A17" s="2">
        <f>IF(Data!A17&gt;0,Data!A17-4,"")</f>
        <v>0</v>
      </c>
      <c r="B17" s="2">
        <f>IF(Data!B17&gt;0,Data!B17-4,"")</f>
        <v>1</v>
      </c>
      <c r="C17" s="2">
        <f>IF(Data!C17&gt;0,Data!C17-4,"")</f>
        <v>1</v>
      </c>
      <c r="D17" s="2">
        <f>IF(Data!D17&gt;0,Data!D17-4,"")</f>
        <v>1</v>
      </c>
      <c r="E17" s="2">
        <f>IF(Data!E17&gt;0,Data!E17-4,"")</f>
        <v>2</v>
      </c>
      <c r="F17" s="2">
        <f>IF(Data!F17&gt;0,Data!F17-4,"")</f>
        <v>2</v>
      </c>
      <c r="G17" s="2">
        <f>IF(Data!G17&gt;0,Data!G17-4,"")</f>
        <v>1</v>
      </c>
      <c r="H17" s="2">
        <f>IF(Data!H17&gt;0,Data!H17-4,"")</f>
        <v>2</v>
      </c>
      <c r="K17" s="7" t="str">
        <f t="shared" si="0"/>
        <v/>
      </c>
      <c r="L17" s="7" t="str">
        <f t="shared" si="1"/>
        <v/>
      </c>
      <c r="M17" s="4">
        <f t="shared" si="2"/>
        <v>0</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4</v>
      </c>
      <c r="P17" s="4" t="str">
        <f>IF(COUNTIF(Data!A17:H17,4)=8,"Remove","")</f>
        <v/>
      </c>
    </row>
    <row r="18" spans="1:16" x14ac:dyDescent="0.25">
      <c r="A18" s="2">
        <f>IF(Data!A18&gt;0,Data!A18-4,"")</f>
        <v>2</v>
      </c>
      <c r="B18" s="2">
        <f>IF(Data!B18&gt;0,Data!B18-4,"")</f>
        <v>2</v>
      </c>
      <c r="C18" s="2">
        <f>IF(Data!C18&gt;0,Data!C18-4,"")</f>
        <v>2</v>
      </c>
      <c r="D18" s="2">
        <f>IF(Data!D18&gt;0,Data!D18-4,"")</f>
        <v>2</v>
      </c>
      <c r="E18" s="2">
        <f>IF(Data!E18&gt;0,Data!E18-4,"")</f>
        <v>2</v>
      </c>
      <c r="F18" s="2">
        <f>IF(Data!F18&gt;0,Data!F18-4,"")</f>
        <v>3</v>
      </c>
      <c r="G18" s="2">
        <f>IF(Data!G18&gt;0,Data!G18-4,"")</f>
        <v>0</v>
      </c>
      <c r="H18" s="2">
        <f>IF(Data!H18&gt;0,Data!H18-4,"")</f>
        <v>1</v>
      </c>
      <c r="K18" s="7" t="str">
        <f t="shared" si="0"/>
        <v/>
      </c>
      <c r="L18" s="7" t="str">
        <f t="shared" si="1"/>
        <v/>
      </c>
      <c r="M18" s="4">
        <f t="shared" si="2"/>
        <v>0</v>
      </c>
      <c r="O18" s="4">
        <f>IF(MAX(COUNTIF(Data!A18:H18,1),COUNTIF(Data!A18:H18,2),COUNTIF(Data!A18:H18,3),COUNTIF(Data!A18:H18,4),COUNTIF(Data!A18:H18,5),COUNTIF(Data!A18:H18,6),COUNTIF(Data!A18:H18,7))&gt;0,MAX(COUNTIF(Data!A18:H18,1),COUNTIF(Data!A18:H18,2),COUNTIF(Data!A18:H18,3),COUNTIF(Data!A18:H18,4),COUNTIF(Data!A18:H18,5),COUNTIF(Data!A18:H18,6),COUNTIF(Data!A18:H18,7)),"")</f>
        <v>5</v>
      </c>
      <c r="P18" s="4" t="str">
        <f>IF(COUNTIF(Data!A18:H18,4)=8,"Remove","")</f>
        <v/>
      </c>
    </row>
    <row r="19" spans="1:16"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baseColWidth="10" defaultColWidth="9.140625" defaultRowHeight="15" x14ac:dyDescent="0.25"/>
  <cols>
    <col min="1" max="1" width="18.42578125" customWidth="1"/>
    <col min="2" max="17" width="15.5703125" customWidth="1"/>
    <col min="18" max="19" width="18.425781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25">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25">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25">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25">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25">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25">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25">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25">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25">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25">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25">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25">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Tim Pack</cp:lastModifiedBy>
  <dcterms:created xsi:type="dcterms:W3CDTF">2012-03-20T13:56:56Z</dcterms:created>
  <dcterms:modified xsi:type="dcterms:W3CDTF">2023-08-01T19:35:50Z</dcterms:modified>
</cp:coreProperties>
</file>