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homa\Desktop\TBS\Advanced Corporate finance\"/>
    </mc:Choice>
  </mc:AlternateContent>
  <xr:revisionPtr revIDLastSave="0" documentId="13_ncr:40009_{4FEC034E-A530-4427-B845-2E44E352FA7A}" xr6:coauthVersionLast="47" xr6:coauthVersionMax="47" xr10:uidLastSave="{00000000-0000-0000-0000-000000000000}"/>
  <bookViews>
    <workbookView xWindow="13116" yWindow="1680" windowWidth="17280" windowHeight="8964"/>
  </bookViews>
  <sheets>
    <sheet name="EVA" sheetId="2" r:id="rId1"/>
  </sheets>
  <definedNames>
    <definedName name="OLE_LINK1" localSheetId="0">EVA!$A$2</definedName>
    <definedName name="_xlnm.Print_Area" localSheetId="0">EVA!$A$1:$I$35</definedName>
  </definedNames>
  <calcPr calcId="191029"/>
</workbook>
</file>

<file path=xl/calcChain.xml><?xml version="1.0" encoding="utf-8"?>
<calcChain xmlns="http://schemas.openxmlformats.org/spreadsheetml/2006/main">
  <c r="E31" i="2" l="1"/>
  <c r="F31" i="2"/>
  <c r="G31" i="2"/>
  <c r="H31" i="2"/>
  <c r="D31" i="2"/>
  <c r="E29" i="2"/>
  <c r="F29" i="2"/>
  <c r="G29" i="2"/>
  <c r="H29" i="2"/>
  <c r="D29" i="2"/>
  <c r="H22" i="2"/>
  <c r="G22" i="2"/>
  <c r="F22" i="2"/>
  <c r="E22" i="2"/>
  <c r="H23" i="2"/>
  <c r="G23" i="2"/>
  <c r="F23" i="2"/>
  <c r="E23" i="2"/>
  <c r="D23" i="2"/>
  <c r="D22" i="2"/>
  <c r="H10" i="2"/>
  <c r="G10" i="2"/>
  <c r="F10" i="2"/>
  <c r="E10" i="2"/>
  <c r="D10" i="2"/>
  <c r="D21" i="2" s="1"/>
  <c r="H15" i="2"/>
  <c r="G15" i="2"/>
  <c r="F15" i="2"/>
  <c r="E15" i="2"/>
  <c r="D15" i="2"/>
  <c r="H14" i="2"/>
  <c r="G14" i="2"/>
  <c r="F14" i="2"/>
  <c r="E14" i="2"/>
  <c r="D14" i="2"/>
  <c r="F11" i="2"/>
  <c r="H11" i="2" l="1"/>
  <c r="E21" i="2"/>
  <c r="F20" i="2"/>
  <c r="G21" i="2"/>
  <c r="H20" i="2"/>
  <c r="H13" i="2"/>
  <c r="G13" i="2"/>
  <c r="F13" i="2"/>
  <c r="E13" i="2"/>
  <c r="D13" i="2"/>
  <c r="G11" i="2"/>
  <c r="E11" i="2"/>
  <c r="D11" i="2"/>
  <c r="H6" i="2"/>
  <c r="G6" i="2"/>
  <c r="F6" i="2"/>
  <c r="E6" i="2"/>
  <c r="D6" i="2"/>
  <c r="G20" i="2" l="1"/>
  <c r="E20" i="2"/>
  <c r="D20" i="2"/>
  <c r="H21" i="2"/>
  <c r="F21" i="2"/>
  <c r="D7" i="2" l="1"/>
  <c r="D33" i="2" s="1"/>
  <c r="E7" i="2"/>
  <c r="E33" i="2" s="1"/>
  <c r="F7" i="2"/>
  <c r="F33" i="2" s="1"/>
  <c r="G7" i="2"/>
  <c r="G33" i="2" s="1"/>
  <c r="H7" i="2"/>
  <c r="H33" i="2" s="1"/>
</calcChain>
</file>

<file path=xl/comments1.xml><?xml version="1.0" encoding="utf-8"?>
<comments xmlns="http://schemas.openxmlformats.org/spreadsheetml/2006/main">
  <authors>
    <author>TO17685</author>
  </authors>
  <commentList>
    <comment ref="A10" authorId="0" shapeId="0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liabilities
equity</t>
        </r>
      </text>
    </comment>
    <comment ref="A11" authorId="0" shapeId="0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Accounts payable
Accrued expenses
</t>
        </r>
      </text>
    </comment>
    <comment ref="A12" authorId="0" shapeId="0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Pas de soustraction du CASH</t>
        </r>
      </text>
    </comment>
    <comment ref="A13" authorId="0" shapeId="0">
      <text>
        <r>
          <rPr>
            <b/>
            <sz val="8"/>
            <color indexed="81"/>
            <rFont val="Tahoma"/>
          </rPr>
          <t>TO17685:</t>
        </r>
        <r>
          <rPr>
            <sz val="8"/>
            <color indexed="81"/>
            <rFont val="Tahoma"/>
          </rPr>
          <t xml:space="preserve">
Other long term liabilities
Deferred taxes</t>
        </r>
      </text>
    </comment>
  </commentList>
</comments>
</file>

<file path=xl/sharedStrings.xml><?xml version="1.0" encoding="utf-8"?>
<sst xmlns="http://schemas.openxmlformats.org/spreadsheetml/2006/main" count="100" uniqueCount="85">
  <si>
    <t>Basic Figures</t>
  </si>
  <si>
    <t>Datos básicos</t>
  </si>
  <si>
    <t>Données de base</t>
  </si>
  <si>
    <t>Net sales</t>
  </si>
  <si>
    <t>Ventas Netas</t>
  </si>
  <si>
    <t>Chiffre d'affaires net</t>
  </si>
  <si>
    <t>IAS p 45</t>
  </si>
  <si>
    <t>Cost and expenses</t>
  </si>
  <si>
    <t>Costes y gastos</t>
  </si>
  <si>
    <t>Coûts et charges</t>
  </si>
  <si>
    <t>Operating profit</t>
  </si>
  <si>
    <t>Resultado operativo</t>
  </si>
  <si>
    <t>Résultat opérationnel</t>
  </si>
  <si>
    <t>Tax</t>
  </si>
  <si>
    <t>Impuestos</t>
  </si>
  <si>
    <t>Impôts</t>
  </si>
  <si>
    <t>NOPAT</t>
  </si>
  <si>
    <t>RONDI</t>
  </si>
  <si>
    <t>RONAI</t>
  </si>
  <si>
    <t>Total liabilities</t>
  </si>
  <si>
    <t>Total pasivo</t>
  </si>
  <si>
    <t>Total passif</t>
  </si>
  <si>
    <t>Accounts payable</t>
  </si>
  <si>
    <t>Proveedores</t>
  </si>
  <si>
    <t>Fournisseurs</t>
  </si>
  <si>
    <t>Charges cumulées et provisions</t>
  </si>
  <si>
    <t>Other long-term liabilities</t>
  </si>
  <si>
    <t>Otros pasivos a largo</t>
  </si>
  <si>
    <t xml:space="preserve">Autres passifs a long terme </t>
  </si>
  <si>
    <t>Capital (C)</t>
  </si>
  <si>
    <t>Equity</t>
  </si>
  <si>
    <t>Fondos Propios</t>
  </si>
  <si>
    <t>Fonds Propres</t>
  </si>
  <si>
    <t>Dividendes</t>
  </si>
  <si>
    <t>Key Ratios p 47</t>
  </si>
  <si>
    <t>Cost of equity</t>
  </si>
  <si>
    <t>Coste Fondos Propios</t>
  </si>
  <si>
    <t>Coût fonds propres</t>
  </si>
  <si>
    <t>Dividends over Equity</t>
  </si>
  <si>
    <t>Dividendes sur fonds popres</t>
  </si>
  <si>
    <t>%  of Shareholders equity</t>
  </si>
  <si>
    <t>% fondos propios</t>
  </si>
  <si>
    <t>% fonds propres</t>
  </si>
  <si>
    <t>Equity over Total liabilities</t>
  </si>
  <si>
    <t>Fonds propres sur totl passif</t>
  </si>
  <si>
    <t>% of debt non generating interest</t>
  </si>
  <si>
    <t>% deuda no generando intereses</t>
  </si>
  <si>
    <t>% dette sans charges financières</t>
  </si>
  <si>
    <t>Including long term liabilities</t>
  </si>
  <si>
    <t>Inclut passif à long terme</t>
  </si>
  <si>
    <t>% of debt generating interest</t>
  </si>
  <si>
    <t>% deuda generando intereses</t>
  </si>
  <si>
    <t>% dette avec charges financières</t>
  </si>
  <si>
    <t>Capital less equity over total liabilities</t>
  </si>
  <si>
    <t>Cost of debt</t>
  </si>
  <si>
    <t xml:space="preserve">Coste deuda </t>
  </si>
  <si>
    <t>Coût de la dette</t>
  </si>
  <si>
    <t>(Interest expense / Long-term debt + short-term debt)</t>
  </si>
  <si>
    <t>(Intereses / deuda largo + deuda corto)</t>
  </si>
  <si>
    <t>(Intérêts / dette long terme + dette court terme)</t>
  </si>
  <si>
    <t>Interest expense (3)</t>
  </si>
  <si>
    <t>Intereses (3)</t>
  </si>
  <si>
    <t>Charges Financières (3)</t>
  </si>
  <si>
    <t>Long term debt</t>
  </si>
  <si>
    <t>Deuda largo</t>
  </si>
  <si>
    <t>Dette long terme</t>
  </si>
  <si>
    <t>Short term debt</t>
  </si>
  <si>
    <t>Deuda corto</t>
  </si>
  <si>
    <t>Dette court terme</t>
  </si>
  <si>
    <t>Cost of debt =</t>
  </si>
  <si>
    <t>Coste deuda =</t>
  </si>
  <si>
    <t xml:space="preserve">Coût de la dette= </t>
  </si>
  <si>
    <t>Cost of capital rate (CC) WACC</t>
  </si>
  <si>
    <t>Tasa de coste del capital (TCC) WACC</t>
  </si>
  <si>
    <t>Coût du Capital (TCC) WACC</t>
  </si>
  <si>
    <t>Cost equity* % equity + cost debt * % debt</t>
  </si>
  <si>
    <t xml:space="preserve">Coût fonds xpropres x % fonds propres + coût dette x dette </t>
  </si>
  <si>
    <t>EVA Economic Value Added</t>
  </si>
  <si>
    <t>VEA Valor Económico Añadido</t>
  </si>
  <si>
    <t xml:space="preserve">EVA Valeur Economique Ajoutée </t>
  </si>
  <si>
    <t>NOPAT - Capital *WACC</t>
  </si>
  <si>
    <t>RONAI - Capital x WACC</t>
  </si>
  <si>
    <t>NOKIA</t>
  </si>
  <si>
    <t>Cash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</si>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</sst>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5" fillId="0" borderId="1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1" applyFont="1" applyBorder="1" applyAlignment="1" applyProtection="1">
      <alignment vertical="center" wrapText="1"/>
    </xf>
    <xf numFmtId="0" fontId="5" fillId="0" borderId="8" xfId="1" applyFont="1" applyBorder="1" applyAlignment="1" applyProtection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0" fillId="0" borderId="0" xfId="0" applyNumberFormat="1"/>
    <xf numFmtId="0" fontId="6" fillId="0" borderId="0" xfId="1" applyFont="1" applyAlignment="1" applyProtection="1"/>
    <xf numFmtId="0" fontId="0" fillId="0" borderId="0" xfId="0" applyBorder="1"/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0" fillId="0" borderId="2" xfId="0" applyBorder="1"/>
    <xf numFmtId="0" fontId="3" fillId="0" borderId="0" xfId="0" applyFont="1" applyAlignment="1"/>
    <xf numFmtId="0" fontId="8" fillId="3" borderId="1" xfId="0" applyFont="1" applyFill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6" xfId="0" applyFont="1" applyFill="1" applyBorder="1" applyAlignment="1">
      <alignment vertical="top" wrapText="1"/>
    </xf>
    <xf numFmtId="0" fontId="8" fillId="4" borderId="1" xfId="0" applyFont="1" applyFill="1" applyBorder="1"/>
    <xf numFmtId="0" fontId="2" fillId="4" borderId="1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/>
    <xf numFmtId="0" fontId="2" fillId="4" borderId="8" xfId="0" applyFont="1" applyFill="1" applyBorder="1"/>
    <xf numFmtId="10" fontId="0" fillId="4" borderId="1" xfId="0" applyNumberFormat="1" applyFill="1" applyBorder="1"/>
    <xf numFmtId="2" fontId="0" fillId="4" borderId="1" xfId="0" applyNumberFormat="1" applyFill="1" applyBorder="1"/>
    <xf numFmtId="0" fontId="3" fillId="0" borderId="1" xfId="0" applyFont="1" applyBorder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topLeftCell="A15" zoomScale="75" workbookViewId="0">
      <selection activeCell="A41" sqref="A41"/>
    </sheetView>
  </sheetViews>
  <sheetFormatPr baseColWidth="10" defaultRowHeight="13.2" x14ac:dyDescent="0.25"/>
  <cols>
    <col min="1" max="1" width="33.33203125" customWidth="1"/>
    <col min="2" max="2" width="41" hidden="1" customWidth="1"/>
    <col min="3" max="3" width="37.6640625" hidden="1" customWidth="1"/>
    <col min="4" max="5" width="18.6640625" customWidth="1"/>
    <col min="6" max="6" width="17.109375" customWidth="1"/>
    <col min="7" max="8" width="20.44140625" customWidth="1"/>
    <col min="9" max="9" width="25" customWidth="1"/>
  </cols>
  <sheetData>
    <row r="1" spans="1:9" ht="13.8" x14ac:dyDescent="0.25">
      <c r="A1" s="1" t="s">
        <v>82</v>
      </c>
      <c r="B1" s="1"/>
      <c r="C1" s="1"/>
      <c r="D1" s="1"/>
      <c r="E1" s="2"/>
    </row>
    <row r="2" spans="1:9" ht="15.6" x14ac:dyDescent="0.25">
      <c r="A2" s="3" t="s">
        <v>0</v>
      </c>
      <c r="B2" s="4" t="s">
        <v>1</v>
      </c>
      <c r="C2" s="5" t="s">
        <v>2</v>
      </c>
      <c r="D2" s="6">
        <v>2004</v>
      </c>
      <c r="E2" s="6">
        <v>2003</v>
      </c>
      <c r="F2" s="6">
        <v>2002</v>
      </c>
      <c r="G2" s="6">
        <v>2001</v>
      </c>
      <c r="H2" s="6">
        <v>2000</v>
      </c>
    </row>
    <row r="3" spans="1:9" ht="18" customHeight="1" x14ac:dyDescent="0.25">
      <c r="A3" s="7" t="s">
        <v>3</v>
      </c>
      <c r="B3" s="8" t="s">
        <v>4</v>
      </c>
      <c r="C3" s="9" t="s">
        <v>5</v>
      </c>
      <c r="D3" s="10">
        <v>29267</v>
      </c>
      <c r="E3" s="10">
        <v>29455</v>
      </c>
      <c r="F3" s="10">
        <v>30016</v>
      </c>
      <c r="G3" s="10">
        <v>31191</v>
      </c>
      <c r="H3" s="10">
        <v>30376</v>
      </c>
      <c r="I3" t="s">
        <v>6</v>
      </c>
    </row>
    <row r="4" spans="1:9" ht="18" customHeight="1" x14ac:dyDescent="0.25">
      <c r="A4" s="7" t="s">
        <v>7</v>
      </c>
      <c r="B4" s="8" t="s">
        <v>8</v>
      </c>
      <c r="C4" s="9" t="s">
        <v>9</v>
      </c>
      <c r="D4" s="10">
        <v>-24937</v>
      </c>
      <c r="E4" s="10">
        <v>-24444</v>
      </c>
      <c r="F4" s="10">
        <v>-25236</v>
      </c>
      <c r="G4" s="10">
        <v>-27829</v>
      </c>
      <c r="H4" s="10">
        <v>-24600</v>
      </c>
      <c r="I4" t="s">
        <v>6</v>
      </c>
    </row>
    <row r="5" spans="1:9" ht="18" customHeight="1" x14ac:dyDescent="0.25">
      <c r="A5" s="7" t="s">
        <v>10</v>
      </c>
      <c r="B5" s="8" t="s">
        <v>11</v>
      </c>
      <c r="C5" s="9" t="s">
        <v>12</v>
      </c>
      <c r="D5" s="10">
        <v>4330</v>
      </c>
      <c r="E5" s="10">
        <v>5011</v>
      </c>
      <c r="F5" s="10">
        <v>4780</v>
      </c>
      <c r="G5" s="10">
        <v>3362</v>
      </c>
      <c r="H5" s="10">
        <v>5776</v>
      </c>
      <c r="I5" t="s">
        <v>6</v>
      </c>
    </row>
    <row r="6" spans="1:9" ht="18" customHeight="1" x14ac:dyDescent="0.25">
      <c r="A6" s="7" t="s">
        <v>13</v>
      </c>
      <c r="B6" s="8" t="s">
        <v>14</v>
      </c>
      <c r="C6" s="9" t="s">
        <v>15</v>
      </c>
      <c r="D6" s="10">
        <f>-1435</f>
        <v>-1435</v>
      </c>
      <c r="E6" s="10">
        <f>-1699</f>
        <v>-1699</v>
      </c>
      <c r="F6" s="10">
        <f>-1484</f>
        <v>-1484</v>
      </c>
      <c r="G6" s="10">
        <f>-1192</f>
        <v>-1192</v>
      </c>
      <c r="H6" s="10">
        <f>-1784</f>
        <v>-1784</v>
      </c>
      <c r="I6" t="s">
        <v>6</v>
      </c>
    </row>
    <row r="7" spans="1:9" ht="18" customHeight="1" x14ac:dyDescent="0.25">
      <c r="A7" s="32" t="s">
        <v>16</v>
      </c>
      <c r="B7" s="33" t="s">
        <v>17</v>
      </c>
      <c r="C7" s="34" t="s">
        <v>18</v>
      </c>
      <c r="D7" s="35">
        <f t="shared" ref="D7:G7" si="0">D5+D6</f>
        <v>2895</v>
      </c>
      <c r="E7" s="35">
        <f t="shared" si="0"/>
        <v>3312</v>
      </c>
      <c r="F7" s="35">
        <f t="shared" si="0"/>
        <v>3296</v>
      </c>
      <c r="G7" s="35">
        <f t="shared" si="0"/>
        <v>2170</v>
      </c>
      <c r="H7" s="35">
        <f>H5+H6</f>
        <v>3992</v>
      </c>
    </row>
    <row r="8" spans="1:9" ht="18" customHeight="1" x14ac:dyDescent="0.25">
      <c r="A8" s="2"/>
      <c r="B8" s="2"/>
      <c r="C8" s="2"/>
      <c r="D8" s="11"/>
      <c r="E8" s="11"/>
      <c r="F8" s="11"/>
      <c r="G8" s="11"/>
      <c r="H8" s="11"/>
    </row>
    <row r="9" spans="1:9" ht="18" customHeight="1" x14ac:dyDescent="0.25">
      <c r="A9" s="2"/>
      <c r="B9" s="2"/>
      <c r="C9" s="2"/>
      <c r="D9" s="12"/>
      <c r="E9" s="12"/>
      <c r="F9" s="12"/>
      <c r="G9" s="12"/>
      <c r="H9" s="12"/>
    </row>
    <row r="10" spans="1:9" ht="18" customHeight="1" x14ac:dyDescent="0.25">
      <c r="A10" s="13" t="s">
        <v>19</v>
      </c>
      <c r="B10" s="14" t="s">
        <v>20</v>
      </c>
      <c r="C10" s="13" t="s">
        <v>21</v>
      </c>
      <c r="D10" s="43">
        <f>22669-168</f>
        <v>22501</v>
      </c>
      <c r="E10" s="10">
        <f>23920-164</f>
        <v>23756</v>
      </c>
      <c r="F10" s="10">
        <f>23327-173</f>
        <v>23154</v>
      </c>
      <c r="G10" s="10">
        <f>22427-196</f>
        <v>22231</v>
      </c>
      <c r="H10" s="10">
        <f>19890-177</f>
        <v>19713</v>
      </c>
      <c r="I10" t="s">
        <v>6</v>
      </c>
    </row>
    <row r="11" spans="1:9" ht="18" customHeight="1" x14ac:dyDescent="0.25">
      <c r="A11" s="13" t="s">
        <v>22</v>
      </c>
      <c r="B11" s="14" t="s">
        <v>23</v>
      </c>
      <c r="C11" s="13" t="s">
        <v>24</v>
      </c>
      <c r="D11" s="10">
        <f>2669+5085</f>
        <v>7754</v>
      </c>
      <c r="E11" s="10">
        <f>2919+4890</f>
        <v>7809</v>
      </c>
      <c r="F11" s="10">
        <f>2954+5081</f>
        <v>8035</v>
      </c>
      <c r="G11" s="10">
        <f>3074+5661</f>
        <v>8735</v>
      </c>
      <c r="H11" s="10">
        <f>2814+4664</f>
        <v>7478</v>
      </c>
      <c r="I11" t="s">
        <v>6</v>
      </c>
    </row>
    <row r="12" spans="1:9" ht="18" customHeight="1" x14ac:dyDescent="0.25">
      <c r="A12" s="15" t="s">
        <v>83</v>
      </c>
      <c r="B12" s="16"/>
      <c r="C12" s="15" t="s">
        <v>25</v>
      </c>
      <c r="D12" s="10">
        <v>11542</v>
      </c>
      <c r="E12" s="10">
        <v>11296</v>
      </c>
      <c r="F12" s="10">
        <v>9351</v>
      </c>
      <c r="G12" s="10">
        <v>6125</v>
      </c>
      <c r="H12" s="10">
        <v>4183</v>
      </c>
      <c r="I12" t="s">
        <v>6</v>
      </c>
    </row>
    <row r="13" spans="1:9" ht="18" customHeight="1" x14ac:dyDescent="0.25">
      <c r="A13" s="13" t="s">
        <v>26</v>
      </c>
      <c r="B13" s="14" t="s">
        <v>27</v>
      </c>
      <c r="C13" s="13" t="s">
        <v>28</v>
      </c>
      <c r="D13" s="10">
        <f>179+96</f>
        <v>275</v>
      </c>
      <c r="E13" s="10">
        <f>241+67</f>
        <v>308</v>
      </c>
      <c r="F13" s="10">
        <f>67+207</f>
        <v>274</v>
      </c>
      <c r="G13" s="10">
        <f>177+76</f>
        <v>253</v>
      </c>
      <c r="H13" s="10">
        <f>69+69</f>
        <v>138</v>
      </c>
      <c r="I13" t="s">
        <v>6</v>
      </c>
    </row>
    <row r="14" spans="1:9" ht="18" customHeight="1" x14ac:dyDescent="0.25">
      <c r="A14" s="36" t="s">
        <v>29</v>
      </c>
      <c r="B14" s="37" t="s">
        <v>29</v>
      </c>
      <c r="C14" s="37" t="s">
        <v>29</v>
      </c>
      <c r="D14" s="38">
        <f>22669-7969</f>
        <v>14700</v>
      </c>
      <c r="E14" s="38">
        <f>23920-8280</f>
        <v>15640</v>
      </c>
      <c r="F14" s="38">
        <f>23327-8412</f>
        <v>14915</v>
      </c>
      <c r="G14" s="38">
        <f>22427-9566</f>
        <v>12861</v>
      </c>
      <c r="H14" s="38">
        <f>19890-8594</f>
        <v>11296</v>
      </c>
      <c r="I14" s="19"/>
    </row>
    <row r="15" spans="1:9" ht="18" customHeight="1" x14ac:dyDescent="0.25">
      <c r="A15" s="39" t="s">
        <v>30</v>
      </c>
      <c r="B15" s="40" t="s">
        <v>31</v>
      </c>
      <c r="C15" s="39" t="s">
        <v>32</v>
      </c>
      <c r="D15" s="38">
        <f>14238</f>
        <v>14238</v>
      </c>
      <c r="E15" s="38">
        <f>15148</f>
        <v>15148</v>
      </c>
      <c r="F15" s="38">
        <f>14281</f>
        <v>14281</v>
      </c>
      <c r="G15" s="38">
        <f>12205</f>
        <v>12205</v>
      </c>
      <c r="H15" s="38">
        <f>10808</f>
        <v>10808</v>
      </c>
      <c r="I15" t="s">
        <v>6</v>
      </c>
    </row>
    <row r="16" spans="1:9" ht="18" customHeight="1" x14ac:dyDescent="0.25">
      <c r="A16" s="39" t="s">
        <v>84</v>
      </c>
      <c r="B16" s="40"/>
      <c r="C16" s="39" t="s">
        <v>33</v>
      </c>
      <c r="D16" s="38">
        <v>1539</v>
      </c>
      <c r="E16" s="38">
        <v>1439</v>
      </c>
      <c r="F16" s="38">
        <v>1340</v>
      </c>
      <c r="G16" s="38">
        <v>1279</v>
      </c>
      <c r="H16" s="38">
        <v>1315</v>
      </c>
      <c r="I16" t="s">
        <v>34</v>
      </c>
    </row>
    <row r="17" spans="1:10" ht="18" customHeight="1" x14ac:dyDescent="0.25">
      <c r="A17" s="20"/>
      <c r="B17" s="20"/>
      <c r="C17" s="20"/>
      <c r="D17" s="11"/>
      <c r="E17" s="11"/>
      <c r="F17" s="11"/>
      <c r="G17" s="11"/>
      <c r="H17" s="11"/>
    </row>
    <row r="18" spans="1:10" ht="18" customHeight="1" x14ac:dyDescent="0.25">
      <c r="A18" s="20"/>
      <c r="B18" s="20"/>
      <c r="C18" s="20"/>
      <c r="D18" s="21"/>
      <c r="E18" s="21"/>
      <c r="F18" s="21"/>
      <c r="G18" s="21"/>
      <c r="H18" s="21"/>
    </row>
    <row r="19" spans="1:10" ht="18" customHeight="1" x14ac:dyDescent="0.25">
      <c r="A19" s="2"/>
      <c r="B19" s="2"/>
      <c r="C19" s="2"/>
      <c r="D19" s="12"/>
      <c r="E19" s="12"/>
      <c r="F19" s="12"/>
      <c r="G19" s="12"/>
      <c r="H19" s="12"/>
    </row>
    <row r="20" spans="1:10" ht="13.8" x14ac:dyDescent="0.25">
      <c r="A20" s="17" t="s">
        <v>35</v>
      </c>
      <c r="B20" s="18" t="s">
        <v>36</v>
      </c>
      <c r="C20" s="17" t="s">
        <v>37</v>
      </c>
      <c r="D20" s="31">
        <f>D16/D15</f>
        <v>0.10809102402022756</v>
      </c>
      <c r="E20" s="31">
        <f t="shared" ref="E20:H20" si="1">E16/E15</f>
        <v>9.499603908106681E-2</v>
      </c>
      <c r="F20" s="31">
        <f t="shared" si="1"/>
        <v>9.3830964218192009E-2</v>
      </c>
      <c r="G20" s="31">
        <f t="shared" si="1"/>
        <v>0.10479311757476444</v>
      </c>
      <c r="H20" s="31">
        <f t="shared" si="1"/>
        <v>0.12166913397483346</v>
      </c>
      <c r="I20" s="22" t="s">
        <v>38</v>
      </c>
      <c r="J20" t="s">
        <v>39</v>
      </c>
    </row>
    <row r="21" spans="1:10" ht="13.8" x14ac:dyDescent="0.25">
      <c r="A21" s="13" t="s">
        <v>40</v>
      </c>
      <c r="B21" s="14" t="s">
        <v>41</v>
      </c>
      <c r="C21" s="13" t="s">
        <v>42</v>
      </c>
      <c r="D21" s="31">
        <f>D15/D10</f>
        <v>0.63277187680547531</v>
      </c>
      <c r="E21" s="31">
        <f t="shared" ref="E21:H21" si="2">E15/E10</f>
        <v>0.63764943593197509</v>
      </c>
      <c r="F21" s="31">
        <f t="shared" si="2"/>
        <v>0.61678327718752701</v>
      </c>
      <c r="G21" s="31">
        <f t="shared" si="2"/>
        <v>0.54900814178399537</v>
      </c>
      <c r="H21" s="31">
        <f t="shared" si="2"/>
        <v>0.5482676406432303</v>
      </c>
      <c r="I21" s="22" t="s">
        <v>43</v>
      </c>
      <c r="J21" t="s">
        <v>44</v>
      </c>
    </row>
    <row r="22" spans="1:10" ht="13.8" x14ac:dyDescent="0.25">
      <c r="A22" s="13" t="s">
        <v>45</v>
      </c>
      <c r="B22" s="14" t="s">
        <v>46</v>
      </c>
      <c r="C22" s="13" t="s">
        <v>47</v>
      </c>
      <c r="D22" s="31">
        <f>8029/D10</f>
        <v>0.3568285853962046</v>
      </c>
      <c r="E22" s="31">
        <f>8117/E10</f>
        <v>0.34168210136386595</v>
      </c>
      <c r="F22" s="31">
        <f>8309/F10</f>
        <v>0.35885808067720482</v>
      </c>
      <c r="G22" s="31">
        <f>8988/G10</f>
        <v>0.40430030138095452</v>
      </c>
      <c r="H22" s="31">
        <f>7616/H10</f>
        <v>0.38634403692994473</v>
      </c>
      <c r="I22" s="22" t="s">
        <v>48</v>
      </c>
      <c r="J22" t="s">
        <v>49</v>
      </c>
    </row>
    <row r="23" spans="1:10" ht="23.25" customHeight="1" x14ac:dyDescent="0.25">
      <c r="A23" s="13" t="s">
        <v>50</v>
      </c>
      <c r="B23" s="14" t="s">
        <v>51</v>
      </c>
      <c r="C23" s="13" t="s">
        <v>52</v>
      </c>
      <c r="D23" s="31">
        <f>234/D10</f>
        <v>1.0399537798320075E-2</v>
      </c>
      <c r="E23" s="31">
        <f>491/E10</f>
        <v>2.0668462704158948E-2</v>
      </c>
      <c r="F23" s="31">
        <f>564/F10</f>
        <v>2.4358642135268203E-2</v>
      </c>
      <c r="G23" s="31">
        <f>1038/G10</f>
        <v>4.6691556835050156E-2</v>
      </c>
      <c r="H23" s="31">
        <f>1289/H10</f>
        <v>6.5388322426824935E-2</v>
      </c>
      <c r="I23" s="22" t="s">
        <v>53</v>
      </c>
    </row>
    <row r="24" spans="1:10" ht="13.8" x14ac:dyDescent="0.25">
      <c r="A24" s="17" t="s">
        <v>54</v>
      </c>
      <c r="B24" s="18" t="s">
        <v>55</v>
      </c>
      <c r="C24" s="17" t="s">
        <v>56</v>
      </c>
      <c r="D24" s="10"/>
      <c r="E24" s="10"/>
      <c r="F24" s="10"/>
      <c r="G24" s="10"/>
      <c r="H24" s="10"/>
    </row>
    <row r="25" spans="1:10" ht="28.8" x14ac:dyDescent="0.25">
      <c r="A25" s="23" t="s">
        <v>57</v>
      </c>
      <c r="B25" s="23" t="s">
        <v>58</v>
      </c>
      <c r="C25" s="23" t="s">
        <v>59</v>
      </c>
      <c r="D25" s="10"/>
      <c r="E25" s="10"/>
      <c r="F25" s="10"/>
      <c r="G25" s="10"/>
      <c r="H25" s="10"/>
    </row>
    <row r="26" spans="1:10" ht="14.4" x14ac:dyDescent="0.25">
      <c r="A26" s="23" t="s">
        <v>60</v>
      </c>
      <c r="B26" s="23" t="s">
        <v>61</v>
      </c>
      <c r="C26" s="23" t="s">
        <v>62</v>
      </c>
      <c r="D26" s="29">
        <v>22</v>
      </c>
      <c r="E26" s="29">
        <v>25</v>
      </c>
      <c r="F26" s="29">
        <v>43</v>
      </c>
      <c r="G26" s="29">
        <v>82</v>
      </c>
      <c r="H26" s="30">
        <v>115</v>
      </c>
    </row>
    <row r="27" spans="1:10" ht="14.4" x14ac:dyDescent="0.25">
      <c r="A27" s="23" t="s">
        <v>63</v>
      </c>
      <c r="B27" s="23" t="s">
        <v>64</v>
      </c>
      <c r="C27" s="23" t="s">
        <v>65</v>
      </c>
      <c r="D27" s="10">
        <v>294</v>
      </c>
      <c r="E27" s="10">
        <v>328</v>
      </c>
      <c r="F27" s="10">
        <v>461</v>
      </c>
      <c r="G27" s="10">
        <v>460</v>
      </c>
      <c r="H27" s="10">
        <v>311</v>
      </c>
      <c r="I27" t="s">
        <v>6</v>
      </c>
    </row>
    <row r="28" spans="1:10" ht="14.4" x14ac:dyDescent="0.25">
      <c r="A28" s="23" t="s">
        <v>66</v>
      </c>
      <c r="B28" s="23" t="s">
        <v>67</v>
      </c>
      <c r="C28" s="23" t="s">
        <v>68</v>
      </c>
      <c r="D28" s="24">
        <v>7969</v>
      </c>
      <c r="E28" s="24">
        <v>8280</v>
      </c>
      <c r="F28" s="24">
        <v>8412</v>
      </c>
      <c r="G28" s="24">
        <v>9566</v>
      </c>
      <c r="H28" s="24">
        <v>8594</v>
      </c>
      <c r="I28" t="s">
        <v>6</v>
      </c>
    </row>
    <row r="29" spans="1:10" ht="13.8" x14ac:dyDescent="0.25">
      <c r="A29" s="17" t="s">
        <v>69</v>
      </c>
      <c r="B29" s="17" t="s">
        <v>70</v>
      </c>
      <c r="C29" s="17" t="s">
        <v>71</v>
      </c>
      <c r="D29" s="31">
        <f>D26/(D27+D28)</f>
        <v>2.6624712574125622E-3</v>
      </c>
      <c r="E29" s="31">
        <f t="shared" ref="E29:H29" si="3">E26/(E27+E28)</f>
        <v>2.9042750929368028E-3</v>
      </c>
      <c r="F29" s="31">
        <f t="shared" si="3"/>
        <v>4.8461625154964496E-3</v>
      </c>
      <c r="G29" s="31">
        <f t="shared" si="3"/>
        <v>8.1787352882505479E-3</v>
      </c>
      <c r="H29" s="31">
        <f t="shared" si="3"/>
        <v>1.2914093206064009E-2</v>
      </c>
    </row>
    <row r="30" spans="1:10" ht="28.8" x14ac:dyDescent="0.25">
      <c r="A30" s="23" t="s">
        <v>57</v>
      </c>
      <c r="B30" s="23" t="s">
        <v>58</v>
      </c>
      <c r="C30" s="23" t="s">
        <v>59</v>
      </c>
    </row>
    <row r="31" spans="1:10" ht="26.4" x14ac:dyDescent="0.25">
      <c r="A31" s="36" t="s">
        <v>72</v>
      </c>
      <c r="B31" s="36" t="s">
        <v>73</v>
      </c>
      <c r="C31" s="36" t="s">
        <v>74</v>
      </c>
      <c r="D31" s="41">
        <f>D20*D21+D29*(D23+D22)</f>
        <v>6.9374694458024092E-2</v>
      </c>
      <c r="E31" s="41">
        <f t="shared" ref="E31:H31" si="4">E20*E21+E29*(E23+E22)</f>
        <v>6.1626536453948479E-2</v>
      </c>
      <c r="F31" s="41">
        <f t="shared" si="4"/>
        <v>5.9730500129567252E-2</v>
      </c>
      <c r="G31" s="41">
        <f t="shared" si="4"/>
        <v>6.1220817776978097E-2</v>
      </c>
      <c r="H31" s="41">
        <f t="shared" si="4"/>
        <v>7.2540962816415561E-2</v>
      </c>
      <c r="I31" s="22" t="s">
        <v>75</v>
      </c>
      <c r="J31" t="s">
        <v>76</v>
      </c>
    </row>
    <row r="32" spans="1:10" x14ac:dyDescent="0.25">
      <c r="A32" s="25"/>
      <c r="B32" s="25"/>
      <c r="C32" s="25"/>
    </row>
    <row r="33" spans="1:10" ht="13.8" x14ac:dyDescent="0.25">
      <c r="A33" s="36" t="s">
        <v>77</v>
      </c>
      <c r="B33" s="36" t="s">
        <v>78</v>
      </c>
      <c r="C33" s="36" t="s">
        <v>79</v>
      </c>
      <c r="D33" s="42">
        <f t="shared" ref="D33:G33" si="5">D7-D14*D31</f>
        <v>1875.1919914670459</v>
      </c>
      <c r="E33" s="42">
        <f t="shared" si="5"/>
        <v>2348.160969860246</v>
      </c>
      <c r="F33" s="42">
        <f t="shared" si="5"/>
        <v>2405.1195905675045</v>
      </c>
      <c r="G33" s="42">
        <f t="shared" si="5"/>
        <v>1382.6390625702848</v>
      </c>
      <c r="H33" s="42">
        <f>H7-H14*H31</f>
        <v>3172.5772840257696</v>
      </c>
      <c r="I33" t="s">
        <v>80</v>
      </c>
      <c r="J33" t="s">
        <v>81</v>
      </c>
    </row>
    <row r="35" spans="1:10" x14ac:dyDescent="0.25">
      <c r="D35" s="44"/>
    </row>
    <row r="43" spans="1:10" ht="13.8" x14ac:dyDescent="0.25">
      <c r="A43" s="26"/>
      <c r="B43" s="26"/>
      <c r="C43" s="26"/>
      <c r="D43" s="27"/>
      <c r="E43" s="28"/>
      <c r="F43" s="27"/>
      <c r="G43" s="28"/>
      <c r="H43" s="28"/>
    </row>
    <row r="44" spans="1:10" ht="13.8" x14ac:dyDescent="0.25">
      <c r="A44" s="13"/>
      <c r="B44" s="13"/>
      <c r="C44" s="13"/>
      <c r="D44" s="29"/>
      <c r="E44" s="29"/>
      <c r="F44" s="29"/>
      <c r="G44" s="29"/>
      <c r="H44" s="30"/>
    </row>
  </sheetData>
  <phoneticPr fontId="0" type="noConversion"/>
  <pageMargins left="0.19685039370078741" right="0.19685039370078741" top="0.39370078740157483" bottom="0.39370078740157483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</vt:lpstr>
      <vt:lpstr>EVA!OLE_LINK1</vt:lpstr>
      <vt:lpstr>EVA!Zone_d_impression</vt:lpstr>
    </vt:vector>
  </TitlesOfParts>
  <Company>ESADE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ESADE</dc:creator>
  <cp:lastModifiedBy>Thomas SADURNI</cp:lastModifiedBy>
  <cp:lastPrinted>2013-04-19T04:55:22Z</cp:lastPrinted>
  <dcterms:created xsi:type="dcterms:W3CDTF">2006-06-05T16:54:57Z</dcterms:created>
  <dcterms:modified xsi:type="dcterms:W3CDTF">2021-09-22T15:44:56Z</dcterms:modified>
</cp:coreProperties>
</file>