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oma\Desktop\TBS\Financial Analyses\"/>
    </mc:Choice>
  </mc:AlternateContent>
  <xr:revisionPtr revIDLastSave="0" documentId="13_ncr:1_{8F953C9F-FE20-45AF-9E39-DAD86B0AAEB1}" xr6:coauthVersionLast="47" xr6:coauthVersionMax="47" xr10:uidLastSave="{00000000-0000-0000-0000-000000000000}"/>
  <bookViews>
    <workbookView xWindow="-108" yWindow="-108" windowWidth="23256" windowHeight="12576" tabRatio="574" xr2:uid="{00000000-000D-0000-FFFF-FFFF00000000}"/>
  </bookViews>
  <sheets>
    <sheet name="DCF" sheetId="1" r:id="rId1"/>
    <sheet name="Comparables - Recent Deal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N12" i="1" s="1"/>
  <c r="M13" i="1"/>
  <c r="E5" i="6"/>
  <c r="E28" i="1"/>
  <c r="F28" i="1"/>
  <c r="G28" i="1"/>
  <c r="H28" i="1"/>
  <c r="I28" i="1"/>
  <c r="J28" i="1"/>
  <c r="K28" i="1"/>
  <c r="L28" i="1"/>
  <c r="D28" i="1"/>
  <c r="N13" i="1"/>
  <c r="L13" i="1"/>
  <c r="K13" i="1"/>
  <c r="J13" i="1"/>
  <c r="H13" i="1"/>
  <c r="I13" i="1" s="1"/>
  <c r="L12" i="1"/>
  <c r="K12" i="1"/>
  <c r="J12" i="1"/>
  <c r="I12" i="1"/>
  <c r="H12" i="1"/>
  <c r="N9" i="1"/>
  <c r="M9" i="1"/>
  <c r="L9" i="1"/>
  <c r="K9" i="1"/>
  <c r="J9" i="1"/>
  <c r="I9" i="1"/>
  <c r="H9" i="1"/>
  <c r="N8" i="1"/>
  <c r="M8" i="1"/>
  <c r="L8" i="1"/>
  <c r="K8" i="1"/>
  <c r="J8" i="1"/>
  <c r="I8" i="1"/>
  <c r="H8" i="1"/>
  <c r="N10" i="1" l="1"/>
  <c r="M10" i="1"/>
  <c r="L10" i="1"/>
  <c r="I10" i="1"/>
  <c r="H10" i="1"/>
  <c r="D20" i="6"/>
  <c r="F24" i="6" s="1"/>
  <c r="F26" i="6" s="1"/>
  <c r="F18" i="6"/>
  <c r="D19" i="6"/>
  <c r="C20" i="6"/>
  <c r="E18" i="6"/>
  <c r="C19" i="6"/>
  <c r="E23" i="6"/>
  <c r="E25" i="6" s="1"/>
  <c r="F15" i="6"/>
  <c r="E15" i="6"/>
  <c r="F8" i="6"/>
  <c r="E8" i="6"/>
  <c r="E10" i="1"/>
  <c r="E14" i="1" s="1"/>
  <c r="E17" i="1" s="1"/>
  <c r="E20" i="1" s="1"/>
  <c r="E24" i="1" s="1"/>
  <c r="F10" i="1"/>
  <c r="F14" i="1" s="1"/>
  <c r="F17" i="1" s="1"/>
  <c r="F20" i="1" s="1"/>
  <c r="F24" i="1" s="1"/>
  <c r="G10" i="1"/>
  <c r="G14" i="1"/>
  <c r="G17" i="1" s="1"/>
  <c r="G20" i="1" s="1"/>
  <c r="H14" i="1"/>
  <c r="H17" i="1" s="1"/>
  <c r="H20" i="1" s="1"/>
  <c r="I14" i="1"/>
  <c r="I17" i="1" s="1"/>
  <c r="I20" i="1" s="1"/>
  <c r="D10" i="1"/>
  <c r="D14" i="1" s="1"/>
  <c r="D17" i="1" s="1"/>
  <c r="D20" i="1" s="1"/>
  <c r="D24" i="1" s="1"/>
  <c r="F13" i="6"/>
  <c r="E13" i="6"/>
  <c r="F7" i="6"/>
  <c r="F6" i="6"/>
  <c r="F5" i="6"/>
  <c r="F11" i="6"/>
  <c r="F10" i="6"/>
  <c r="E7" i="6"/>
  <c r="E6" i="6"/>
  <c r="E9" i="6" s="1"/>
  <c r="E11" i="6"/>
  <c r="E10" i="6"/>
  <c r="B28" i="1"/>
  <c r="F9" i="6" l="1"/>
  <c r="M14" i="1"/>
  <c r="M17" i="1" s="1"/>
  <c r="M20" i="1" s="1"/>
  <c r="M23" i="1" s="1"/>
  <c r="M24" i="1" s="1"/>
  <c r="M28" i="1" s="1"/>
  <c r="N14" i="1"/>
  <c r="N17" i="1" s="1"/>
  <c r="N20" i="1" s="1"/>
  <c r="N23" i="1" s="1"/>
  <c r="N24" i="1" s="1"/>
  <c r="N28" i="1" s="1"/>
  <c r="L14" i="1"/>
  <c r="L17" i="1" s="1"/>
  <c r="L20" i="1" s="1"/>
  <c r="L23" i="1" s="1"/>
  <c r="L24" i="1" s="1"/>
  <c r="J10" i="1"/>
  <c r="J14" i="1" s="1"/>
  <c r="J17" i="1" s="1"/>
  <c r="J20" i="1" s="1"/>
  <c r="J23" i="1" s="1"/>
  <c r="J24" i="1" s="1"/>
  <c r="K10" i="1"/>
  <c r="K14" i="1" s="1"/>
  <c r="K17" i="1" s="1"/>
  <c r="K20" i="1" s="1"/>
  <c r="K23" i="1" s="1"/>
  <c r="E24" i="6"/>
  <c r="E26" i="6" s="1"/>
  <c r="F23" i="6"/>
  <c r="F25" i="6" s="1"/>
  <c r="I23" i="1"/>
  <c r="I24" i="1" s="1"/>
  <c r="E33" i="1"/>
  <c r="E34" i="1" s="1"/>
  <c r="E35" i="1" s="1"/>
  <c r="E39" i="1"/>
  <c r="E40" i="1" s="1"/>
  <c r="E41" i="1" s="1"/>
  <c r="H23" i="1"/>
  <c r="H24" i="1" s="1"/>
  <c r="E22" i="1"/>
  <c r="F22" i="1" s="1"/>
  <c r="G22" i="1" s="1"/>
  <c r="G23" i="1" s="1"/>
  <c r="G24" i="1" s="1"/>
  <c r="F39" i="1"/>
  <c r="F40" i="1" s="1"/>
  <c r="F41" i="1" s="1"/>
  <c r="F33" i="1"/>
  <c r="F34" i="1" s="1"/>
  <c r="F35" i="1" s="1"/>
  <c r="K24" i="1" l="1"/>
  <c r="G39" i="1"/>
  <c r="G40" i="1" s="1"/>
  <c r="G41" i="1" s="1"/>
  <c r="G33" i="1"/>
  <c r="G34" i="1" s="1"/>
  <c r="G35" i="1" s="1"/>
  <c r="L33" i="1"/>
  <c r="L34" i="1" s="1"/>
  <c r="L35" i="1" s="1"/>
  <c r="L39" i="1"/>
  <c r="L40" i="1" s="1"/>
  <c r="L41" i="1" s="1"/>
  <c r="H33" i="1"/>
  <c r="H34" i="1" s="1"/>
  <c r="H35" i="1" s="1"/>
  <c r="H39" i="1"/>
  <c r="H40" i="1" s="1"/>
  <c r="H41" i="1" s="1"/>
  <c r="J39" i="1"/>
  <c r="J40" i="1" s="1"/>
  <c r="J41" i="1" s="1"/>
  <c r="J33" i="1"/>
  <c r="J34" i="1" s="1"/>
  <c r="J35" i="1" s="1"/>
  <c r="N39" i="1"/>
  <c r="N40" i="1" s="1"/>
  <c r="N33" i="1"/>
  <c r="N34" i="1" s="1"/>
  <c r="K39" i="1"/>
  <c r="K40" i="1" s="1"/>
  <c r="K41" i="1" s="1"/>
  <c r="K33" i="1"/>
  <c r="K34" i="1" s="1"/>
  <c r="K35" i="1" s="1"/>
  <c r="I39" i="1"/>
  <c r="I40" i="1" s="1"/>
  <c r="I41" i="1" s="1"/>
  <c r="I33" i="1"/>
  <c r="I34" i="1" s="1"/>
  <c r="I35" i="1" s="1"/>
  <c r="M39" i="1"/>
  <c r="M40" i="1" s="1"/>
  <c r="M33" i="1"/>
  <c r="M34" i="1" s="1"/>
  <c r="M35" i="1" s="1"/>
  <c r="D39" i="1"/>
  <c r="D40" i="1" s="1"/>
  <c r="D41" i="1" s="1"/>
  <c r="D33" i="1"/>
  <c r="D34" i="1" s="1"/>
  <c r="D35" i="1" s="1"/>
  <c r="M41" i="1" l="1"/>
  <c r="B34" i="1"/>
  <c r="B35" i="1" s="1"/>
  <c r="B40" i="1"/>
  <c r="B41" i="1" s="1"/>
</calcChain>
</file>

<file path=xl/sharedStrings.xml><?xml version="1.0" encoding="utf-8"?>
<sst xmlns="http://schemas.openxmlformats.org/spreadsheetml/2006/main" count="76" uniqueCount="60">
  <si>
    <t>Expedia</t>
  </si>
  <si>
    <t>Airbnb</t>
  </si>
  <si>
    <t>Homeaway</t>
  </si>
  <si>
    <t>Priceline</t>
  </si>
  <si>
    <t>EBITDA</t>
  </si>
  <si>
    <t>Lending Club</t>
  </si>
  <si>
    <t>Zillow</t>
  </si>
  <si>
    <t>Hostelworld</t>
  </si>
  <si>
    <t>FCF</t>
  </si>
  <si>
    <t>Total (VA)</t>
  </si>
  <si>
    <t>Hostelworld (IPO)</t>
  </si>
  <si>
    <t>Horizon 2022</t>
  </si>
  <si>
    <t>Taxes and duties</t>
  </si>
  <si>
    <t xml:space="preserve"> Personnel costs</t>
  </si>
  <si>
    <t>Financial costs</t>
  </si>
  <si>
    <t>External expenses</t>
  </si>
  <si>
    <t>Depreciation charges</t>
  </si>
  <si>
    <t>Current result</t>
  </si>
  <si>
    <t>Corporate tax</t>
  </si>
  <si>
    <t>Net result</t>
  </si>
  <si>
    <t>Hypotheses</t>
  </si>
  <si>
    <t>Probability</t>
  </si>
  <si>
    <t>Discount rate</t>
  </si>
  <si>
    <t>% for500K€</t>
  </si>
  <si>
    <t>% for 500K€</t>
  </si>
  <si>
    <t xml:space="preserve">Travel Platforms </t>
  </si>
  <si>
    <t>Other startups</t>
  </si>
  <si>
    <t>Sales</t>
  </si>
  <si>
    <t>Adjustment : Probability 30%</t>
  </si>
  <si>
    <t>Adjustment : Probability  50%</t>
  </si>
  <si>
    <t>Comments :</t>
  </si>
  <si>
    <t>Value to be relativised seeing how young the firm is</t>
  </si>
  <si>
    <t>Actualisation at 7 years</t>
  </si>
  <si>
    <t>Growth forecast</t>
  </si>
  <si>
    <t>Information available in the case</t>
  </si>
  <si>
    <t>Forecasts to be produced by the students</t>
  </si>
  <si>
    <t>2022 (*)</t>
  </si>
  <si>
    <t>Revenues</t>
  </si>
  <si>
    <t>EBIT</t>
  </si>
  <si>
    <t>Losses carried forward</t>
  </si>
  <si>
    <t>(*) Exit horizon - Revenues and EBITDA used for comparable-based calculations (2nd tab)</t>
  </si>
  <si>
    <t>Question 2</t>
  </si>
  <si>
    <t>Question 3</t>
  </si>
  <si>
    <t>Hypotheses given in the case</t>
  </si>
  <si>
    <t>Hypotheses if recalculated by Yestudent</t>
  </si>
  <si>
    <t>Discount rate = 40%</t>
  </si>
  <si>
    <t>Year 10 includes : Discounting of annual FCF and perpetuity from year 11 on</t>
  </si>
  <si>
    <r>
      <t xml:space="preserve">Average </t>
    </r>
    <r>
      <rPr>
        <b/>
        <i/>
        <u/>
        <sz val="11"/>
        <rFont val="Calibri"/>
        <family val="2"/>
        <scheme val="minor"/>
      </rPr>
      <t>excl. Airbnb</t>
    </r>
  </si>
  <si>
    <t>Enterprise Value</t>
  </si>
  <si>
    <t>EV/sales</t>
  </si>
  <si>
    <t>EV/EBITDA</t>
  </si>
  <si>
    <t>Seems the closest and most realistic for Yestudent</t>
  </si>
  <si>
    <t>Forecast Yestudent 2022 (Fund's exit horizon)</t>
  </si>
  <si>
    <t>At this point, DCF appears to be more appropriate</t>
  </si>
  <si>
    <t>Present Value - 30% - 40%</t>
  </si>
  <si>
    <t>Present Value - 50% - 40%</t>
  </si>
  <si>
    <t>VA (margin)</t>
  </si>
  <si>
    <t>FCF with probability 50%</t>
  </si>
  <si>
    <t>FCF with probability 30%</t>
  </si>
  <si>
    <t xml:space="preserve">Calculation of FCF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</si>
</sst>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5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9" fontId="4" fillId="0" borderId="0" xfId="0" applyNumberFormat="1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0" fillId="0" borderId="5" xfId="0" applyBorder="1"/>
    <xf numFmtId="0" fontId="0" fillId="0" borderId="4" xfId="0" applyBorder="1"/>
    <xf numFmtId="0" fontId="0" fillId="0" borderId="8" xfId="0" applyBorder="1"/>
    <xf numFmtId="3" fontId="8" fillId="0" borderId="0" xfId="0" applyNumberFormat="1" applyFont="1"/>
    <xf numFmtId="0" fontId="10" fillId="0" borderId="4" xfId="0" applyFont="1" applyBorder="1"/>
    <xf numFmtId="0" fontId="10" fillId="0" borderId="6" xfId="0" applyFont="1" applyBorder="1"/>
    <xf numFmtId="9" fontId="3" fillId="0" borderId="0" xfId="1" applyFont="1"/>
    <xf numFmtId="0" fontId="13" fillId="0" borderId="0" xfId="0" applyFont="1"/>
    <xf numFmtId="9" fontId="7" fillId="0" borderId="0" xfId="0" applyNumberFormat="1" applyFont="1"/>
    <xf numFmtId="9" fontId="13" fillId="0" borderId="0" xfId="0" applyNumberFormat="1" applyFont="1"/>
    <xf numFmtId="9" fontId="7" fillId="0" borderId="0" xfId="1" applyFont="1"/>
    <xf numFmtId="0" fontId="14" fillId="0" borderId="0" xfId="0" applyFont="1"/>
    <xf numFmtId="0" fontId="8" fillId="0" borderId="4" xfId="0" applyFont="1" applyBorder="1"/>
    <xf numFmtId="9" fontId="4" fillId="0" borderId="0" xfId="1" applyFont="1"/>
    <xf numFmtId="0" fontId="9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10" fillId="0" borderId="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5" xfId="0" applyFont="1" applyBorder="1"/>
    <xf numFmtId="0" fontId="10" fillId="0" borderId="0" xfId="0" applyFont="1" applyBorder="1" applyAlignment="1">
      <alignment horizontal="right"/>
    </xf>
    <xf numFmtId="2" fontId="14" fillId="0" borderId="2" xfId="0" applyNumberFormat="1" applyFont="1" applyBorder="1" applyAlignment="1">
      <alignment horizontal="center"/>
    </xf>
    <xf numFmtId="0" fontId="14" fillId="0" borderId="3" xfId="0" applyFont="1" applyBorder="1"/>
    <xf numFmtId="0" fontId="16" fillId="0" borderId="0" xfId="0" applyFont="1" applyAlignment="1">
      <alignment horizontal="right"/>
    </xf>
    <xf numFmtId="3" fontId="16" fillId="0" borderId="0" xfId="0" applyNumberFormat="1" applyFont="1"/>
    <xf numFmtId="0" fontId="2" fillId="0" borderId="0" xfId="0" applyFont="1"/>
    <xf numFmtId="3" fontId="14" fillId="0" borderId="0" xfId="0" applyNumberFormat="1" applyFont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/>
    <xf numFmtId="9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abSelected="1" workbookViewId="0">
      <pane xSplit="2" ySplit="6" topLeftCell="C8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baseColWidth="10" defaultRowHeight="14.4" x14ac:dyDescent="0.3"/>
  <cols>
    <col min="1" max="1" width="19.44140625" customWidth="1"/>
    <col min="2" max="2" width="16.21875" customWidth="1"/>
    <col min="3" max="3" width="30.44140625" customWidth="1"/>
    <col min="10" max="10" width="11.77734375" bestFit="1" customWidth="1"/>
  </cols>
  <sheetData>
    <row r="1" spans="1:20" x14ac:dyDescent="0.3">
      <c r="A1" s="2"/>
    </row>
    <row r="2" spans="1:20" x14ac:dyDescent="0.3">
      <c r="A2" s="2"/>
    </row>
    <row r="4" spans="1:20" x14ac:dyDescent="0.3">
      <c r="D4" s="60" t="s">
        <v>34</v>
      </c>
      <c r="E4" s="60"/>
      <c r="F4" s="60"/>
      <c r="G4" s="60"/>
      <c r="H4" s="59" t="s">
        <v>35</v>
      </c>
      <c r="I4" s="60"/>
      <c r="J4" s="60"/>
      <c r="K4" s="60"/>
      <c r="L4" s="60"/>
      <c r="M4" s="60"/>
      <c r="N4" s="60"/>
    </row>
    <row r="5" spans="1:20" x14ac:dyDescent="0.3">
      <c r="A5" s="3"/>
      <c r="B5" s="3"/>
      <c r="C5" s="3"/>
      <c r="D5" s="11">
        <v>2016</v>
      </c>
      <c r="E5" s="11">
        <v>2017</v>
      </c>
      <c r="F5" s="11">
        <v>2018</v>
      </c>
      <c r="G5" s="11">
        <v>2019</v>
      </c>
      <c r="H5" s="8">
        <v>2020</v>
      </c>
      <c r="I5" s="8">
        <v>2021</v>
      </c>
      <c r="J5" s="49" t="s">
        <v>36</v>
      </c>
      <c r="K5" s="8">
        <v>2023</v>
      </c>
      <c r="L5" s="8">
        <v>2024</v>
      </c>
      <c r="M5" s="8">
        <v>2025</v>
      </c>
      <c r="N5" s="8">
        <v>2026</v>
      </c>
    </row>
    <row r="6" spans="1:20" x14ac:dyDescent="0.3">
      <c r="A6" s="3"/>
      <c r="B6" s="3"/>
      <c r="C6" s="3" t="s">
        <v>33</v>
      </c>
      <c r="D6" s="11"/>
      <c r="E6" s="11"/>
      <c r="F6" s="11"/>
      <c r="G6" s="11"/>
      <c r="H6" s="4"/>
      <c r="I6" s="4"/>
      <c r="J6" s="4"/>
      <c r="K6" s="4"/>
      <c r="L6" s="4"/>
      <c r="M6" s="4"/>
      <c r="N6" s="4"/>
    </row>
    <row r="7" spans="1:20" x14ac:dyDescent="0.3">
      <c r="A7" s="3"/>
      <c r="B7" s="3"/>
      <c r="C7" s="3"/>
      <c r="D7" s="11">
        <v>1</v>
      </c>
      <c r="E7" s="11">
        <v>2</v>
      </c>
      <c r="F7" s="11">
        <v>3</v>
      </c>
      <c r="G7" s="11">
        <v>4</v>
      </c>
      <c r="H7" s="8">
        <v>5</v>
      </c>
      <c r="I7" s="8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</row>
    <row r="8" spans="1:20" x14ac:dyDescent="0.3">
      <c r="B8" s="4"/>
      <c r="C8" t="s">
        <v>37</v>
      </c>
      <c r="D8" s="12">
        <v>20000</v>
      </c>
      <c r="E8" s="12">
        <v>400000</v>
      </c>
      <c r="F8" s="12">
        <v>4200000</v>
      </c>
      <c r="G8" s="12">
        <v>11500000</v>
      </c>
      <c r="H8" s="9">
        <f>G8*(1+50%)</f>
        <v>17250000</v>
      </c>
      <c r="I8" s="9">
        <f>H8*(1+50%)</f>
        <v>25875000</v>
      </c>
      <c r="J8" s="50">
        <f>I8*(1+25%)</f>
        <v>32343750</v>
      </c>
      <c r="K8" s="9">
        <f>J8*(1+25%)</f>
        <v>40429687.5</v>
      </c>
      <c r="L8" s="9">
        <f>K8*(1+10%)</f>
        <v>44472656.25</v>
      </c>
      <c r="M8" s="9">
        <f>L8*(1+10%)</f>
        <v>48919921.875000007</v>
      </c>
      <c r="N8" s="9">
        <f>M8*(1+5%)</f>
        <v>51365917.968750007</v>
      </c>
      <c r="Q8" s="1"/>
      <c r="R8" s="1"/>
      <c r="S8" s="1"/>
      <c r="T8" s="1"/>
    </row>
    <row r="9" spans="1:20" x14ac:dyDescent="0.3">
      <c r="B9" s="3"/>
      <c r="C9" t="s">
        <v>15</v>
      </c>
      <c r="D9" s="12">
        <v>120000</v>
      </c>
      <c r="E9" s="12">
        <v>390000</v>
      </c>
      <c r="F9" s="12">
        <v>2250000</v>
      </c>
      <c r="G9" s="12">
        <v>4750000</v>
      </c>
      <c r="H9" s="9">
        <f>G9*(1+50%)</f>
        <v>7125000</v>
      </c>
      <c r="I9" s="9">
        <f>H9*(1+50%)</f>
        <v>10687500</v>
      </c>
      <c r="J9" s="50">
        <f>I9*(1+25%)</f>
        <v>13359375</v>
      </c>
      <c r="K9" s="9">
        <f>J9*(1+25%)</f>
        <v>16699218.75</v>
      </c>
      <c r="L9" s="9">
        <f>K9*(1+10%)</f>
        <v>18369140.625</v>
      </c>
      <c r="M9" s="9">
        <f>L9*(1+10%)</f>
        <v>20206054.6875</v>
      </c>
      <c r="N9" s="9">
        <f>M9*(1+5%)</f>
        <v>21216357.421875</v>
      </c>
      <c r="Q9" s="1"/>
      <c r="R9" s="1"/>
      <c r="S9" s="1"/>
      <c r="T9" s="1"/>
    </row>
    <row r="10" spans="1:20" x14ac:dyDescent="0.3">
      <c r="B10" s="3"/>
      <c r="C10" t="s">
        <v>56</v>
      </c>
      <c r="D10" s="12">
        <f>D8-D9</f>
        <v>-100000</v>
      </c>
      <c r="E10" s="12">
        <f t="shared" ref="E10:N10" si="0">E8-E9</f>
        <v>10000</v>
      </c>
      <c r="F10" s="12">
        <f t="shared" si="0"/>
        <v>1950000</v>
      </c>
      <c r="G10" s="12">
        <f t="shared" si="0"/>
        <v>6750000</v>
      </c>
      <c r="H10" s="12">
        <f t="shared" si="0"/>
        <v>10125000</v>
      </c>
      <c r="I10" s="12">
        <f t="shared" si="0"/>
        <v>15187500</v>
      </c>
      <c r="J10" s="12">
        <f t="shared" si="0"/>
        <v>18984375</v>
      </c>
      <c r="K10" s="12">
        <f t="shared" si="0"/>
        <v>23730468.75</v>
      </c>
      <c r="L10" s="12">
        <f t="shared" si="0"/>
        <v>26103515.625</v>
      </c>
      <c r="M10" s="12">
        <f t="shared" si="0"/>
        <v>28713867.187500007</v>
      </c>
      <c r="N10" s="12">
        <f t="shared" si="0"/>
        <v>30149560.546875007</v>
      </c>
      <c r="Q10" s="1"/>
      <c r="R10" s="1"/>
      <c r="S10" s="1"/>
      <c r="T10" s="1"/>
    </row>
    <row r="11" spans="1:20" x14ac:dyDescent="0.3">
      <c r="B11" s="3"/>
      <c r="D11" s="11"/>
      <c r="E11" s="11"/>
      <c r="F11" s="11"/>
      <c r="G11" s="11"/>
      <c r="H11" s="8"/>
      <c r="I11" s="8"/>
      <c r="J11" s="8"/>
      <c r="K11" s="8"/>
      <c r="L11" s="8"/>
      <c r="M11" s="8"/>
      <c r="N11" s="8"/>
      <c r="Q11" s="1"/>
      <c r="R11" s="1"/>
      <c r="S11" s="1"/>
      <c r="T11" s="1"/>
    </row>
    <row r="12" spans="1:20" x14ac:dyDescent="0.3">
      <c r="B12" s="3"/>
      <c r="C12" t="s">
        <v>12</v>
      </c>
      <c r="D12" s="12">
        <v>5000</v>
      </c>
      <c r="E12" s="12">
        <v>15000</v>
      </c>
      <c r="F12" s="12">
        <v>60000</v>
      </c>
      <c r="G12" s="12">
        <v>175000</v>
      </c>
      <c r="H12" s="9">
        <f>G12*(1+50%)</f>
        <v>262500</v>
      </c>
      <c r="I12" s="9">
        <f t="shared" ref="I12:N12" si="1">H12*(1+50%)</f>
        <v>393750</v>
      </c>
      <c r="J12" s="9">
        <f>I12*(1+25%)</f>
        <v>492187.5</v>
      </c>
      <c r="K12" s="9">
        <f>J12*(1+25%)</f>
        <v>615234.375</v>
      </c>
      <c r="L12" s="9">
        <f>K12*(1+10%)</f>
        <v>676757.8125</v>
      </c>
      <c r="M12" s="9">
        <f>L12*(1+10%)</f>
        <v>744433.59375000012</v>
      </c>
      <c r="N12" s="9">
        <f>M12*(1+5%)</f>
        <v>781655.27343750012</v>
      </c>
      <c r="Q12" s="1"/>
      <c r="R12" s="1"/>
      <c r="S12" s="1"/>
      <c r="T12" s="1"/>
    </row>
    <row r="13" spans="1:20" x14ac:dyDescent="0.3">
      <c r="B13" s="3"/>
      <c r="C13" t="s">
        <v>13</v>
      </c>
      <c r="D13" s="12">
        <v>335000</v>
      </c>
      <c r="E13" s="12">
        <v>700000</v>
      </c>
      <c r="F13" s="12">
        <v>1225000</v>
      </c>
      <c r="G13" s="12">
        <v>2500000</v>
      </c>
      <c r="H13" s="9">
        <f>G13*(1+50%)</f>
        <v>3750000</v>
      </c>
      <c r="I13" s="9">
        <f t="shared" ref="I13:N13" si="2">H13*(1+50%)</f>
        <v>5625000</v>
      </c>
      <c r="J13" s="9">
        <f>I13*(1+25%)</f>
        <v>7031250</v>
      </c>
      <c r="K13" s="9">
        <f>J13*(1+25%)</f>
        <v>8789062.5</v>
      </c>
      <c r="L13" s="9">
        <f>K13*(1+10%)</f>
        <v>9667968.75</v>
      </c>
      <c r="M13" s="9">
        <f>L13*(1+10%)</f>
        <v>10634765.625</v>
      </c>
      <c r="N13" s="9">
        <f>M13*(1+5%)</f>
        <v>11166503.90625</v>
      </c>
      <c r="Q13" s="1"/>
      <c r="R13" s="1"/>
      <c r="S13" s="1"/>
      <c r="T13" s="1"/>
    </row>
    <row r="14" spans="1:20" x14ac:dyDescent="0.3">
      <c r="B14" s="3"/>
      <c r="C14" s="51" t="s">
        <v>4</v>
      </c>
      <c r="D14" s="12">
        <f>D10-D12-D13</f>
        <v>-440000</v>
      </c>
      <c r="E14" s="12">
        <f t="shared" ref="E14:N14" si="3">E10-E12-E13</f>
        <v>-705000</v>
      </c>
      <c r="F14" s="12">
        <f t="shared" si="3"/>
        <v>665000</v>
      </c>
      <c r="G14" s="12">
        <f t="shared" si="3"/>
        <v>4075000</v>
      </c>
      <c r="H14" s="9">
        <f t="shared" si="3"/>
        <v>6112500</v>
      </c>
      <c r="I14" s="9">
        <f t="shared" si="3"/>
        <v>9168750</v>
      </c>
      <c r="J14" s="50">
        <f t="shared" si="3"/>
        <v>11460937.5</v>
      </c>
      <c r="K14" s="9">
        <f t="shared" si="3"/>
        <v>14326171.875</v>
      </c>
      <c r="L14" s="9">
        <f t="shared" si="3"/>
        <v>15758789.0625</v>
      </c>
      <c r="M14" s="9">
        <f t="shared" si="3"/>
        <v>17334667.968750007</v>
      </c>
      <c r="N14" s="9">
        <f t="shared" si="3"/>
        <v>18201401.367187507</v>
      </c>
      <c r="Q14" s="1"/>
      <c r="R14" s="1"/>
      <c r="S14" s="1"/>
      <c r="T14" s="1"/>
    </row>
    <row r="15" spans="1:20" x14ac:dyDescent="0.3">
      <c r="B15" s="3"/>
      <c r="D15" s="11"/>
      <c r="E15" s="11"/>
      <c r="F15" s="11"/>
      <c r="G15" s="11"/>
      <c r="H15" s="8"/>
      <c r="I15" s="8"/>
      <c r="J15" s="8"/>
      <c r="K15" s="8"/>
      <c r="L15" s="8"/>
      <c r="M15" s="8"/>
      <c r="N15" s="8"/>
      <c r="Q15" s="1"/>
      <c r="R15" s="1"/>
      <c r="S15" s="1"/>
      <c r="T15" s="1"/>
    </row>
    <row r="16" spans="1:20" x14ac:dyDescent="0.3">
      <c r="B16" s="3"/>
      <c r="C16" t="s">
        <v>16</v>
      </c>
      <c r="D16" s="12">
        <v>10000</v>
      </c>
      <c r="E16" s="12">
        <v>10000</v>
      </c>
      <c r="F16" s="12">
        <v>10000</v>
      </c>
      <c r="G16" s="12">
        <v>15000</v>
      </c>
      <c r="H16" s="9">
        <v>15000</v>
      </c>
      <c r="I16" s="9">
        <v>15000</v>
      </c>
      <c r="J16" s="9">
        <v>15000</v>
      </c>
      <c r="K16" s="9">
        <v>15000</v>
      </c>
      <c r="L16" s="9">
        <v>15000</v>
      </c>
      <c r="M16" s="9">
        <v>15000</v>
      </c>
      <c r="N16" s="9">
        <v>15000</v>
      </c>
      <c r="Q16" s="1"/>
      <c r="R16" s="1"/>
      <c r="S16" s="1"/>
      <c r="T16" s="1"/>
    </row>
    <row r="17" spans="1:20" x14ac:dyDescent="0.3">
      <c r="B17" s="3"/>
      <c r="C17" t="s">
        <v>38</v>
      </c>
      <c r="D17" s="12">
        <f>D14-D16</f>
        <v>-450000</v>
      </c>
      <c r="E17" s="12">
        <f t="shared" ref="E17:N17" si="4">E14-E16</f>
        <v>-715000</v>
      </c>
      <c r="F17" s="12">
        <f t="shared" si="4"/>
        <v>655000</v>
      </c>
      <c r="G17" s="12">
        <f t="shared" si="4"/>
        <v>4060000</v>
      </c>
      <c r="H17" s="9">
        <f t="shared" si="4"/>
        <v>6097500</v>
      </c>
      <c r="I17" s="9">
        <f t="shared" si="4"/>
        <v>9153750</v>
      </c>
      <c r="J17" s="9">
        <f t="shared" si="4"/>
        <v>11445937.5</v>
      </c>
      <c r="K17" s="9">
        <f t="shared" si="4"/>
        <v>14311171.875</v>
      </c>
      <c r="L17" s="9">
        <f t="shared" si="4"/>
        <v>15743789.0625</v>
      </c>
      <c r="M17" s="9">
        <f t="shared" si="4"/>
        <v>17319667.968750007</v>
      </c>
      <c r="N17" s="9">
        <f t="shared" si="4"/>
        <v>18186401.367187507</v>
      </c>
      <c r="Q17" s="1"/>
      <c r="R17" s="1"/>
      <c r="S17" s="1"/>
      <c r="T17" s="1"/>
    </row>
    <row r="18" spans="1:20" x14ac:dyDescent="0.3">
      <c r="B18" s="3"/>
      <c r="D18" s="11"/>
      <c r="E18" s="11"/>
      <c r="F18" s="11"/>
      <c r="G18" s="11"/>
      <c r="H18" s="8"/>
      <c r="I18" s="8"/>
      <c r="J18" s="8"/>
      <c r="K18" s="8"/>
      <c r="L18" s="8"/>
      <c r="M18" s="8"/>
      <c r="N18" s="8"/>
      <c r="Q18" s="1"/>
      <c r="R18" s="1"/>
      <c r="S18" s="1"/>
      <c r="T18" s="1"/>
    </row>
    <row r="19" spans="1:20" x14ac:dyDescent="0.3">
      <c r="B19" s="3"/>
      <c r="C19" t="s">
        <v>14</v>
      </c>
      <c r="D19" s="12">
        <v>500</v>
      </c>
      <c r="E19" s="12">
        <v>500</v>
      </c>
      <c r="F19" s="12">
        <v>500</v>
      </c>
      <c r="G19" s="12">
        <v>500</v>
      </c>
      <c r="H19" s="9">
        <v>2500</v>
      </c>
      <c r="I19" s="9">
        <v>2500</v>
      </c>
      <c r="J19" s="9">
        <v>2500</v>
      </c>
      <c r="K19" s="9">
        <v>2500</v>
      </c>
      <c r="L19" s="9">
        <v>2500</v>
      </c>
      <c r="M19" s="9">
        <v>2500</v>
      </c>
      <c r="N19" s="9">
        <v>2500</v>
      </c>
      <c r="Q19" s="1"/>
      <c r="R19" s="1"/>
      <c r="S19" s="1"/>
      <c r="T19" s="1"/>
    </row>
    <row r="20" spans="1:20" x14ac:dyDescent="0.3">
      <c r="B20" s="3"/>
      <c r="C20" t="s">
        <v>17</v>
      </c>
      <c r="D20" s="12">
        <f>D17-D19</f>
        <v>-450500</v>
      </c>
      <c r="E20" s="12">
        <f t="shared" ref="E20:N20" si="5">E17-E19</f>
        <v>-715500</v>
      </c>
      <c r="F20" s="12">
        <f t="shared" si="5"/>
        <v>654500</v>
      </c>
      <c r="G20" s="12">
        <f t="shared" si="5"/>
        <v>4059500</v>
      </c>
      <c r="H20" s="9">
        <f t="shared" si="5"/>
        <v>6095000</v>
      </c>
      <c r="I20" s="9">
        <f t="shared" si="5"/>
        <v>9151250</v>
      </c>
      <c r="J20" s="9">
        <f t="shared" si="5"/>
        <v>11443437.5</v>
      </c>
      <c r="K20" s="9">
        <f t="shared" si="5"/>
        <v>14308671.875</v>
      </c>
      <c r="L20" s="9">
        <f t="shared" si="5"/>
        <v>15741289.0625</v>
      </c>
      <c r="M20" s="9">
        <f t="shared" si="5"/>
        <v>17317167.968750007</v>
      </c>
      <c r="N20" s="9">
        <f t="shared" si="5"/>
        <v>18183901.367187507</v>
      </c>
      <c r="Q20" s="1"/>
      <c r="R20" s="1"/>
      <c r="S20" s="1"/>
      <c r="T20" s="1"/>
    </row>
    <row r="21" spans="1:20" x14ac:dyDescent="0.3">
      <c r="B21" s="3"/>
      <c r="D21" s="11"/>
      <c r="E21" s="11"/>
      <c r="F21" s="11"/>
      <c r="G21" s="11"/>
      <c r="H21" s="8"/>
      <c r="I21" s="8"/>
      <c r="J21" s="8"/>
      <c r="K21" s="8"/>
      <c r="L21" s="8"/>
      <c r="M21" s="8"/>
      <c r="N21" s="8"/>
      <c r="Q21" s="1"/>
      <c r="R21" s="1"/>
      <c r="S21" s="1"/>
      <c r="T21" s="1"/>
    </row>
    <row r="22" spans="1:20" x14ac:dyDescent="0.3">
      <c r="B22" s="3"/>
      <c r="C22" t="s">
        <v>39</v>
      </c>
      <c r="D22" s="11"/>
      <c r="E22" s="12">
        <f>D24</f>
        <v>-450500</v>
      </c>
      <c r="F22" s="12">
        <f>E22+E24</f>
        <v>-1166000</v>
      </c>
      <c r="G22" s="12">
        <f>F22+F24</f>
        <v>-511500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Q22" s="1"/>
      <c r="R22" s="1"/>
      <c r="S22" s="1"/>
      <c r="T22" s="1"/>
    </row>
    <row r="23" spans="1:20" x14ac:dyDescent="0.3">
      <c r="B23" s="3"/>
      <c r="C23" t="s">
        <v>18</v>
      </c>
      <c r="D23" s="11"/>
      <c r="E23" s="11"/>
      <c r="F23" s="11"/>
      <c r="G23" s="12">
        <f>38120*0.15+(G20+G22-38120)/3</f>
        <v>1175678</v>
      </c>
      <c r="H23" s="9">
        <f t="shared" ref="H23:N23" si="6">38120*0.15+(H20+H22-38120)/3</f>
        <v>2024678</v>
      </c>
      <c r="I23" s="9">
        <f t="shared" si="6"/>
        <v>3043428</v>
      </c>
      <c r="J23" s="9">
        <f t="shared" si="6"/>
        <v>3807490.5</v>
      </c>
      <c r="K23" s="9">
        <f t="shared" si="6"/>
        <v>4762568.625</v>
      </c>
      <c r="L23" s="9">
        <f t="shared" si="6"/>
        <v>5240107.6875</v>
      </c>
      <c r="M23" s="9">
        <f t="shared" si="6"/>
        <v>5765400.6562500028</v>
      </c>
      <c r="N23" s="9">
        <f t="shared" si="6"/>
        <v>6054311.7890625028</v>
      </c>
      <c r="Q23" s="1"/>
      <c r="R23" s="1"/>
      <c r="S23" s="1"/>
      <c r="T23" s="1"/>
    </row>
    <row r="24" spans="1:20" x14ac:dyDescent="0.3">
      <c r="B24" s="3"/>
      <c r="C24" t="s">
        <v>19</v>
      </c>
      <c r="D24" s="12">
        <f>D20-D23</f>
        <v>-450500</v>
      </c>
      <c r="E24" s="12">
        <f t="shared" ref="E24:N24" si="7">E20-E23</f>
        <v>-715500</v>
      </c>
      <c r="F24" s="12">
        <f t="shared" si="7"/>
        <v>654500</v>
      </c>
      <c r="G24" s="12">
        <f t="shared" si="7"/>
        <v>2883822</v>
      </c>
      <c r="H24" s="10">
        <f t="shared" si="7"/>
        <v>4070322</v>
      </c>
      <c r="I24" s="10">
        <f t="shared" si="7"/>
        <v>6107822</v>
      </c>
      <c r="J24" s="10">
        <f t="shared" si="7"/>
        <v>7635947</v>
      </c>
      <c r="K24" s="10">
        <f t="shared" si="7"/>
        <v>9546103.25</v>
      </c>
      <c r="L24" s="10">
        <f t="shared" si="7"/>
        <v>10501181.375</v>
      </c>
      <c r="M24" s="10">
        <f t="shared" si="7"/>
        <v>11551767.312500004</v>
      </c>
      <c r="N24" s="10">
        <f t="shared" si="7"/>
        <v>12129589.578125004</v>
      </c>
      <c r="Q24" s="1"/>
      <c r="R24" s="1"/>
      <c r="S24" s="1"/>
      <c r="T24" s="1"/>
    </row>
    <row r="25" spans="1:20" x14ac:dyDescent="0.3">
      <c r="A25" s="3"/>
      <c r="B25" s="3"/>
      <c r="C25" s="3"/>
      <c r="D25" s="3"/>
      <c r="E25" s="3"/>
      <c r="F25" s="3"/>
      <c r="G25" s="5"/>
      <c r="H25" s="5"/>
      <c r="I25" s="5"/>
      <c r="J25" s="52" t="s">
        <v>40</v>
      </c>
      <c r="K25" s="5"/>
      <c r="L25" s="5"/>
      <c r="M25" s="5"/>
      <c r="N25" s="5"/>
    </row>
    <row r="26" spans="1:2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0" x14ac:dyDescent="0.3">
      <c r="A27" s="3"/>
      <c r="B27" s="6"/>
      <c r="C27" s="6"/>
      <c r="D27" s="20" t="s">
        <v>59</v>
      </c>
      <c r="E27" s="11"/>
      <c r="F27" s="11"/>
      <c r="G27" s="11"/>
      <c r="H27" s="21"/>
      <c r="I27" s="21"/>
      <c r="J27" s="21"/>
      <c r="K27" s="21"/>
      <c r="L27" s="21"/>
      <c r="M27" s="21"/>
      <c r="N27" s="21"/>
    </row>
    <row r="28" spans="1:20" x14ac:dyDescent="0.3">
      <c r="A28" s="3"/>
      <c r="B28" s="5">
        <f>SUM(D29:M29)</f>
        <v>0</v>
      </c>
      <c r="C28" s="5"/>
      <c r="D28" s="12">
        <f>D24+D16</f>
        <v>-440500</v>
      </c>
      <c r="E28" s="12">
        <f t="shared" ref="E28:N28" si="8">E24+E16</f>
        <v>-705500</v>
      </c>
      <c r="F28" s="12">
        <f t="shared" si="8"/>
        <v>664500</v>
      </c>
      <c r="G28" s="12">
        <f t="shared" si="8"/>
        <v>2898822</v>
      </c>
      <c r="H28" s="12">
        <f t="shared" si="8"/>
        <v>4085322</v>
      </c>
      <c r="I28" s="12">
        <f t="shared" si="8"/>
        <v>6122822</v>
      </c>
      <c r="J28" s="12">
        <f t="shared" si="8"/>
        <v>7650947</v>
      </c>
      <c r="K28" s="12">
        <f t="shared" si="8"/>
        <v>9561103.25</v>
      </c>
      <c r="L28" s="12">
        <f t="shared" si="8"/>
        <v>10516181.375</v>
      </c>
      <c r="M28" s="12">
        <f t="shared" si="8"/>
        <v>11566767.312500004</v>
      </c>
      <c r="N28" s="12">
        <f t="shared" si="8"/>
        <v>12144589.578125004</v>
      </c>
    </row>
    <row r="29" spans="1:20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3"/>
    </row>
    <row r="30" spans="1:20" x14ac:dyDescent="0.3">
      <c r="A30" s="3" t="s">
        <v>20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0" x14ac:dyDescent="0.3">
      <c r="A31" s="3"/>
      <c r="B31" s="3"/>
      <c r="C31" s="3"/>
      <c r="D31" s="3"/>
      <c r="E31" s="3"/>
      <c r="F31" s="3"/>
      <c r="G31" s="3"/>
      <c r="H31" s="4"/>
      <c r="I31" s="4"/>
      <c r="J31" s="4"/>
      <c r="K31" s="4"/>
      <c r="L31" s="4"/>
      <c r="M31" s="4"/>
      <c r="N31" s="4"/>
    </row>
    <row r="32" spans="1:20" x14ac:dyDescent="0.3">
      <c r="A32" s="7" t="s">
        <v>21</v>
      </c>
      <c r="B32" s="26">
        <v>0.3</v>
      </c>
      <c r="C32" s="22" t="s">
        <v>41</v>
      </c>
      <c r="D32" s="20" t="s">
        <v>43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3">
      <c r="A33" s="7" t="s">
        <v>22</v>
      </c>
      <c r="B33" s="26">
        <v>0.4</v>
      </c>
      <c r="C33" s="21" t="s">
        <v>8</v>
      </c>
      <c r="D33" s="12">
        <f>D28</f>
        <v>-440500</v>
      </c>
      <c r="E33" s="12">
        <f t="shared" ref="E33:N33" si="9">E28</f>
        <v>-705500</v>
      </c>
      <c r="F33" s="12">
        <f t="shared" si="9"/>
        <v>664500</v>
      </c>
      <c r="G33" s="12">
        <f t="shared" si="9"/>
        <v>2898822</v>
      </c>
      <c r="H33" s="12">
        <f t="shared" si="9"/>
        <v>4085322</v>
      </c>
      <c r="I33" s="12">
        <f t="shared" si="9"/>
        <v>6122822</v>
      </c>
      <c r="J33" s="12">
        <f t="shared" si="9"/>
        <v>7650947</v>
      </c>
      <c r="K33" s="12">
        <f t="shared" si="9"/>
        <v>9561103.25</v>
      </c>
      <c r="L33" s="12">
        <f t="shared" si="9"/>
        <v>10516181.375</v>
      </c>
      <c r="M33" s="12">
        <f t="shared" si="9"/>
        <v>11566767.312500004</v>
      </c>
      <c r="N33" s="12">
        <f t="shared" si="9"/>
        <v>12144589.578125004</v>
      </c>
      <c r="O33" s="12" t="s">
        <v>8</v>
      </c>
    </row>
    <row r="34" spans="1:15" x14ac:dyDescent="0.3">
      <c r="A34" s="7" t="s">
        <v>9</v>
      </c>
      <c r="B34" s="16">
        <f>SUM(D35:M35)</f>
        <v>1613119.5585279327</v>
      </c>
      <c r="C34" s="12" t="s">
        <v>58</v>
      </c>
      <c r="D34" s="12">
        <f t="shared" ref="D34:N34" si="10">D33*$B$32</f>
        <v>-132150</v>
      </c>
      <c r="E34" s="12">
        <f t="shared" si="10"/>
        <v>-211650</v>
      </c>
      <c r="F34" s="12">
        <f t="shared" si="10"/>
        <v>199350</v>
      </c>
      <c r="G34" s="12">
        <f t="shared" si="10"/>
        <v>869646.6</v>
      </c>
      <c r="H34" s="12">
        <f t="shared" si="10"/>
        <v>1225596.5999999999</v>
      </c>
      <c r="I34" s="12">
        <f t="shared" si="10"/>
        <v>1836846.5999999999</v>
      </c>
      <c r="J34" s="12">
        <f t="shared" si="10"/>
        <v>2295284.1</v>
      </c>
      <c r="K34" s="12">
        <f t="shared" si="10"/>
        <v>2868330.9750000001</v>
      </c>
      <c r="L34" s="12">
        <f t="shared" si="10"/>
        <v>3154854.4125000001</v>
      </c>
      <c r="M34" s="12">
        <f t="shared" si="10"/>
        <v>3470030.193750001</v>
      </c>
      <c r="N34" s="12">
        <f t="shared" si="10"/>
        <v>3643376.873437501</v>
      </c>
      <c r="O34" s="11"/>
    </row>
    <row r="35" spans="1:15" x14ac:dyDescent="0.3">
      <c r="A35" s="7" t="s">
        <v>23</v>
      </c>
      <c r="B35" s="19">
        <f>500000/B34</f>
        <v>0.3099584264270403</v>
      </c>
      <c r="C35" s="12" t="s">
        <v>45</v>
      </c>
      <c r="D35" s="12">
        <f t="shared" ref="D35:L35" si="11">D34/(1+$B$33)^D$7</f>
        <v>-94392.857142857145</v>
      </c>
      <c r="E35" s="12">
        <f t="shared" si="11"/>
        <v>-107984.69387755104</v>
      </c>
      <c r="F35" s="12">
        <f t="shared" si="11"/>
        <v>72649.41690962101</v>
      </c>
      <c r="G35" s="12">
        <f t="shared" si="11"/>
        <v>226376.14535610168</v>
      </c>
      <c r="H35" s="12">
        <f t="shared" si="11"/>
        <v>227880.60778247163</v>
      </c>
      <c r="I35" s="12">
        <f t="shared" si="11"/>
        <v>243952.16385179653</v>
      </c>
      <c r="J35" s="12">
        <f t="shared" si="11"/>
        <v>217740.99265308565</v>
      </c>
      <c r="K35" s="12">
        <f t="shared" si="11"/>
        <v>194359.14389922144</v>
      </c>
      <c r="L35" s="12">
        <f t="shared" si="11"/>
        <v>152695.76829684808</v>
      </c>
      <c r="M35" s="12">
        <f>(M34/(1+$B$33)^M$7)+(((N34/($B$33-0.05))/(1+$B$33)^M$7))</f>
        <v>479842.87079919473</v>
      </c>
      <c r="N35" s="12" t="s">
        <v>46</v>
      </c>
      <c r="O35" s="11"/>
    </row>
    <row r="36" spans="1:15" x14ac:dyDescent="0.3">
      <c r="A36" s="4"/>
      <c r="B36" s="19"/>
      <c r="C36" s="23"/>
      <c r="D36" s="12"/>
      <c r="E36" s="12"/>
      <c r="F36" s="12"/>
      <c r="G36" s="12"/>
      <c r="H36" s="12"/>
      <c r="I36" s="12"/>
      <c r="J36" s="12"/>
      <c r="K36" s="12"/>
      <c r="L36" s="12"/>
      <c r="N36" s="11"/>
      <c r="O36" s="11"/>
    </row>
    <row r="37" spans="1:15" x14ac:dyDescent="0.3">
      <c r="A37" s="3"/>
      <c r="B37" s="5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O37" s="11"/>
    </row>
    <row r="38" spans="1:15" x14ac:dyDescent="0.3">
      <c r="A38" s="7" t="s">
        <v>21</v>
      </c>
      <c r="B38" s="26">
        <v>0.5</v>
      </c>
      <c r="C38" s="22" t="s">
        <v>42</v>
      </c>
      <c r="D38" s="20" t="s">
        <v>44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3">
      <c r="A39" s="7" t="s">
        <v>22</v>
      </c>
      <c r="B39" s="26">
        <v>0.4</v>
      </c>
      <c r="C39" s="22" t="s">
        <v>8</v>
      </c>
      <c r="D39" s="12">
        <f>D28</f>
        <v>-440500</v>
      </c>
      <c r="E39" s="12">
        <f t="shared" ref="E39:N39" si="12">E28</f>
        <v>-705500</v>
      </c>
      <c r="F39" s="12">
        <f t="shared" si="12"/>
        <v>664500</v>
      </c>
      <c r="G39" s="12">
        <f t="shared" si="12"/>
        <v>2898822</v>
      </c>
      <c r="H39" s="12">
        <f t="shared" si="12"/>
        <v>4085322</v>
      </c>
      <c r="I39" s="12">
        <f t="shared" si="12"/>
        <v>6122822</v>
      </c>
      <c r="J39" s="12">
        <f t="shared" si="12"/>
        <v>7650947</v>
      </c>
      <c r="K39" s="12">
        <f t="shared" si="12"/>
        <v>9561103.25</v>
      </c>
      <c r="L39" s="12">
        <f t="shared" si="12"/>
        <v>10516181.375</v>
      </c>
      <c r="M39" s="12">
        <f t="shared" si="12"/>
        <v>11566767.312500004</v>
      </c>
      <c r="N39" s="12">
        <f t="shared" si="12"/>
        <v>12144589.578125004</v>
      </c>
      <c r="O39" s="12" t="s">
        <v>8</v>
      </c>
    </row>
    <row r="40" spans="1:15" x14ac:dyDescent="0.3">
      <c r="A40" s="7" t="s">
        <v>9</v>
      </c>
      <c r="B40" s="16">
        <f>SUM(D41:M41)</f>
        <v>2688532.5975465546</v>
      </c>
      <c r="C40" s="12" t="s">
        <v>57</v>
      </c>
      <c r="D40" s="12">
        <f>D39*$B$38</f>
        <v>-220250</v>
      </c>
      <c r="E40" s="12">
        <f t="shared" ref="E40:N40" si="13">E39*$B$38</f>
        <v>-352750</v>
      </c>
      <c r="F40" s="12">
        <f t="shared" si="13"/>
        <v>332250</v>
      </c>
      <c r="G40" s="12">
        <f t="shared" si="13"/>
        <v>1449411</v>
      </c>
      <c r="H40" s="12">
        <f t="shared" si="13"/>
        <v>2042661</v>
      </c>
      <c r="I40" s="12">
        <f t="shared" si="13"/>
        <v>3061411</v>
      </c>
      <c r="J40" s="12">
        <f t="shared" si="13"/>
        <v>3825473.5</v>
      </c>
      <c r="K40" s="12">
        <f t="shared" si="13"/>
        <v>4780551.625</v>
      </c>
      <c r="L40" s="12">
        <f t="shared" si="13"/>
        <v>5258090.6875</v>
      </c>
      <c r="M40" s="12">
        <f t="shared" si="13"/>
        <v>5783383.6562500019</v>
      </c>
      <c r="N40" s="12">
        <f t="shared" si="13"/>
        <v>6072294.7890625019</v>
      </c>
      <c r="O40" s="11"/>
    </row>
    <row r="41" spans="1:15" x14ac:dyDescent="0.3">
      <c r="A41" s="7" t="s">
        <v>24</v>
      </c>
      <c r="B41" s="19">
        <f>500000/B40</f>
        <v>0.18597505585622418</v>
      </c>
      <c r="C41" s="12" t="s">
        <v>45</v>
      </c>
      <c r="D41" s="12">
        <f>D40/(1+$B39)^D$7</f>
        <v>-157321.42857142858</v>
      </c>
      <c r="E41" s="12">
        <f t="shared" ref="E41:L41" si="14">E40/(1+$B39)^E$7</f>
        <v>-179974.4897959184</v>
      </c>
      <c r="F41" s="12">
        <f t="shared" si="14"/>
        <v>121082.36151603502</v>
      </c>
      <c r="G41" s="12">
        <f t="shared" si="14"/>
        <v>377293.57559350284</v>
      </c>
      <c r="H41" s="12">
        <f t="shared" si="14"/>
        <v>379801.01297078613</v>
      </c>
      <c r="I41" s="12">
        <f t="shared" si="14"/>
        <v>406586.93975299428</v>
      </c>
      <c r="J41" s="12">
        <f t="shared" si="14"/>
        <v>362901.65442180942</v>
      </c>
      <c r="K41" s="12">
        <f t="shared" si="14"/>
        <v>323931.90649870242</v>
      </c>
      <c r="L41" s="12">
        <f t="shared" si="14"/>
        <v>254492.94716141347</v>
      </c>
      <c r="M41" s="12">
        <f>(M40/(1+$B39)^M$7)+(((N40/($B39-0.05))/(1+$B39)^M$7))</f>
        <v>799738.11799865786</v>
      </c>
      <c r="N41" s="12" t="s">
        <v>46</v>
      </c>
      <c r="O41" s="11"/>
    </row>
    <row r="42" spans="1:15" x14ac:dyDescent="0.3">
      <c r="A42" s="3"/>
      <c r="B42" s="19"/>
      <c r="C42" s="1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 x14ac:dyDescent="0.3">
      <c r="A43" s="3"/>
      <c r="B43" s="5"/>
      <c r="C43" s="3"/>
      <c r="D43" s="3"/>
      <c r="E43" s="3"/>
      <c r="F43" s="3"/>
      <c r="G43" s="3"/>
      <c r="H43" s="4"/>
      <c r="I43" s="4"/>
      <c r="J43" s="4"/>
      <c r="K43" s="4"/>
      <c r="L43" s="4"/>
      <c r="M43" s="4"/>
      <c r="N43" s="4"/>
    </row>
    <row r="44" spans="1:15" x14ac:dyDescent="0.3">
      <c r="A44" s="3"/>
      <c r="B44" s="4"/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5" x14ac:dyDescent="0.3">
      <c r="A45" s="3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5" x14ac:dyDescent="0.3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3"/>
    </row>
    <row r="47" spans="1:15" x14ac:dyDescent="0.3">
      <c r="B47" s="19"/>
      <c r="C47" s="19"/>
    </row>
  </sheetData>
  <mergeCells count="2">
    <mergeCell ref="H4:N4"/>
    <mergeCell ref="D4:G4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G17" sqref="G17"/>
    </sheetView>
  </sheetViews>
  <sheetFormatPr baseColWidth="10" defaultRowHeight="14.4" x14ac:dyDescent="0.3"/>
  <cols>
    <col min="1" max="1" width="26.77734375" customWidth="1"/>
    <col min="2" max="2" width="23" style="33" customWidth="1"/>
    <col min="3" max="3" width="15.44140625" style="33" customWidth="1"/>
    <col min="4" max="4" width="25.77734375" style="33" customWidth="1"/>
    <col min="5" max="5" width="10.109375" style="33" bestFit="1" customWidth="1"/>
    <col min="6" max="6" width="11.21875" style="33" customWidth="1"/>
    <col min="7" max="7" width="16.21875" customWidth="1"/>
  </cols>
  <sheetData>
    <row r="1" spans="1:7" x14ac:dyDescent="0.3">
      <c r="A1" s="2"/>
    </row>
    <row r="2" spans="1:7" x14ac:dyDescent="0.3">
      <c r="A2" s="2"/>
    </row>
    <row r="4" spans="1:7" x14ac:dyDescent="0.3">
      <c r="A4" s="2" t="s">
        <v>25</v>
      </c>
      <c r="B4" s="53" t="s">
        <v>48</v>
      </c>
      <c r="C4" s="27" t="s">
        <v>27</v>
      </c>
      <c r="D4" s="27" t="s">
        <v>4</v>
      </c>
      <c r="E4" s="27" t="s">
        <v>49</v>
      </c>
      <c r="F4" s="27" t="s">
        <v>50</v>
      </c>
    </row>
    <row r="5" spans="1:7" x14ac:dyDescent="0.3">
      <c r="A5" t="s">
        <v>2</v>
      </c>
      <c r="B5" s="63">
        <v>3900</v>
      </c>
      <c r="C5" s="63">
        <v>485</v>
      </c>
      <c r="D5" s="63">
        <v>127</v>
      </c>
      <c r="E5" s="29">
        <f>B5/C5</f>
        <v>8.0412371134020617</v>
      </c>
      <c r="F5" s="29">
        <f t="shared" ref="F5:F7" si="0">B5/D5</f>
        <v>30.708661417322833</v>
      </c>
    </row>
    <row r="6" spans="1:7" x14ac:dyDescent="0.3">
      <c r="A6" t="s">
        <v>3</v>
      </c>
      <c r="B6" s="63">
        <v>65452</v>
      </c>
      <c r="C6" s="63">
        <v>9350</v>
      </c>
      <c r="D6" s="63">
        <v>3762</v>
      </c>
      <c r="E6" s="29">
        <f t="shared" ref="E5:E7" si="1">B6/C6</f>
        <v>7.0002139037433153</v>
      </c>
      <c r="F6" s="29">
        <f t="shared" si="0"/>
        <v>17.39819245082403</v>
      </c>
    </row>
    <row r="7" spans="1:7" x14ac:dyDescent="0.3">
      <c r="A7" t="s">
        <v>0</v>
      </c>
      <c r="B7" s="63">
        <v>12744</v>
      </c>
      <c r="C7" s="63">
        <v>6372</v>
      </c>
      <c r="D7" s="63">
        <v>1108</v>
      </c>
      <c r="E7" s="29">
        <f t="shared" si="1"/>
        <v>2</v>
      </c>
      <c r="F7" s="29">
        <f t="shared" si="0"/>
        <v>11.501805054151625</v>
      </c>
    </row>
    <row r="8" spans="1:7" x14ac:dyDescent="0.3">
      <c r="A8" t="s">
        <v>1</v>
      </c>
      <c r="B8" s="64">
        <v>20000</v>
      </c>
      <c r="C8" s="64">
        <v>475</v>
      </c>
      <c r="D8" s="64">
        <v>86</v>
      </c>
      <c r="E8" s="29">
        <f>B8/C8</f>
        <v>42.10526315789474</v>
      </c>
      <c r="F8" s="29">
        <f>B8/D8</f>
        <v>232.55813953488371</v>
      </c>
    </row>
    <row r="9" spans="1:7" x14ac:dyDescent="0.3">
      <c r="A9" s="2" t="s">
        <v>26</v>
      </c>
      <c r="B9" s="62"/>
      <c r="C9" s="62"/>
      <c r="D9" s="31" t="s">
        <v>47</v>
      </c>
      <c r="E9" s="32">
        <f>AVERAGE(E5:E7)</f>
        <v>5.6804836723817926</v>
      </c>
      <c r="F9" s="32">
        <f>AVERAGE(F5:F7)</f>
        <v>19.869552974099495</v>
      </c>
    </row>
    <row r="10" spans="1:7" x14ac:dyDescent="0.3">
      <c r="A10" t="s">
        <v>5</v>
      </c>
      <c r="B10" s="61">
        <v>8591</v>
      </c>
      <c r="C10" s="61">
        <v>213</v>
      </c>
      <c r="D10" s="61">
        <v>21</v>
      </c>
      <c r="E10" s="29">
        <f>B10/C10</f>
        <v>40.333333333333336</v>
      </c>
      <c r="F10" s="29">
        <f>B10/D10</f>
        <v>409.09523809523807</v>
      </c>
    </row>
    <row r="11" spans="1:7" x14ac:dyDescent="0.3">
      <c r="A11" t="s">
        <v>6</v>
      </c>
      <c r="B11" s="61">
        <v>5342</v>
      </c>
      <c r="C11" s="61">
        <v>326</v>
      </c>
      <c r="D11" s="61">
        <v>22.17</v>
      </c>
      <c r="E11" s="29">
        <f>B11/C11</f>
        <v>16.386503067484664</v>
      </c>
      <c r="F11" s="29">
        <f>B11/D11</f>
        <v>240.95624718087504</v>
      </c>
    </row>
    <row r="12" spans="1:7" x14ac:dyDescent="0.3">
      <c r="B12" s="61"/>
      <c r="C12" s="61"/>
      <c r="D12" s="28"/>
    </row>
    <row r="13" spans="1:7" x14ac:dyDescent="0.3">
      <c r="A13" s="2" t="s">
        <v>1</v>
      </c>
      <c r="B13" s="62">
        <v>20000</v>
      </c>
      <c r="C13" s="62">
        <v>475</v>
      </c>
      <c r="D13" s="30">
        <v>86</v>
      </c>
      <c r="E13" s="29">
        <f>B13/C13</f>
        <v>42.10526315789474</v>
      </c>
      <c r="F13" s="29">
        <f>B13/D13</f>
        <v>232.55813953488371</v>
      </c>
    </row>
    <row r="14" spans="1:7" x14ac:dyDescent="0.3">
      <c r="A14" s="2"/>
      <c r="B14" s="30"/>
      <c r="C14" s="30"/>
      <c r="D14" s="30"/>
      <c r="E14" s="29"/>
      <c r="F14" s="29"/>
    </row>
    <row r="15" spans="1:7" x14ac:dyDescent="0.3">
      <c r="A15" s="24" t="s">
        <v>10</v>
      </c>
      <c r="B15" s="34">
        <v>245</v>
      </c>
      <c r="C15" s="34">
        <v>79.3</v>
      </c>
      <c r="D15" s="34">
        <v>27</v>
      </c>
      <c r="E15" s="35">
        <f>B15/C15</f>
        <v>3.0895334174022699</v>
      </c>
      <c r="F15" s="35">
        <f>B15/D15</f>
        <v>9.0740740740740744</v>
      </c>
      <c r="G15" s="24" t="s">
        <v>51</v>
      </c>
    </row>
    <row r="17" spans="1:7" ht="15" thickBot="1" x14ac:dyDescent="0.35">
      <c r="C17" s="33" t="s">
        <v>27</v>
      </c>
      <c r="D17" s="33" t="s">
        <v>4</v>
      </c>
      <c r="E17" s="33" t="s">
        <v>49</v>
      </c>
      <c r="F17" s="33" t="s">
        <v>50</v>
      </c>
    </row>
    <row r="18" spans="1:7" x14ac:dyDescent="0.3">
      <c r="A18" s="54" t="s">
        <v>52</v>
      </c>
      <c r="B18" s="55"/>
      <c r="C18" s="55">
        <v>32.299999999999997</v>
      </c>
      <c r="D18" s="55">
        <v>11.5</v>
      </c>
      <c r="E18" s="47">
        <f>245/79.3</f>
        <v>3.0895334174022699</v>
      </c>
      <c r="F18" s="47">
        <f>245/27</f>
        <v>9.0740740740740744</v>
      </c>
      <c r="G18" s="48" t="s">
        <v>7</v>
      </c>
    </row>
    <row r="19" spans="1:7" x14ac:dyDescent="0.3">
      <c r="A19" s="56" t="s">
        <v>28</v>
      </c>
      <c r="B19" s="57">
        <v>0.3</v>
      </c>
      <c r="C19" s="58">
        <f>C18*B19</f>
        <v>9.69</v>
      </c>
      <c r="D19" s="58">
        <f>D18*B19</f>
        <v>3.4499999999999997</v>
      </c>
      <c r="E19" s="44"/>
      <c r="F19" s="44"/>
      <c r="G19" s="45"/>
    </row>
    <row r="20" spans="1:7" x14ac:dyDescent="0.3">
      <c r="A20" s="56" t="s">
        <v>29</v>
      </c>
      <c r="B20" s="57">
        <v>0.5</v>
      </c>
      <c r="C20" s="58">
        <f>C18*$B$20</f>
        <v>16.149999999999999</v>
      </c>
      <c r="D20" s="58">
        <f>D18*$B$20</f>
        <v>5.75</v>
      </c>
      <c r="E20" s="36"/>
      <c r="F20" s="36"/>
      <c r="G20" s="13"/>
    </row>
    <row r="21" spans="1:7" x14ac:dyDescent="0.3">
      <c r="A21" s="14"/>
      <c r="B21" s="37"/>
      <c r="C21" s="36"/>
      <c r="D21" s="36"/>
      <c r="E21" s="36"/>
      <c r="F21" s="36"/>
      <c r="G21" s="13"/>
    </row>
    <row r="22" spans="1:7" x14ac:dyDescent="0.3">
      <c r="A22" s="25" t="s">
        <v>30</v>
      </c>
      <c r="B22" s="37"/>
      <c r="C22" s="36"/>
      <c r="D22" s="36" t="s">
        <v>11</v>
      </c>
      <c r="E22" s="33" t="s">
        <v>49</v>
      </c>
      <c r="F22" s="33" t="s">
        <v>50</v>
      </c>
      <c r="G22" s="13"/>
    </row>
    <row r="23" spans="1:7" x14ac:dyDescent="0.3">
      <c r="A23" s="25" t="s">
        <v>31</v>
      </c>
      <c r="B23" s="36"/>
      <c r="C23" s="36"/>
      <c r="D23" s="38">
        <v>0.3</v>
      </c>
      <c r="E23" s="39">
        <f>C19*E18</f>
        <v>29.937578814627994</v>
      </c>
      <c r="F23" s="39">
        <f>D19*F18</f>
        <v>31.305555555555554</v>
      </c>
      <c r="G23" s="13"/>
    </row>
    <row r="24" spans="1:7" x14ac:dyDescent="0.3">
      <c r="A24" s="25" t="s">
        <v>53</v>
      </c>
      <c r="B24" s="36"/>
      <c r="C24" s="36"/>
      <c r="D24" s="38">
        <v>0.5</v>
      </c>
      <c r="E24" s="39">
        <f>C20*E18</f>
        <v>49.895964691046657</v>
      </c>
      <c r="F24" s="39">
        <f>D20*F18</f>
        <v>52.175925925925931</v>
      </c>
      <c r="G24" s="13"/>
    </row>
    <row r="25" spans="1:7" x14ac:dyDescent="0.3">
      <c r="A25" s="17"/>
      <c r="B25" s="36"/>
      <c r="C25" s="46" t="s">
        <v>32</v>
      </c>
      <c r="D25" s="40" t="s">
        <v>54</v>
      </c>
      <c r="E25" s="37">
        <f>E23/(1.4^7)</f>
        <v>2.8400136300020926</v>
      </c>
      <c r="F25" s="37">
        <f>F23/(1.4^7)</f>
        <v>2.9697860679743244</v>
      </c>
      <c r="G25" s="13"/>
    </row>
    <row r="26" spans="1:7" ht="15" thickBot="1" x14ac:dyDescent="0.35">
      <c r="A26" s="18"/>
      <c r="B26" s="41"/>
      <c r="C26" s="41"/>
      <c r="D26" s="42" t="s">
        <v>55</v>
      </c>
      <c r="E26" s="43">
        <f>E24/(1.4^7)</f>
        <v>4.7333560500034881</v>
      </c>
      <c r="F26" s="43">
        <f>F24/(1.4^7)</f>
        <v>4.9496434466238748</v>
      </c>
      <c r="G26" s="1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DCF</vt:lpstr>
      <vt:lpstr>Comparables - Recent Deals</vt:lpstr>
    </vt:vector>
  </TitlesOfParts>
  <Company>Groupe ESC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Installation salle multimédia</dc:creator>
  <cp:lastModifiedBy>Thomas SADURNI</cp:lastModifiedBy>
  <dcterms:created xsi:type="dcterms:W3CDTF">2016-11-13T17:53:41Z</dcterms:created>
  <dcterms:modified xsi:type="dcterms:W3CDTF">2021-10-15T13:40:42Z</dcterms:modified>
</cp:coreProperties>
</file>