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\Documents\FORMATION\TBS\Financing - doc- 2021-2022\teacher note solution\"/>
    </mc:Choice>
  </mc:AlternateContent>
  <xr:revisionPtr revIDLastSave="0" documentId="8_{CC543B29-6306-F146-B329-AA3CFFA64896}" xr6:coauthVersionLast="47" xr6:coauthVersionMax="47" xr10:uidLastSave="{00000000-0000-0000-0000-000000000000}"/>
  <bookViews>
    <workbookView xWindow="0" yWindow="0" windowWidth="19200" windowHeight="7300" activeTab="1" xr2:uid="{00000000-000D-0000-FFFF-FFFF00000000}"/>
  </bookViews>
  <sheets>
    <sheet name="Comptes" sheetId="1" r:id="rId1"/>
    <sheet name="Comparables" sheetId="2" r:id="rId2"/>
    <sheet name="Flux" sheetId="3" r:id="rId3"/>
    <sheet name="cours" sheetId="4" r:id="rId4"/>
  </sheets>
  <definedNames>
    <definedName name="_xlnm._FilterDatabase" localSheetId="2" hidden="1">Flux!$A$3:$C$17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D33" i="2"/>
  <c r="E33" i="2"/>
  <c r="B33" i="2"/>
  <c r="C31" i="2"/>
  <c r="D31" i="2"/>
  <c r="B31" i="2"/>
  <c r="C30" i="2"/>
  <c r="D30" i="2"/>
  <c r="B30" i="2"/>
  <c r="C29" i="2"/>
  <c r="D29" i="2"/>
  <c r="B29" i="2"/>
  <c r="C28" i="2"/>
  <c r="D28" i="2"/>
  <c r="B28" i="2"/>
  <c r="E42" i="3"/>
  <c r="F42" i="3"/>
  <c r="G42" i="3"/>
  <c r="H42" i="3"/>
  <c r="I42" i="3"/>
  <c r="J42" i="3"/>
  <c r="K42" i="3"/>
  <c r="L42" i="3"/>
  <c r="D42" i="3"/>
  <c r="G33" i="3"/>
  <c r="C12" i="3"/>
  <c r="C14" i="3"/>
  <c r="C17" i="3"/>
  <c r="C30" i="3"/>
  <c r="C15" i="3"/>
  <c r="C16" i="3"/>
  <c r="D43" i="3"/>
  <c r="E43" i="3"/>
  <c r="F43" i="3"/>
  <c r="G35" i="3"/>
  <c r="G43" i="3"/>
  <c r="H33" i="3"/>
  <c r="H35" i="3"/>
  <c r="H43" i="3"/>
  <c r="I33" i="3"/>
  <c r="I35" i="3"/>
  <c r="I43" i="3"/>
  <c r="J33" i="3"/>
  <c r="J35" i="3"/>
  <c r="J43" i="3"/>
  <c r="K33" i="3"/>
  <c r="K35" i="3"/>
  <c r="K43" i="3"/>
  <c r="L33" i="3"/>
  <c r="L35" i="3"/>
  <c r="L43" i="3"/>
  <c r="C43" i="3"/>
  <c r="D41" i="3"/>
  <c r="E41" i="3"/>
  <c r="F41" i="3"/>
  <c r="G41" i="3"/>
  <c r="H41" i="3"/>
  <c r="I41" i="3"/>
  <c r="J41" i="3"/>
  <c r="K41" i="3"/>
  <c r="L41" i="3"/>
  <c r="C41" i="3"/>
  <c r="D40" i="3"/>
  <c r="E40" i="3"/>
  <c r="F40" i="3"/>
  <c r="G37" i="3"/>
  <c r="G40" i="3"/>
  <c r="H37" i="3"/>
  <c r="H40" i="3"/>
  <c r="I37" i="3"/>
  <c r="I40" i="3"/>
  <c r="J37" i="3"/>
  <c r="J40" i="3"/>
  <c r="K37" i="3"/>
  <c r="K40" i="3"/>
  <c r="L37" i="3"/>
  <c r="L40" i="3"/>
  <c r="C40" i="3"/>
  <c r="D39" i="3"/>
  <c r="E39" i="3"/>
  <c r="F39" i="3"/>
  <c r="G39" i="3"/>
  <c r="H39" i="3"/>
  <c r="I39" i="3"/>
  <c r="J39" i="3"/>
  <c r="K39" i="3"/>
  <c r="L39" i="3"/>
  <c r="C39" i="3"/>
  <c r="D38" i="3"/>
  <c r="E38" i="3"/>
  <c r="F38" i="3"/>
  <c r="G38" i="3"/>
  <c r="H38" i="3"/>
  <c r="I38" i="3"/>
  <c r="J38" i="3"/>
  <c r="K38" i="3"/>
  <c r="L38" i="3"/>
  <c r="C38" i="3"/>
  <c r="D37" i="3"/>
  <c r="E37" i="3"/>
  <c r="F37" i="3"/>
  <c r="C37" i="3"/>
  <c r="C36" i="3"/>
  <c r="D35" i="3"/>
  <c r="E35" i="3"/>
  <c r="F35" i="3"/>
  <c r="C35" i="3"/>
  <c r="H34" i="3"/>
  <c r="I34" i="3"/>
  <c r="J34" i="3"/>
  <c r="K34" i="3"/>
  <c r="L34" i="3"/>
  <c r="G34" i="3"/>
  <c r="F34" i="3"/>
  <c r="E34" i="3"/>
  <c r="D34" i="3"/>
  <c r="C34" i="3"/>
  <c r="E33" i="3"/>
  <c r="F33" i="3"/>
  <c r="D33" i="3"/>
  <c r="C10" i="3"/>
  <c r="D17" i="1"/>
  <c r="D28" i="1"/>
  <c r="D54" i="1"/>
  <c r="D63" i="1"/>
  <c r="D66" i="1"/>
  <c r="D29" i="1"/>
  <c r="D30" i="1"/>
  <c r="D33" i="1"/>
  <c r="D41" i="1"/>
  <c r="E10" i="3"/>
  <c r="E6" i="3"/>
  <c r="E7" i="3"/>
  <c r="E8" i="3"/>
  <c r="E9" i="3"/>
  <c r="F26" i="3"/>
  <c r="C75" i="1"/>
  <c r="E17" i="1"/>
  <c r="F17" i="1"/>
  <c r="C17" i="1"/>
  <c r="E13" i="3"/>
  <c r="E11" i="3"/>
  <c r="C8" i="4"/>
  <c r="H17" i="1"/>
  <c r="H11" i="1"/>
  <c r="E69" i="1"/>
  <c r="F69" i="1"/>
  <c r="G69" i="1"/>
  <c r="D69" i="1"/>
  <c r="C34" i="2"/>
  <c r="C32" i="2"/>
  <c r="D32" i="2"/>
  <c r="C24" i="2"/>
  <c r="D24" i="2"/>
  <c r="C23" i="2"/>
  <c r="D23" i="2"/>
  <c r="B24" i="2"/>
  <c r="B23" i="2"/>
  <c r="A15" i="2"/>
  <c r="A16" i="2"/>
  <c r="A17" i="2"/>
  <c r="A18" i="2"/>
  <c r="A19" i="2"/>
  <c r="A20" i="2"/>
  <c r="A21" i="2"/>
  <c r="E32" i="2"/>
  <c r="C35" i="2"/>
  <c r="E31" i="2"/>
  <c r="D34" i="2"/>
  <c r="E34" i="2"/>
  <c r="G34" i="2"/>
  <c r="G35" i="2"/>
  <c r="D35" i="2"/>
  <c r="B35" i="2"/>
  <c r="E35" i="2"/>
  <c r="D32" i="3"/>
  <c r="E32" i="3"/>
  <c r="F32" i="3"/>
  <c r="G32" i="3"/>
  <c r="H32" i="3"/>
  <c r="I32" i="3"/>
  <c r="J32" i="3"/>
  <c r="K32" i="3"/>
  <c r="L32" i="3"/>
  <c r="G9" i="1"/>
  <c r="F14" i="3"/>
  <c r="F15" i="3"/>
  <c r="F16" i="3"/>
  <c r="F17" i="3"/>
  <c r="E14" i="3"/>
  <c r="E15" i="3"/>
  <c r="E17" i="3"/>
  <c r="E16" i="3"/>
  <c r="E63" i="1"/>
  <c r="F63" i="1"/>
  <c r="G63" i="1"/>
  <c r="G61" i="1"/>
  <c r="G59" i="1"/>
  <c r="E54" i="1"/>
  <c r="F54" i="1"/>
  <c r="G54" i="1"/>
  <c r="E45" i="1"/>
  <c r="F45" i="1"/>
  <c r="E28" i="1"/>
  <c r="F28" i="1"/>
  <c r="G28" i="1"/>
  <c r="E39" i="1"/>
  <c r="F39" i="1"/>
  <c r="G39" i="1"/>
  <c r="D39" i="1"/>
  <c r="D35" i="1"/>
  <c r="E24" i="1"/>
  <c r="F24" i="1"/>
  <c r="F35" i="1"/>
  <c r="I16" i="1"/>
  <c r="I14" i="1"/>
  <c r="G66" i="1"/>
  <c r="E66" i="1"/>
  <c r="F66" i="1"/>
  <c r="F29" i="1"/>
  <c r="F30" i="1"/>
  <c r="F33" i="1"/>
  <c r="F41" i="1"/>
  <c r="E29" i="1"/>
  <c r="E30" i="1"/>
  <c r="E33" i="1"/>
  <c r="E41" i="1"/>
  <c r="H14" i="1"/>
  <c r="H16" i="1"/>
  <c r="D60" i="3"/>
  <c r="E35" i="1"/>
  <c r="D9" i="1"/>
  <c r="E9" i="1"/>
  <c r="F9" i="1"/>
  <c r="C9" i="1"/>
  <c r="B8" i="1"/>
  <c r="B10" i="1"/>
  <c r="D4" i="1"/>
  <c r="E4" i="1"/>
  <c r="F4" i="1"/>
  <c r="H9" i="1"/>
  <c r="G29" i="1"/>
  <c r="G30" i="1"/>
  <c r="G33" i="1"/>
  <c r="F61" i="1"/>
  <c r="F59" i="1"/>
  <c r="D61" i="1"/>
  <c r="D59" i="1"/>
  <c r="E61" i="1"/>
  <c r="E59" i="1"/>
  <c r="C60" i="3"/>
  <c r="E60" i="3"/>
  <c r="G52" i="1"/>
  <c r="G50" i="1"/>
  <c r="G48" i="1"/>
  <c r="E48" i="1"/>
  <c r="E52" i="1"/>
  <c r="E50" i="1"/>
  <c r="F52" i="1"/>
  <c r="F50" i="1"/>
  <c r="F48" i="1"/>
  <c r="D52" i="1"/>
  <c r="D50" i="1"/>
  <c r="D48" i="1"/>
  <c r="I67" i="1"/>
  <c r="I18" i="1"/>
  <c r="H18" i="1"/>
  <c r="H67" i="1"/>
  <c r="I12" i="1"/>
  <c r="H12" i="1"/>
  <c r="H68" i="1"/>
  <c r="I68" i="1"/>
  <c r="D46" i="3"/>
  <c r="E46" i="3"/>
  <c r="F46" i="3"/>
  <c r="G46" i="3"/>
  <c r="H46" i="3"/>
  <c r="I46" i="3"/>
  <c r="J46" i="3"/>
  <c r="K46" i="3"/>
  <c r="C49" i="3"/>
  <c r="L46" i="3"/>
  <c r="K47" i="3"/>
  <c r="C50" i="3"/>
  <c r="C51" i="3"/>
  <c r="C53" i="3"/>
  <c r="C55" i="3"/>
</calcChain>
</file>

<file path=xl/sharedStrings.xml><?xml version="1.0" encoding="utf-8"?>
<sst xmlns="http://schemas.openxmlformats.org/spreadsheetml/2006/main" count="292" uniqueCount="258">
  <si>
    <t>Nexans SA</t>
  </si>
  <si>
    <t>Prysmian SpA</t>
  </si>
  <si>
    <t>Leoni AG</t>
  </si>
  <si>
    <t>General Cable Corp.</t>
  </si>
  <si>
    <t>Beckaert SA</t>
  </si>
  <si>
    <t>Bobycote PLC</t>
  </si>
  <si>
    <t>Asahi Diamond Industrial Co</t>
  </si>
  <si>
    <t>France</t>
  </si>
  <si>
    <t>Italie</t>
  </si>
  <si>
    <t>Allemagne</t>
  </si>
  <si>
    <t>Etats-unis</t>
  </si>
  <si>
    <t>Belgique</t>
  </si>
  <si>
    <t>Angleterre</t>
  </si>
  <si>
    <t>Japon</t>
  </si>
  <si>
    <t>Thermocompact</t>
  </si>
  <si>
    <t>Capi M€</t>
  </si>
  <si>
    <t>EBITDA</t>
  </si>
  <si>
    <t>2012 (6mois)</t>
  </si>
  <si>
    <t>EBIT</t>
  </si>
  <si>
    <t>Autres actifs circulants</t>
  </si>
  <si>
    <t>Créances d'impôt</t>
  </si>
  <si>
    <t>Total actifs circulants</t>
  </si>
  <si>
    <t>EBITDA : Earning Before Interest Tax Depreciation and Amortization</t>
  </si>
  <si>
    <t>EBIT : Earning Before Interest and Tax</t>
  </si>
  <si>
    <t>Prime de taille</t>
  </si>
  <si>
    <t>Bêta endetté</t>
  </si>
  <si>
    <t>D/(D+E)</t>
  </si>
  <si>
    <t>E/(D+E)</t>
  </si>
  <si>
    <t>fin 2013</t>
  </si>
  <si>
    <t>NOPAT</t>
  </si>
  <si>
    <t>Free Cash Flow</t>
  </si>
  <si>
    <t>Valeur terminale</t>
  </si>
  <si>
    <t>Thermocompact (2011)</t>
  </si>
  <si>
    <t>ROA</t>
  </si>
  <si>
    <t>Income Statement and Balance Sheet</t>
  </si>
  <si>
    <t>Income Statement</t>
  </si>
  <si>
    <t>in K€</t>
  </si>
  <si>
    <t>Revenus Wire &amp; Strands</t>
  </si>
  <si>
    <t>Growth rate</t>
  </si>
  <si>
    <t>Revenus Coating</t>
  </si>
  <si>
    <t>Total Turnover</t>
  </si>
  <si>
    <t>EBITDA in % Total turnover</t>
  </si>
  <si>
    <t>EBIT Wire &amp; Strands</t>
  </si>
  <si>
    <t>in % Revenus Wire &amp; Strands</t>
  </si>
  <si>
    <t>EBIT Coating</t>
  </si>
  <si>
    <t>in % Revenus Coating</t>
  </si>
  <si>
    <t>EBIT in % Total Turnover</t>
  </si>
  <si>
    <t>Economic Balance Sheet</t>
  </si>
  <si>
    <t>Equity Capital</t>
  </si>
  <si>
    <t>Provisions</t>
  </si>
  <si>
    <t>Net Debt</t>
  </si>
  <si>
    <t>Total Invested Capital</t>
  </si>
  <si>
    <t>Total Assets</t>
  </si>
  <si>
    <t>Deferred Taxes</t>
  </si>
  <si>
    <t>Financial Assets</t>
  </si>
  <si>
    <t>Operating Assets</t>
  </si>
  <si>
    <t>Working Capital Requirement</t>
  </si>
  <si>
    <t>Fixed Assets</t>
  </si>
  <si>
    <t>Intangible Assets</t>
  </si>
  <si>
    <t>Tangible Assets</t>
  </si>
  <si>
    <t>Goodwill</t>
  </si>
  <si>
    <t>Assets (K€)</t>
  </si>
  <si>
    <t>Capital Invested (K€)</t>
  </si>
  <si>
    <t>WCR analysis</t>
  </si>
  <si>
    <t>Inventories</t>
  </si>
  <si>
    <t xml:space="preserve">Inventories (days of sales) </t>
  </si>
  <si>
    <t>Accounts Receivables</t>
  </si>
  <si>
    <t>Account Receivables (days of sales)</t>
  </si>
  <si>
    <t>Accounts Payables</t>
  </si>
  <si>
    <t>Accounts Payables (days of sales)</t>
  </si>
  <si>
    <t>Other Current Liabilities</t>
  </si>
  <si>
    <t>Other Current Liabilities (days of sales)</t>
  </si>
  <si>
    <t>Provision for income taxes</t>
  </si>
  <si>
    <t>Total Current Liabilities</t>
  </si>
  <si>
    <t>Current Assets (K€)</t>
  </si>
  <si>
    <t>Current Liabilities (K€)</t>
  </si>
  <si>
    <t>Other Provisions</t>
  </si>
  <si>
    <t>WCR in K€</t>
  </si>
  <si>
    <t>WCR in days of sales</t>
  </si>
  <si>
    <t>WCR in % of sales</t>
  </si>
  <si>
    <t>Debt/Equity</t>
  </si>
  <si>
    <t>Average</t>
  </si>
  <si>
    <t>Standard-deviation</t>
  </si>
  <si>
    <t>Net Debt 31/12/2012</t>
  </si>
  <si>
    <t>Provisions for retirement</t>
  </si>
  <si>
    <t>Minority interest</t>
  </si>
  <si>
    <t>Adjusted Net Debt</t>
  </si>
  <si>
    <t>Firms</t>
  </si>
  <si>
    <t>Country</t>
  </si>
  <si>
    <t xml:space="preserve">Multiples </t>
  </si>
  <si>
    <t>VC/TO</t>
  </si>
  <si>
    <t>VC/EBITDA</t>
  </si>
  <si>
    <t>VC/EBIT</t>
  </si>
  <si>
    <t>Median</t>
  </si>
  <si>
    <t>TO</t>
  </si>
  <si>
    <t>VC average Thermocompact</t>
  </si>
  <si>
    <t>VC Thermocompact (/médiane)</t>
  </si>
  <si>
    <t>VC Thermocompact (/moyenne)</t>
  </si>
  <si>
    <t>VC with 25% discount</t>
  </si>
  <si>
    <t>Equity value</t>
  </si>
  <si>
    <t>Nomber of shares (thousands)</t>
  </si>
  <si>
    <t>Stock Value Thermocompact</t>
  </si>
  <si>
    <t>Note</t>
  </si>
  <si>
    <t>VC : Value of the Company</t>
  </si>
  <si>
    <t>TO : Turn Over</t>
  </si>
  <si>
    <t>EBITDA : Earning Before Interest, Taxes, depreciation and Amortization</t>
  </si>
  <si>
    <t>EBIT : Earning Before Interest and Taxes</t>
  </si>
  <si>
    <t>Valuation with comparables</t>
  </si>
  <si>
    <t>Discounted Cash Flows</t>
  </si>
  <si>
    <t>Weighted Average Cost of Capital</t>
  </si>
  <si>
    <t>Data</t>
  </si>
  <si>
    <t>Tax rate</t>
  </si>
  <si>
    <t>Risk Free Rate</t>
  </si>
  <si>
    <t>Market Risk Premium</t>
  </si>
  <si>
    <t>Zero Debt Beta</t>
  </si>
  <si>
    <t>French 10 year government bonds</t>
  </si>
  <si>
    <t>Average risk premium</t>
  </si>
  <si>
    <t>Average of betas over 3 years for comparable companies</t>
  </si>
  <si>
    <t>Gearing ratio (Debt/Equity)</t>
  </si>
  <si>
    <t>From Ibbotson</t>
  </si>
  <si>
    <t>Formula</t>
  </si>
  <si>
    <t>CAPM</t>
  </si>
  <si>
    <t>Cost of firm debt</t>
  </si>
  <si>
    <t>WACC</t>
  </si>
  <si>
    <t>Cost of Equity Capital</t>
  </si>
  <si>
    <t>Cost of Debt</t>
  </si>
  <si>
    <t>Cost of Debt net</t>
  </si>
  <si>
    <t>Cash flows</t>
  </si>
  <si>
    <t>Hypothesis</t>
  </si>
  <si>
    <t>Revenus 2011</t>
  </si>
  <si>
    <t>Revenus 2012</t>
  </si>
  <si>
    <t>Revenus growth</t>
  </si>
  <si>
    <t>EBITDA margin</t>
  </si>
  <si>
    <t>WCR (in % Revenus)</t>
  </si>
  <si>
    <t>Investment net</t>
  </si>
  <si>
    <t>Perpetual growth rate</t>
  </si>
  <si>
    <t>Cost of Capital</t>
  </si>
  <si>
    <t>between 2012 and 2016</t>
  </si>
  <si>
    <t>5% decrease /2011</t>
  </si>
  <si>
    <t>between 2016 and 2021</t>
  </si>
  <si>
    <t>increase/year until 2016</t>
  </si>
  <si>
    <t>of EBITDA</t>
  </si>
  <si>
    <t>EBIT in % TO</t>
  </si>
  <si>
    <t>Revenus (TO)</t>
  </si>
  <si>
    <t>Depreciation</t>
  </si>
  <si>
    <t>Tax with zero debt</t>
  </si>
  <si>
    <t>WCR</t>
  </si>
  <si>
    <t>WCR Variation</t>
  </si>
  <si>
    <t>To be calculated</t>
  </si>
  <si>
    <t>Given</t>
  </si>
  <si>
    <t>Firm Value (K€)</t>
  </si>
  <si>
    <t>Debt  (K€)</t>
  </si>
  <si>
    <t>Equity (K€)</t>
  </si>
  <si>
    <t>Stock Value (€)</t>
  </si>
  <si>
    <t>Offer Price (€)</t>
  </si>
  <si>
    <t>Sensibility analysis</t>
  </si>
  <si>
    <t>Growth Rate</t>
  </si>
  <si>
    <t>Stock Prices Thermocompact</t>
  </si>
  <si>
    <t>Closing price (29/12/2012)</t>
  </si>
  <si>
    <t>Average price over 1 month</t>
  </si>
  <si>
    <t>Average price over 6 months</t>
  </si>
  <si>
    <t>Average price over 3 months</t>
  </si>
  <si>
    <t>Average price over 1 year</t>
  </si>
  <si>
    <t>Price</t>
  </si>
  <si>
    <t>Premium</t>
  </si>
  <si>
    <t>Offered price</t>
  </si>
  <si>
    <t>Compte de résultat et Bilan</t>
  </si>
  <si>
    <t>Compte de résultat</t>
  </si>
  <si>
    <t xml:space="preserve">% d'augmentation </t>
  </si>
  <si>
    <t>Total Chiffre d'affaires</t>
  </si>
  <si>
    <t xml:space="preserve">Chiffre d'affaires Cable </t>
  </si>
  <si>
    <t>Chiffre d'affaires revètement</t>
  </si>
  <si>
    <t>EBITDA/CA</t>
  </si>
  <si>
    <t>EBIT Cable</t>
  </si>
  <si>
    <t>en % de CA</t>
  </si>
  <si>
    <t xml:space="preserve">EBIT Revètement </t>
  </si>
  <si>
    <t>Résultat avant Interets-impôts-et dépréciation</t>
  </si>
  <si>
    <t>Résultat avant Interets-impôts-</t>
  </si>
  <si>
    <t>Bilan économique</t>
  </si>
  <si>
    <t>actifs</t>
  </si>
  <si>
    <t xml:space="preserve">Ecart d'acquisition </t>
  </si>
  <si>
    <t>Immobilisations incorporelles</t>
  </si>
  <si>
    <t>Immibilisations corporelles</t>
  </si>
  <si>
    <t xml:space="preserve">Immobilisations </t>
  </si>
  <si>
    <t xml:space="preserve">Besoin en Fonds de Roulement </t>
  </si>
  <si>
    <t xml:space="preserve">Actifs opérationnels </t>
  </si>
  <si>
    <t xml:space="preserve">Impôts différés </t>
  </si>
  <si>
    <t>actifs financiers</t>
  </si>
  <si>
    <t xml:space="preserve">Total actif </t>
  </si>
  <si>
    <t xml:space="preserve">Capital </t>
  </si>
  <si>
    <t>Passif investi</t>
  </si>
  <si>
    <t xml:space="preserve">Provisions </t>
  </si>
  <si>
    <t xml:space="preserve">Dettes nettes </t>
  </si>
  <si>
    <t>Total passif investi</t>
  </si>
  <si>
    <t xml:space="preserve">Retour sur actif </t>
  </si>
  <si>
    <t>return on assets</t>
  </si>
  <si>
    <t xml:space="preserve">analyse du BFR </t>
  </si>
  <si>
    <t xml:space="preserve">actifs courants </t>
  </si>
  <si>
    <t>stocks</t>
  </si>
  <si>
    <t xml:space="preserve">clients et autres créances </t>
  </si>
  <si>
    <t xml:space="preserve">Other current assets </t>
  </si>
  <si>
    <t>Other currents assets (days of sales)</t>
  </si>
  <si>
    <t>stocks (en jours de vente )</t>
  </si>
  <si>
    <t>(en jours de vente)</t>
  </si>
  <si>
    <t xml:space="preserve">Tax receivable </t>
  </si>
  <si>
    <t xml:space="preserve">Total current assets </t>
  </si>
  <si>
    <t xml:space="preserve">passif courant </t>
  </si>
  <si>
    <t xml:space="preserve">Autres provisions </t>
  </si>
  <si>
    <t xml:space="preserve">Fornisseurs </t>
  </si>
  <si>
    <t xml:space="preserve">Autres passifs courants </t>
  </si>
  <si>
    <t xml:space="preserve">Provision pour impôts sur les sociétés </t>
  </si>
  <si>
    <t xml:space="preserve">Total passif courant </t>
  </si>
  <si>
    <t>BFR en €</t>
  </si>
  <si>
    <t>BFR en jours de CA</t>
  </si>
  <si>
    <t>BFR en % de CA</t>
  </si>
  <si>
    <t xml:space="preserve">Dettes / capitaux propres </t>
  </si>
  <si>
    <t xml:space="preserve">Provisions pour retraite </t>
  </si>
  <si>
    <t xml:space="preserve">Interets minoritaires </t>
  </si>
  <si>
    <t xml:space="preserve">Dettes nettes ajustées </t>
  </si>
  <si>
    <t>DCF "flux de trésorerie actualisés"</t>
  </si>
  <si>
    <t>WACC (cout moyen pondéré du capital)</t>
  </si>
  <si>
    <t xml:space="preserve">taux d'impôts société </t>
  </si>
  <si>
    <t xml:space="preserve">taux sans risque </t>
  </si>
  <si>
    <t xml:space="preserve">Prime de risque du marche </t>
  </si>
  <si>
    <t xml:space="preserve">dettes/capitaux propres </t>
  </si>
  <si>
    <t xml:space="preserve">Béta endetté </t>
  </si>
  <si>
    <t xml:space="preserve">Beta sans dettes </t>
  </si>
  <si>
    <t>Size premium</t>
  </si>
  <si>
    <t xml:space="preserve">Cout du capital </t>
  </si>
  <si>
    <t>Cout de la dette</t>
  </si>
  <si>
    <t xml:space="preserve">Cout de la dette nette </t>
  </si>
  <si>
    <t xml:space="preserve">Flux de trésorerie </t>
  </si>
  <si>
    <t>hypothèses</t>
  </si>
  <si>
    <t>Chiffre d'affaires 2011</t>
  </si>
  <si>
    <t>Chiffre d'affaires 2012</t>
  </si>
  <si>
    <t>% augmentation</t>
  </si>
  <si>
    <t>% EBITDA</t>
  </si>
  <si>
    <t xml:space="preserve">BFR % de ventes </t>
  </si>
  <si>
    <t xml:space="preserve">Investissement net </t>
  </si>
  <si>
    <t xml:space="preserve">taux d'actualisation à l'infini </t>
  </si>
  <si>
    <t>cout du capital</t>
  </si>
  <si>
    <t xml:space="preserve">Chiffre d'affaires </t>
  </si>
  <si>
    <t xml:space="preserve">dépréciation et amortissements </t>
  </si>
  <si>
    <t xml:space="preserve">Impôts avant cout de la dette </t>
  </si>
  <si>
    <t>Net opérating profit after tax (résultat opérationnel après impôts)</t>
  </si>
  <si>
    <t>BFR</t>
  </si>
  <si>
    <t xml:space="preserve">investissement net </t>
  </si>
  <si>
    <t xml:space="preserve">generation de trésorerie après investissement </t>
  </si>
  <si>
    <t xml:space="preserve">Terminal value </t>
  </si>
  <si>
    <t>Valeur actualisée des free cash flows</t>
  </si>
  <si>
    <t>Present Value of FCF</t>
  </si>
  <si>
    <t>Present Value Terminal Value</t>
  </si>
  <si>
    <t>Valeur actualisée de la valeur terminale</t>
  </si>
  <si>
    <t>Valeur d'entreprise</t>
  </si>
  <si>
    <t xml:space="preserve">dettes </t>
  </si>
  <si>
    <t>capitaux propores évalués</t>
  </si>
  <si>
    <t xml:space="preserve">nombre de titres </t>
  </si>
  <si>
    <t xml:space="preserve">Evaluation de la valeur de l'action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</si>
</sst>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0.0"/>
    <numFmt numFmtId="167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64" fontId="4" fillId="0" borderId="0" xfId="1" applyNumberFormat="1" applyFont="1"/>
    <xf numFmtId="0" fontId="2" fillId="0" borderId="0" xfId="0" applyFont="1"/>
    <xf numFmtId="3" fontId="0" fillId="0" borderId="0" xfId="0" applyNumberFormat="1"/>
    <xf numFmtId="164" fontId="4" fillId="0" borderId="0" xfId="0" applyNumberFormat="1" applyFont="1"/>
    <xf numFmtId="3" fontId="2" fillId="0" borderId="0" xfId="0" applyNumberFormat="1" applyFont="1"/>
    <xf numFmtId="3" fontId="1" fillId="0" borderId="0" xfId="1" applyNumberFormat="1" applyFont="1"/>
    <xf numFmtId="3" fontId="1" fillId="0" borderId="0" xfId="0" applyNumberFormat="1" applyFont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  <xf numFmtId="14" fontId="2" fillId="0" borderId="0" xfId="0" applyNumberFormat="1" applyFont="1"/>
    <xf numFmtId="3" fontId="4" fillId="0" borderId="0" xfId="0" applyNumberFormat="1" applyFont="1"/>
    <xf numFmtId="1" fontId="4" fillId="0" borderId="0" xfId="1" applyNumberFormat="1" applyFont="1"/>
    <xf numFmtId="0" fontId="0" fillId="0" borderId="0" xfId="0" applyFont="1"/>
    <xf numFmtId="0" fontId="2" fillId="2" borderId="0" xfId="0" applyFont="1" applyFill="1"/>
    <xf numFmtId="3" fontId="2" fillId="2" borderId="0" xfId="0" applyNumberFormat="1" applyFont="1" applyFill="1"/>
    <xf numFmtId="0" fontId="4" fillId="0" borderId="0" xfId="0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164" fontId="4" fillId="3" borderId="0" xfId="0" applyNumberFormat="1" applyFont="1" applyFill="1"/>
    <xf numFmtId="0" fontId="4" fillId="0" borderId="0" xfId="0" applyFont="1" applyFill="1"/>
    <xf numFmtId="164" fontId="4" fillId="0" borderId="0" xfId="1" applyNumberFormat="1" applyFont="1" applyFill="1"/>
    <xf numFmtId="164" fontId="4" fillId="0" borderId="0" xfId="0" applyNumberFormat="1" applyFont="1" applyFill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10" fontId="2" fillId="2" borderId="0" xfId="0" applyNumberFormat="1" applyFont="1" applyFill="1"/>
    <xf numFmtId="10" fontId="2" fillId="0" borderId="0" xfId="1" applyNumberFormat="1" applyFont="1"/>
    <xf numFmtId="10" fontId="2" fillId="0" borderId="0" xfId="0" applyNumberFormat="1" applyFont="1"/>
    <xf numFmtId="2" fontId="4" fillId="0" borderId="0" xfId="0" applyNumberFormat="1" applyFont="1"/>
    <xf numFmtId="0" fontId="7" fillId="0" borderId="0" xfId="0" applyFont="1" applyAlignment="1">
      <alignment horizontal="center"/>
    </xf>
    <xf numFmtId="0" fontId="6" fillId="0" borderId="0" xfId="0" applyFont="1"/>
    <xf numFmtId="4" fontId="0" fillId="0" borderId="0" xfId="0" applyNumberFormat="1"/>
    <xf numFmtId="9" fontId="4" fillId="0" borderId="0" xfId="1" applyFont="1"/>
    <xf numFmtId="164" fontId="0" fillId="0" borderId="0" xfId="0" applyNumberFormat="1"/>
    <xf numFmtId="9" fontId="4" fillId="0" borderId="0" xfId="0" applyNumberFormat="1" applyFont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10" fontId="0" fillId="2" borderId="0" xfId="0" applyNumberFormat="1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2" fillId="0" borderId="0" xfId="0" applyFont="1" applyFill="1"/>
    <xf numFmtId="0" fontId="2" fillId="5" borderId="0" xfId="0" applyFont="1" applyFill="1"/>
    <xf numFmtId="3" fontId="0" fillId="5" borderId="0" xfId="0" applyNumberFormat="1" applyFill="1"/>
    <xf numFmtId="2" fontId="5" fillId="2" borderId="0" xfId="0" applyNumberFormat="1" applyFont="1" applyFill="1"/>
    <xf numFmtId="0" fontId="0" fillId="5" borderId="0" xfId="0" applyFill="1"/>
    <xf numFmtId="9" fontId="0" fillId="5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2" borderId="0" xfId="0" applyNumberFormat="1" applyFont="1" applyFill="1"/>
    <xf numFmtId="2" fontId="0" fillId="2" borderId="0" xfId="0" applyNumberFormat="1" applyFont="1" applyFill="1"/>
    <xf numFmtId="167" fontId="0" fillId="0" borderId="0" xfId="0" applyNumberFormat="1"/>
    <xf numFmtId="1" fontId="2" fillId="0" borderId="0" xfId="0" applyNumberFormat="1" applyFont="1"/>
    <xf numFmtId="164" fontId="0" fillId="0" borderId="0" xfId="1" applyNumberFormat="1" applyFont="1"/>
    <xf numFmtId="164" fontId="2" fillId="2" borderId="0" xfId="1" applyNumberFormat="1" applyFont="1" applyFill="1"/>
    <xf numFmtId="9" fontId="2" fillId="2" borderId="0" xfId="0" applyNumberFormat="1" applyFont="1" applyFill="1"/>
    <xf numFmtId="2" fontId="2" fillId="0" borderId="0" xfId="0" applyNumberFormat="1" applyFont="1"/>
    <xf numFmtId="164" fontId="2" fillId="2" borderId="0" xfId="0" applyNumberFormat="1" applyFont="1" applyFill="1"/>
    <xf numFmtId="0" fontId="4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67" fontId="2" fillId="0" borderId="0" xfId="0" applyNumberFormat="1" applyFont="1"/>
    <xf numFmtId="10" fontId="2" fillId="0" borderId="0" xfId="0" applyNumberFormat="1" applyFont="1" applyFill="1"/>
    <xf numFmtId="164" fontId="4" fillId="5" borderId="0" xfId="1" applyNumberFormat="1" applyFont="1" applyFill="1"/>
    <xf numFmtId="10" fontId="4" fillId="5" borderId="0" xfId="0" applyNumberFormat="1" applyFont="1" applyFill="1"/>
    <xf numFmtId="164" fontId="4" fillId="5" borderId="0" xfId="0" applyNumberFormat="1" applyFont="1" applyFill="1"/>
    <xf numFmtId="9" fontId="4" fillId="5" borderId="0" xfId="1" applyFont="1" applyFill="1"/>
    <xf numFmtId="3" fontId="4" fillId="5" borderId="0" xfId="0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5"/>
  <sheetViews>
    <sheetView zoomScale="120" zoomScaleNormal="120" workbookViewId="0">
      <selection activeCell="I50" sqref="I50"/>
    </sheetView>
  </sheetViews>
  <sheetFormatPr defaultColWidth="10.76171875" defaultRowHeight="15" x14ac:dyDescent="0.2"/>
  <cols>
    <col min="1" max="1" width="26.90234375" customWidth="1"/>
    <col min="2" max="2" width="32.41796875" customWidth="1"/>
  </cols>
  <sheetData>
    <row r="1" spans="1:9" ht="18.75" x14ac:dyDescent="0.25">
      <c r="A1" t="s">
        <v>166</v>
      </c>
      <c r="B1" s="12" t="s">
        <v>34</v>
      </c>
      <c r="C1" s="13"/>
      <c r="D1" s="13"/>
      <c r="E1" s="13"/>
      <c r="F1" s="13"/>
      <c r="G1" s="13"/>
    </row>
    <row r="2" spans="1:9" ht="18.75" x14ac:dyDescent="0.25">
      <c r="B2" s="1"/>
    </row>
    <row r="3" spans="1:9" x14ac:dyDescent="0.2">
      <c r="A3" t="s">
        <v>167</v>
      </c>
      <c r="B3" s="11" t="s">
        <v>35</v>
      </c>
      <c r="C3" s="13"/>
      <c r="D3" s="13"/>
      <c r="E3" s="13"/>
      <c r="F3" s="13"/>
      <c r="G3" s="13"/>
    </row>
    <row r="4" spans="1:9" x14ac:dyDescent="0.2">
      <c r="B4" s="5" t="s">
        <v>36</v>
      </c>
      <c r="C4" s="5">
        <v>2008</v>
      </c>
      <c r="D4" s="5">
        <f>C4+1</f>
        <v>2009</v>
      </c>
      <c r="E4" s="5">
        <f t="shared" ref="E4:F4" si="0">D4+1</f>
        <v>2010</v>
      </c>
      <c r="F4" s="5">
        <f t="shared" si="0"/>
        <v>2011</v>
      </c>
      <c r="G4" s="5" t="s">
        <v>17</v>
      </c>
      <c r="H4" s="20" t="s">
        <v>81</v>
      </c>
      <c r="I4" s="66" t="s">
        <v>82</v>
      </c>
    </row>
    <row r="5" spans="1:9" x14ac:dyDescent="0.2">
      <c r="A5" t="s">
        <v>170</v>
      </c>
      <c r="B5" t="s">
        <v>37</v>
      </c>
      <c r="C5" s="6">
        <v>47571</v>
      </c>
      <c r="D5" s="6">
        <v>32222</v>
      </c>
      <c r="E5" s="6">
        <v>52372</v>
      </c>
      <c r="F5" s="6">
        <v>65146</v>
      </c>
      <c r="G5" s="6">
        <v>33789</v>
      </c>
      <c r="H5" s="2"/>
      <c r="I5" s="2"/>
    </row>
    <row r="6" spans="1:9" x14ac:dyDescent="0.2">
      <c r="A6" t="s">
        <v>168</v>
      </c>
      <c r="B6" s="2" t="s">
        <v>38</v>
      </c>
      <c r="C6" s="3">
        <v>2.7E-2</v>
      </c>
      <c r="D6" s="70"/>
      <c r="E6" s="70"/>
      <c r="F6" s="70"/>
      <c r="G6" s="71"/>
      <c r="H6" s="2"/>
      <c r="I6" s="2"/>
    </row>
    <row r="7" spans="1:9" x14ac:dyDescent="0.2">
      <c r="A7" t="s">
        <v>171</v>
      </c>
      <c r="B7" t="s">
        <v>39</v>
      </c>
      <c r="C7" s="6">
        <v>9237</v>
      </c>
      <c r="D7" s="6">
        <v>7017</v>
      </c>
      <c r="E7" s="6">
        <v>11113</v>
      </c>
      <c r="F7" s="6">
        <v>12764</v>
      </c>
      <c r="G7" s="6">
        <v>6209</v>
      </c>
      <c r="H7" s="2"/>
      <c r="I7" s="2"/>
    </row>
    <row r="8" spans="1:9" x14ac:dyDescent="0.2">
      <c r="A8" t="s">
        <v>168</v>
      </c>
      <c r="B8" s="2" t="str">
        <f>B6</f>
        <v>Growth rate</v>
      </c>
      <c r="C8" s="3">
        <v>-3.5000000000000003E-2</v>
      </c>
      <c r="D8" s="70"/>
      <c r="E8" s="70"/>
      <c r="F8" s="70"/>
      <c r="G8" s="71"/>
      <c r="H8" s="2"/>
      <c r="I8" s="2"/>
    </row>
    <row r="9" spans="1:9" x14ac:dyDescent="0.2">
      <c r="A9" t="s">
        <v>169</v>
      </c>
      <c r="B9" s="5" t="s">
        <v>40</v>
      </c>
      <c r="C9" s="8">
        <f>C5+C7</f>
        <v>56808</v>
      </c>
      <c r="D9" s="8">
        <f t="shared" ref="D9:F9" si="1">D5+D7</f>
        <v>39239</v>
      </c>
      <c r="E9" s="8">
        <f t="shared" si="1"/>
        <v>63485</v>
      </c>
      <c r="F9" s="8">
        <f t="shared" si="1"/>
        <v>77910</v>
      </c>
      <c r="G9" s="8">
        <f>G5+G7</f>
        <v>39998</v>
      </c>
      <c r="H9" s="70">
        <f>(F9/C9)^(1/3)-1</f>
        <v>0.11103541238967463</v>
      </c>
      <c r="I9" s="2"/>
    </row>
    <row r="10" spans="1:9" x14ac:dyDescent="0.2">
      <c r="A10" t="s">
        <v>168</v>
      </c>
      <c r="B10" s="2" t="str">
        <f>B8</f>
        <v>Growth rate</v>
      </c>
      <c r="C10" s="7">
        <v>1.7000000000000001E-2</v>
      </c>
      <c r="D10" s="70"/>
      <c r="E10" s="70"/>
      <c r="F10" s="70"/>
      <c r="G10" s="72"/>
      <c r="H10" s="40"/>
      <c r="I10" s="2"/>
    </row>
    <row r="11" spans="1:9" x14ac:dyDescent="0.2">
      <c r="A11" t="s">
        <v>16</v>
      </c>
      <c r="B11" s="8" t="s">
        <v>16</v>
      </c>
      <c r="C11" s="8">
        <v>4065</v>
      </c>
      <c r="D11" s="8">
        <v>2711</v>
      </c>
      <c r="E11" s="8">
        <v>7416</v>
      </c>
      <c r="F11" s="8">
        <v>8055</v>
      </c>
      <c r="G11" s="8">
        <v>4331</v>
      </c>
      <c r="H11" s="73">
        <f>(F11/C11)^(1/3)-1</f>
        <v>0.25603477890846738</v>
      </c>
      <c r="I11" s="2"/>
    </row>
    <row r="12" spans="1:9" x14ac:dyDescent="0.2">
      <c r="A12" t="s">
        <v>172</v>
      </c>
      <c r="B12" s="23" t="s">
        <v>41</v>
      </c>
      <c r="C12" s="24"/>
      <c r="D12" s="24"/>
      <c r="E12" s="24"/>
      <c r="F12" s="24"/>
      <c r="G12" s="24"/>
      <c r="H12" s="25" t="e">
        <f>AVERAGE(C12:G12)</f>
        <v>#DIV/0!</v>
      </c>
      <c r="I12" s="24" t="e">
        <f>_xlfn.STDEV.S(C12:G12)</f>
        <v>#DIV/0!</v>
      </c>
    </row>
    <row r="13" spans="1:9" x14ac:dyDescent="0.2">
      <c r="A13" t="s">
        <v>173</v>
      </c>
      <c r="B13" t="s">
        <v>42</v>
      </c>
      <c r="C13">
        <v>909</v>
      </c>
      <c r="D13">
        <v>140</v>
      </c>
      <c r="E13">
        <v>4947</v>
      </c>
      <c r="F13">
        <v>5172</v>
      </c>
      <c r="H13" s="7"/>
      <c r="I13" s="4"/>
    </row>
    <row r="14" spans="1:9" x14ac:dyDescent="0.2">
      <c r="A14" t="s">
        <v>174</v>
      </c>
      <c r="B14" s="2" t="s">
        <v>43</v>
      </c>
      <c r="C14" s="24"/>
      <c r="D14" s="24"/>
      <c r="E14" s="24"/>
      <c r="F14" s="24"/>
      <c r="G14" s="24"/>
      <c r="H14" s="7" t="e">
        <f t="shared" ref="H14:H18" si="2">AVERAGE(C14:G14)</f>
        <v>#DIV/0!</v>
      </c>
      <c r="I14" s="4" t="e">
        <f t="shared" ref="I14:I18" si="3">_xlfn.STDEV.S(C14:G14)</f>
        <v>#DIV/0!</v>
      </c>
    </row>
    <row r="15" spans="1:9" x14ac:dyDescent="0.2">
      <c r="A15" t="s">
        <v>175</v>
      </c>
      <c r="B15" t="s">
        <v>44</v>
      </c>
      <c r="C15" s="9">
        <v>579</v>
      </c>
      <c r="D15" s="10">
        <v>330</v>
      </c>
      <c r="E15" s="10">
        <v>266</v>
      </c>
      <c r="F15" s="10">
        <v>1001</v>
      </c>
      <c r="G15" s="10"/>
      <c r="H15" s="7"/>
      <c r="I15" s="4"/>
    </row>
    <row r="16" spans="1:9" x14ac:dyDescent="0.2">
      <c r="A16" t="s">
        <v>174</v>
      </c>
      <c r="B16" s="2" t="s">
        <v>45</v>
      </c>
      <c r="C16" s="24"/>
      <c r="D16" s="24"/>
      <c r="E16" s="24"/>
      <c r="F16" s="24"/>
      <c r="G16" s="24"/>
      <c r="H16" s="7" t="e">
        <f t="shared" si="2"/>
        <v>#DIV/0!</v>
      </c>
      <c r="I16" s="4" t="e">
        <f t="shared" si="3"/>
        <v>#DIV/0!</v>
      </c>
    </row>
    <row r="17" spans="1:9" x14ac:dyDescent="0.2">
      <c r="A17" t="s">
        <v>18</v>
      </c>
      <c r="B17" s="5" t="s">
        <v>18</v>
      </c>
      <c r="C17" s="8">
        <f>C13+C15</f>
        <v>1488</v>
      </c>
      <c r="D17" s="8">
        <f t="shared" ref="D17:F17" si="4">D13+D15</f>
        <v>470</v>
      </c>
      <c r="E17" s="8">
        <f t="shared" si="4"/>
        <v>5213</v>
      </c>
      <c r="F17" s="8">
        <f t="shared" si="4"/>
        <v>6173</v>
      </c>
      <c r="G17" s="8">
        <v>3274</v>
      </c>
      <c r="H17" s="7">
        <f>(F17/C17)^(1/3)-1</f>
        <v>0.60680971393441818</v>
      </c>
      <c r="I17" s="4"/>
    </row>
    <row r="18" spans="1:9" x14ac:dyDescent="0.2">
      <c r="A18" t="s">
        <v>174</v>
      </c>
      <c r="B18" s="23" t="s">
        <v>46</v>
      </c>
      <c r="C18" s="24"/>
      <c r="D18" s="24"/>
      <c r="E18" s="24"/>
      <c r="F18" s="24"/>
      <c r="G18" s="24"/>
      <c r="H18" s="25" t="e">
        <f t="shared" si="2"/>
        <v>#DIV/0!</v>
      </c>
      <c r="I18" s="24" t="e">
        <f t="shared" si="3"/>
        <v>#DIV/0!</v>
      </c>
    </row>
    <row r="19" spans="1:9" x14ac:dyDescent="0.2">
      <c r="A19" t="s">
        <v>176</v>
      </c>
      <c r="B19" s="26" t="s">
        <v>22</v>
      </c>
      <c r="C19" s="27"/>
      <c r="D19" s="27"/>
      <c r="E19" s="27"/>
      <c r="F19" s="27"/>
      <c r="G19" s="27"/>
      <c r="H19" s="28"/>
      <c r="I19" s="27"/>
    </row>
    <row r="20" spans="1:9" x14ac:dyDescent="0.2">
      <c r="A20" t="s">
        <v>177</v>
      </c>
      <c r="B20" s="26" t="s">
        <v>23</v>
      </c>
      <c r="C20" s="27"/>
      <c r="D20" s="27"/>
      <c r="E20" s="27"/>
      <c r="F20" s="27"/>
      <c r="G20" s="27"/>
      <c r="H20" s="28"/>
      <c r="I20" s="27"/>
    </row>
    <row r="21" spans="1:9" x14ac:dyDescent="0.2">
      <c r="B21" s="26"/>
      <c r="C21" s="27"/>
      <c r="D21" s="27"/>
      <c r="E21" s="27"/>
      <c r="F21" s="27"/>
      <c r="G21" s="27"/>
      <c r="H21" s="28"/>
      <c r="I21" s="27"/>
    </row>
    <row r="22" spans="1:9" x14ac:dyDescent="0.2">
      <c r="H22" s="2"/>
      <c r="I22" s="4"/>
    </row>
    <row r="23" spans="1:9" x14ac:dyDescent="0.2">
      <c r="A23" t="s">
        <v>178</v>
      </c>
      <c r="B23" s="11" t="s">
        <v>47</v>
      </c>
      <c r="C23" s="13"/>
      <c r="D23" s="13"/>
      <c r="E23" s="13"/>
      <c r="F23" s="13"/>
      <c r="G23" s="13"/>
    </row>
    <row r="24" spans="1:9" x14ac:dyDescent="0.2">
      <c r="A24" t="s">
        <v>179</v>
      </c>
      <c r="B24" s="5" t="s">
        <v>61</v>
      </c>
      <c r="C24" s="5"/>
      <c r="D24" s="5">
        <v>2009</v>
      </c>
      <c r="E24" s="5">
        <f t="shared" ref="E24:F24" si="5">D24+1</f>
        <v>2010</v>
      </c>
      <c r="F24" s="5">
        <f t="shared" si="5"/>
        <v>2011</v>
      </c>
      <c r="G24" s="14">
        <v>41090</v>
      </c>
    </row>
    <row r="25" spans="1:9" x14ac:dyDescent="0.2">
      <c r="A25" t="s">
        <v>180</v>
      </c>
      <c r="B25" s="2" t="s">
        <v>60</v>
      </c>
      <c r="C25" s="15"/>
      <c r="D25" s="15">
        <v>1994</v>
      </c>
      <c r="E25" s="15">
        <v>2017</v>
      </c>
      <c r="F25" s="15">
        <v>2027</v>
      </c>
      <c r="G25" s="15">
        <v>2036</v>
      </c>
    </row>
    <row r="26" spans="1:9" x14ac:dyDescent="0.2">
      <c r="A26" t="s">
        <v>181</v>
      </c>
      <c r="B26" s="2" t="s">
        <v>58</v>
      </c>
      <c r="C26" s="15"/>
      <c r="D26" s="15">
        <v>756</v>
      </c>
      <c r="E26" s="15">
        <v>741</v>
      </c>
      <c r="F26" s="15">
        <v>717</v>
      </c>
      <c r="G26" s="15">
        <v>759</v>
      </c>
    </row>
    <row r="27" spans="1:9" x14ac:dyDescent="0.2">
      <c r="A27" t="s">
        <v>182</v>
      </c>
      <c r="B27" s="2" t="s">
        <v>59</v>
      </c>
      <c r="C27" s="15"/>
      <c r="D27" s="15">
        <v>12581</v>
      </c>
      <c r="E27" s="15">
        <v>11709</v>
      </c>
      <c r="F27" s="15">
        <v>14224</v>
      </c>
      <c r="G27" s="15">
        <v>14723</v>
      </c>
    </row>
    <row r="28" spans="1:9" x14ac:dyDescent="0.2">
      <c r="A28" s="5" t="s">
        <v>183</v>
      </c>
      <c r="B28" s="5" t="s">
        <v>57</v>
      </c>
      <c r="C28" s="8"/>
      <c r="D28" s="8">
        <f>SUM(D25:D27)</f>
        <v>15331</v>
      </c>
      <c r="E28" s="8">
        <f>SUM(E25:E27)</f>
        <v>14467</v>
      </c>
      <c r="F28" s="8">
        <f>SUM(F25:F27)</f>
        <v>16968</v>
      </c>
      <c r="G28" s="8">
        <f>SUM(G25:G27)</f>
        <v>17518</v>
      </c>
    </row>
    <row r="29" spans="1:9" x14ac:dyDescent="0.2">
      <c r="A29" t="s">
        <v>184</v>
      </c>
      <c r="B29" t="s">
        <v>56</v>
      </c>
      <c r="C29" s="6"/>
      <c r="D29" s="6">
        <f>D66</f>
        <v>6853</v>
      </c>
      <c r="E29" s="6">
        <f t="shared" ref="E29:G29" si="6">E66</f>
        <v>8437</v>
      </c>
      <c r="F29" s="6">
        <f t="shared" si="6"/>
        <v>11657</v>
      </c>
      <c r="G29" s="6">
        <f t="shared" si="6"/>
        <v>10468</v>
      </c>
    </row>
    <row r="30" spans="1:9" x14ac:dyDescent="0.2">
      <c r="A30" t="s">
        <v>185</v>
      </c>
      <c r="B30" s="5" t="s">
        <v>55</v>
      </c>
      <c r="C30" s="8"/>
      <c r="D30" s="8">
        <f>D28+D29</f>
        <v>22184</v>
      </c>
      <c r="E30" s="8">
        <f t="shared" ref="E30:G30" si="7">E28+E29</f>
        <v>22904</v>
      </c>
      <c r="F30" s="8">
        <f t="shared" si="7"/>
        <v>28625</v>
      </c>
      <c r="G30" s="8">
        <f t="shared" si="7"/>
        <v>27986</v>
      </c>
    </row>
    <row r="31" spans="1:9" x14ac:dyDescent="0.2">
      <c r="A31" t="s">
        <v>186</v>
      </c>
      <c r="B31" t="s">
        <v>53</v>
      </c>
      <c r="C31" s="6"/>
      <c r="D31" s="6">
        <v>-358</v>
      </c>
      <c r="E31" s="6">
        <v>-171</v>
      </c>
      <c r="F31" s="6">
        <v>-232</v>
      </c>
      <c r="G31" s="6">
        <v>-327</v>
      </c>
    </row>
    <row r="32" spans="1:9" x14ac:dyDescent="0.2">
      <c r="A32" t="s">
        <v>187</v>
      </c>
      <c r="B32" t="s">
        <v>54</v>
      </c>
      <c r="C32" s="6"/>
      <c r="D32" s="6">
        <v>20</v>
      </c>
      <c r="E32" s="6">
        <v>41</v>
      </c>
      <c r="F32" s="6">
        <v>135</v>
      </c>
      <c r="G32" s="6">
        <v>102</v>
      </c>
    </row>
    <row r="33" spans="1:7" x14ac:dyDescent="0.2">
      <c r="A33" t="s">
        <v>188</v>
      </c>
      <c r="B33" s="5" t="s">
        <v>52</v>
      </c>
      <c r="C33" s="8"/>
      <c r="D33" s="8">
        <f>SUM(D30:D32)</f>
        <v>21846</v>
      </c>
      <c r="E33" s="8">
        <f t="shared" ref="E33:G33" si="8">SUM(E30:E32)</f>
        <v>22774</v>
      </c>
      <c r="F33" s="8">
        <f t="shared" si="8"/>
        <v>28528</v>
      </c>
      <c r="G33" s="8">
        <f t="shared" si="8"/>
        <v>27761</v>
      </c>
    </row>
    <row r="34" spans="1:7" x14ac:dyDescent="0.2">
      <c r="C34" s="6"/>
      <c r="D34" s="6"/>
      <c r="E34" s="6"/>
      <c r="F34" s="6"/>
      <c r="G34" s="6"/>
    </row>
    <row r="35" spans="1:7" x14ac:dyDescent="0.2">
      <c r="A35" t="s">
        <v>190</v>
      </c>
      <c r="B35" s="5" t="s">
        <v>62</v>
      </c>
      <c r="D35" s="5">
        <f>D24</f>
        <v>2009</v>
      </c>
      <c r="E35" s="5">
        <f>E24</f>
        <v>2010</v>
      </c>
      <c r="F35" s="5">
        <f>F24</f>
        <v>2011</v>
      </c>
      <c r="G35" s="14">
        <v>41090</v>
      </c>
    </row>
    <row r="36" spans="1:7" x14ac:dyDescent="0.2">
      <c r="A36" t="s">
        <v>189</v>
      </c>
      <c r="B36" t="s">
        <v>48</v>
      </c>
      <c r="D36" s="6">
        <v>14352</v>
      </c>
      <c r="E36" s="6">
        <v>18120</v>
      </c>
      <c r="F36" s="6">
        <v>20842</v>
      </c>
      <c r="G36" s="6">
        <v>22132</v>
      </c>
    </row>
    <row r="37" spans="1:7" x14ac:dyDescent="0.2">
      <c r="A37" t="s">
        <v>191</v>
      </c>
      <c r="B37" t="s">
        <v>49</v>
      </c>
      <c r="D37" s="6">
        <v>316</v>
      </c>
      <c r="E37" s="6">
        <v>343</v>
      </c>
      <c r="F37" s="6">
        <v>462</v>
      </c>
      <c r="G37" s="6">
        <v>563</v>
      </c>
    </row>
    <row r="38" spans="1:7" x14ac:dyDescent="0.2">
      <c r="A38" t="s">
        <v>192</v>
      </c>
      <c r="B38" t="s">
        <v>50</v>
      </c>
      <c r="D38" s="6">
        <v>7178</v>
      </c>
      <c r="E38" s="6">
        <v>4311</v>
      </c>
      <c r="F38" s="6">
        <v>7224</v>
      </c>
      <c r="G38" s="6">
        <v>5066</v>
      </c>
    </row>
    <row r="39" spans="1:7" x14ac:dyDescent="0.2">
      <c r="A39" t="s">
        <v>193</v>
      </c>
      <c r="B39" s="5" t="s">
        <v>51</v>
      </c>
      <c r="C39" s="5"/>
      <c r="D39" s="8">
        <f>SUM(D36:D38)</f>
        <v>21846</v>
      </c>
      <c r="E39" s="8">
        <f t="shared" ref="E39:G39" si="9">SUM(E36:E38)</f>
        <v>22774</v>
      </c>
      <c r="F39" s="8">
        <f t="shared" si="9"/>
        <v>28528</v>
      </c>
      <c r="G39" s="8">
        <f t="shared" si="9"/>
        <v>27761</v>
      </c>
    </row>
    <row r="41" spans="1:7" x14ac:dyDescent="0.2">
      <c r="A41" t="s">
        <v>194</v>
      </c>
      <c r="B41" s="18" t="s">
        <v>33</v>
      </c>
      <c r="C41" s="18"/>
      <c r="D41" s="62">
        <f>D17/D33</f>
        <v>2.1514236015746591E-2</v>
      </c>
      <c r="E41" s="62">
        <f>E17/E33</f>
        <v>0.22890137876525862</v>
      </c>
      <c r="F41" s="62">
        <f>F17/F33</f>
        <v>0.21638390353337073</v>
      </c>
      <c r="G41" s="61"/>
    </row>
    <row r="42" spans="1:7" x14ac:dyDescent="0.2">
      <c r="B42" t="s">
        <v>195</v>
      </c>
    </row>
    <row r="44" spans="1:7" x14ac:dyDescent="0.2">
      <c r="A44" t="s">
        <v>196</v>
      </c>
      <c r="B44" s="11" t="s">
        <v>63</v>
      </c>
      <c r="C44" s="13"/>
      <c r="D44" s="13"/>
      <c r="E44" s="13"/>
      <c r="F44" s="13"/>
      <c r="G44" s="13"/>
    </row>
    <row r="45" spans="1:7" x14ac:dyDescent="0.2">
      <c r="B45" s="5"/>
      <c r="C45" s="5"/>
      <c r="D45" s="5">
        <v>2009</v>
      </c>
      <c r="E45" s="5">
        <f>D45+1</f>
        <v>2010</v>
      </c>
      <c r="F45" s="5">
        <f>E45+1</f>
        <v>2011</v>
      </c>
      <c r="G45" s="14">
        <v>41090</v>
      </c>
    </row>
    <row r="46" spans="1:7" x14ac:dyDescent="0.2">
      <c r="A46" t="s">
        <v>197</v>
      </c>
      <c r="B46" s="5" t="s">
        <v>74</v>
      </c>
      <c r="C46" s="5"/>
      <c r="D46" s="5"/>
      <c r="E46" s="5"/>
      <c r="F46" s="5"/>
      <c r="G46" s="14"/>
    </row>
    <row r="47" spans="1:7" x14ac:dyDescent="0.2">
      <c r="A47" t="s">
        <v>198</v>
      </c>
      <c r="B47" t="s">
        <v>64</v>
      </c>
      <c r="C47" s="6"/>
      <c r="D47" s="6">
        <v>5916</v>
      </c>
      <c r="E47" s="6">
        <v>9821</v>
      </c>
      <c r="F47" s="6">
        <v>10855</v>
      </c>
      <c r="G47" s="6">
        <v>10191</v>
      </c>
    </row>
    <row r="48" spans="1:7" x14ac:dyDescent="0.2">
      <c r="A48" t="s">
        <v>202</v>
      </c>
      <c r="B48" s="2" t="s">
        <v>65</v>
      </c>
      <c r="C48" s="15"/>
      <c r="D48" s="16">
        <f>D47*365/D9</f>
        <v>55.030454394862254</v>
      </c>
      <c r="E48" s="16">
        <f>E47*365/E9</f>
        <v>56.464755454044266</v>
      </c>
      <c r="F48" s="16">
        <f>F47*365/F9</f>
        <v>50.854511615967141</v>
      </c>
      <c r="G48" s="16">
        <f>G47*365/G9/2</f>
        <v>46.498762438121908</v>
      </c>
    </row>
    <row r="49" spans="1:7" x14ac:dyDescent="0.2">
      <c r="A49" t="s">
        <v>199</v>
      </c>
      <c r="B49" t="s">
        <v>66</v>
      </c>
      <c r="C49" s="6"/>
      <c r="D49" s="6">
        <v>7118</v>
      </c>
      <c r="E49" s="6">
        <v>10298</v>
      </c>
      <c r="F49" s="6">
        <v>10145</v>
      </c>
      <c r="G49" s="6">
        <v>12335</v>
      </c>
    </row>
    <row r="50" spans="1:7" x14ac:dyDescent="0.2">
      <c r="A50" t="s">
        <v>203</v>
      </c>
      <c r="B50" s="2" t="s">
        <v>67</v>
      </c>
      <c r="C50" s="15"/>
      <c r="D50" s="15">
        <f>D49*365/D9</f>
        <v>66.21142230943704</v>
      </c>
      <c r="E50" s="15">
        <f>E49*365/E9</f>
        <v>59.207214302591161</v>
      </c>
      <c r="F50" s="15">
        <f>F49*365/F9</f>
        <v>47.528237710178409</v>
      </c>
      <c r="G50" s="15">
        <f>G49*365/G9/2</f>
        <v>56.281251562578127</v>
      </c>
    </row>
    <row r="51" spans="1:7" x14ac:dyDescent="0.2">
      <c r="A51" t="s">
        <v>19</v>
      </c>
      <c r="B51" t="s">
        <v>200</v>
      </c>
      <c r="C51" s="6"/>
      <c r="D51" s="6">
        <v>712</v>
      </c>
      <c r="E51" s="6">
        <v>774</v>
      </c>
      <c r="F51" s="6">
        <v>938</v>
      </c>
      <c r="G51" s="6">
        <v>877</v>
      </c>
    </row>
    <row r="52" spans="1:7" x14ac:dyDescent="0.2">
      <c r="A52" t="s">
        <v>203</v>
      </c>
      <c r="B52" s="2" t="s">
        <v>201</v>
      </c>
      <c r="C52" s="15"/>
      <c r="D52" s="15">
        <f>D51*365/D9</f>
        <v>6.6230026249394731</v>
      </c>
      <c r="E52" s="15">
        <f>E51*365/E9</f>
        <v>4.4500275655666695</v>
      </c>
      <c r="F52" s="15">
        <f>F51*365/F9</f>
        <v>4.3944294699011683</v>
      </c>
      <c r="G52" s="15">
        <f>G51*365/G9/2</f>
        <v>4.001512575628781</v>
      </c>
    </row>
    <row r="53" spans="1:7" x14ac:dyDescent="0.2">
      <c r="A53" t="s">
        <v>20</v>
      </c>
      <c r="B53" t="s">
        <v>204</v>
      </c>
      <c r="C53" s="6"/>
      <c r="D53" s="6">
        <v>499</v>
      </c>
      <c r="E53" s="6">
        <v>0</v>
      </c>
      <c r="F53" s="6">
        <v>407</v>
      </c>
      <c r="G53" s="6">
        <v>291</v>
      </c>
    </row>
    <row r="54" spans="1:7" x14ac:dyDescent="0.2">
      <c r="A54" s="5" t="s">
        <v>21</v>
      </c>
      <c r="B54" s="5" t="s">
        <v>205</v>
      </c>
      <c r="C54" s="8"/>
      <c r="D54" s="8">
        <f>D47+D49+D51+D53</f>
        <v>14245</v>
      </c>
      <c r="E54" s="8">
        <f t="shared" ref="E54:G54" si="10">E47+E49+E51+E53</f>
        <v>20893</v>
      </c>
      <c r="F54" s="8">
        <f t="shared" si="10"/>
        <v>22345</v>
      </c>
      <c r="G54" s="8">
        <f t="shared" si="10"/>
        <v>23694</v>
      </c>
    </row>
    <row r="55" spans="1:7" x14ac:dyDescent="0.2">
      <c r="C55" s="6"/>
      <c r="D55" s="6"/>
      <c r="E55" s="6"/>
      <c r="F55" s="6"/>
      <c r="G55" s="6"/>
    </row>
    <row r="56" spans="1:7" x14ac:dyDescent="0.2">
      <c r="A56" t="s">
        <v>206</v>
      </c>
      <c r="B56" s="5" t="s">
        <v>75</v>
      </c>
      <c r="C56" s="6"/>
      <c r="D56" s="6"/>
      <c r="E56" s="6"/>
      <c r="F56" s="6"/>
      <c r="G56" s="6"/>
    </row>
    <row r="57" spans="1:7" x14ac:dyDescent="0.2">
      <c r="A57" t="s">
        <v>207</v>
      </c>
      <c r="B57" t="s">
        <v>76</v>
      </c>
      <c r="C57" s="6"/>
      <c r="D57" s="6">
        <v>75</v>
      </c>
      <c r="E57" s="6">
        <v>98</v>
      </c>
      <c r="F57" s="6">
        <v>54</v>
      </c>
      <c r="G57" s="6">
        <v>0</v>
      </c>
    </row>
    <row r="58" spans="1:7" x14ac:dyDescent="0.2">
      <c r="A58" t="s">
        <v>208</v>
      </c>
      <c r="B58" s="17" t="s">
        <v>68</v>
      </c>
      <c r="C58" s="6"/>
      <c r="D58" s="6">
        <v>5671</v>
      </c>
      <c r="E58" s="6">
        <v>7614</v>
      </c>
      <c r="F58" s="6">
        <v>7403</v>
      </c>
      <c r="G58" s="6">
        <v>8767</v>
      </c>
    </row>
    <row r="59" spans="1:7" x14ac:dyDescent="0.2">
      <c r="A59" t="s">
        <v>203</v>
      </c>
      <c r="B59" s="2" t="s">
        <v>69</v>
      </c>
      <c r="C59" s="15"/>
      <c r="D59" s="15">
        <f>D58*365/D9</f>
        <v>52.751471750044601</v>
      </c>
      <c r="E59" s="15">
        <f>E58*365/E9</f>
        <v>43.775852563597702</v>
      </c>
      <c r="F59" s="15">
        <f>F58*365/F9</f>
        <v>34.682261583878834</v>
      </c>
      <c r="G59" s="15">
        <f>G58*365/G9/2</f>
        <v>40.001437571878597</v>
      </c>
    </row>
    <row r="60" spans="1:7" x14ac:dyDescent="0.2">
      <c r="A60" t="s">
        <v>209</v>
      </c>
      <c r="B60" s="17" t="s">
        <v>70</v>
      </c>
      <c r="C60" s="6"/>
      <c r="D60" s="6">
        <v>1646</v>
      </c>
      <c r="E60" s="6">
        <v>2963</v>
      </c>
      <c r="F60" s="6">
        <v>3120</v>
      </c>
      <c r="G60" s="6">
        <v>4412</v>
      </c>
    </row>
    <row r="61" spans="1:7" x14ac:dyDescent="0.2">
      <c r="A61" t="s">
        <v>203</v>
      </c>
      <c r="B61" s="2" t="s">
        <v>71</v>
      </c>
      <c r="C61" s="15"/>
      <c r="D61" s="15">
        <f>D60*365/D9</f>
        <v>15.311042585183108</v>
      </c>
      <c r="E61" s="15">
        <f>E60*365/E9</f>
        <v>17.035441442860517</v>
      </c>
      <c r="F61" s="15">
        <f>F60*365/F9</f>
        <v>14.616865614170196</v>
      </c>
      <c r="G61" s="15">
        <f>G60*365/G9/2</f>
        <v>20.13075653782689</v>
      </c>
    </row>
    <row r="62" spans="1:7" x14ac:dyDescent="0.2">
      <c r="A62" t="s">
        <v>210</v>
      </c>
      <c r="B62" s="17" t="s">
        <v>72</v>
      </c>
      <c r="C62" s="6"/>
      <c r="D62" s="6">
        <v>0</v>
      </c>
      <c r="E62" s="6">
        <v>1781</v>
      </c>
      <c r="F62" s="6">
        <v>111</v>
      </c>
      <c r="G62" s="6">
        <v>47</v>
      </c>
    </row>
    <row r="63" spans="1:7" x14ac:dyDescent="0.2">
      <c r="A63" t="s">
        <v>211</v>
      </c>
      <c r="B63" s="5" t="s">
        <v>73</v>
      </c>
      <c r="C63" s="8"/>
      <c r="D63" s="8">
        <f>D57+D58+D60+D62</f>
        <v>7392</v>
      </c>
      <c r="E63" s="8">
        <f t="shared" ref="E63:G63" si="11">E57+E58+E60+E62</f>
        <v>12456</v>
      </c>
      <c r="F63" s="8">
        <f t="shared" si="11"/>
        <v>10688</v>
      </c>
      <c r="G63" s="8">
        <f t="shared" si="11"/>
        <v>13226</v>
      </c>
    </row>
    <row r="64" spans="1:7" x14ac:dyDescent="0.2">
      <c r="B64" s="5"/>
      <c r="C64" s="8"/>
      <c r="D64" s="8"/>
      <c r="E64" s="8"/>
      <c r="F64" s="8"/>
      <c r="G64" s="8"/>
    </row>
    <row r="65" spans="1:9" x14ac:dyDescent="0.2">
      <c r="C65" s="6"/>
      <c r="D65" s="60">
        <v>2009</v>
      </c>
      <c r="E65" s="60">
        <v>2010</v>
      </c>
      <c r="F65" s="60">
        <v>2011</v>
      </c>
      <c r="G65" s="60">
        <v>2012</v>
      </c>
      <c r="H65" s="2"/>
    </row>
    <row r="66" spans="1:9" x14ac:dyDescent="0.2">
      <c r="A66" t="s">
        <v>212</v>
      </c>
      <c r="B66" s="18" t="s">
        <v>77</v>
      </c>
      <c r="C66" s="19"/>
      <c r="D66" s="19">
        <f>D54-D63</f>
        <v>6853</v>
      </c>
      <c r="E66" s="19">
        <f t="shared" ref="E66:G66" si="12">E54-E63</f>
        <v>8437</v>
      </c>
      <c r="F66" s="19">
        <f t="shared" si="12"/>
        <v>11657</v>
      </c>
      <c r="G66" s="19">
        <f t="shared" si="12"/>
        <v>10468</v>
      </c>
      <c r="H66" s="20" t="s">
        <v>81</v>
      </c>
      <c r="I66" s="66" t="s">
        <v>82</v>
      </c>
    </row>
    <row r="67" spans="1:9" x14ac:dyDescent="0.2">
      <c r="A67" t="s">
        <v>213</v>
      </c>
      <c r="B67" s="2" t="s">
        <v>78</v>
      </c>
      <c r="C67" s="2"/>
      <c r="D67" s="74"/>
      <c r="E67" s="74"/>
      <c r="F67" s="74"/>
      <c r="G67" s="74"/>
      <c r="H67" s="21" t="e">
        <f>AVERAGE(D67:G67)</f>
        <v>#DIV/0!</v>
      </c>
      <c r="I67" s="22" t="e">
        <f>_xlfn.STDEV.S(D67:G67)</f>
        <v>#DIV/0!</v>
      </c>
    </row>
    <row r="68" spans="1:9" x14ac:dyDescent="0.2">
      <c r="A68" t="s">
        <v>214</v>
      </c>
      <c r="B68" s="2" t="s">
        <v>79</v>
      </c>
      <c r="C68" s="2"/>
      <c r="D68" s="70"/>
      <c r="E68" s="70"/>
      <c r="F68" s="70"/>
      <c r="G68" s="70"/>
      <c r="H68" s="4" t="e">
        <f>AVERAGE(D68:G68)</f>
        <v>#DIV/0!</v>
      </c>
      <c r="I68" s="4" t="e">
        <f>_xlfn.STDEV.S(D68:G68)</f>
        <v>#DIV/0!</v>
      </c>
    </row>
    <row r="69" spans="1:9" x14ac:dyDescent="0.2">
      <c r="A69" t="s">
        <v>215</v>
      </c>
      <c r="B69" s="18" t="s">
        <v>80</v>
      </c>
      <c r="C69" s="18"/>
      <c r="D69" s="43">
        <f>(+D37+D38)/D36</f>
        <v>0.52215719063545152</v>
      </c>
      <c r="E69" s="43">
        <f t="shared" ref="E69:G69" si="13">(+E37+E38)/E36</f>
        <v>0.25684326710816779</v>
      </c>
      <c r="F69" s="43">
        <f t="shared" si="13"/>
        <v>0.36877458977065541</v>
      </c>
      <c r="G69" s="43">
        <f t="shared" si="13"/>
        <v>0.25433761069943972</v>
      </c>
      <c r="H69" s="2"/>
    </row>
    <row r="70" spans="1:9" x14ac:dyDescent="0.2">
      <c r="F70" s="6"/>
      <c r="H70" s="2"/>
    </row>
    <row r="71" spans="1:9" x14ac:dyDescent="0.2">
      <c r="F71" s="6"/>
      <c r="H71" s="2"/>
    </row>
    <row r="72" spans="1:9" x14ac:dyDescent="0.2">
      <c r="A72" t="s">
        <v>192</v>
      </c>
      <c r="B72" t="s">
        <v>83</v>
      </c>
      <c r="C72" s="6">
        <v>6251</v>
      </c>
    </row>
    <row r="73" spans="1:9" x14ac:dyDescent="0.2">
      <c r="A73" t="s">
        <v>216</v>
      </c>
      <c r="B73" t="s">
        <v>84</v>
      </c>
      <c r="C73" s="6">
        <v>462</v>
      </c>
    </row>
    <row r="74" spans="1:9" x14ac:dyDescent="0.2">
      <c r="A74" t="s">
        <v>217</v>
      </c>
      <c r="B74" t="s">
        <v>85</v>
      </c>
      <c r="C74" s="6">
        <v>346</v>
      </c>
    </row>
    <row r="75" spans="1:9" x14ac:dyDescent="0.2">
      <c r="A75" t="s">
        <v>218</v>
      </c>
      <c r="B75" s="18" t="s">
        <v>86</v>
      </c>
      <c r="C75" s="19">
        <f>SUM(C72:C74)</f>
        <v>7059</v>
      </c>
    </row>
  </sheetData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topLeftCell="C13" zoomScale="130" zoomScaleNormal="130" workbookViewId="0">
      <selection activeCell="F46" sqref="F46"/>
    </sheetView>
  </sheetViews>
  <sheetFormatPr defaultColWidth="10.76171875" defaultRowHeight="15" x14ac:dyDescent="0.2"/>
  <cols>
    <col min="1" max="1" width="27.98046875" customWidth="1"/>
  </cols>
  <sheetData>
    <row r="1" spans="1:4" ht="18.75" x14ac:dyDescent="0.25">
      <c r="A1" s="12" t="s">
        <v>107</v>
      </c>
      <c r="B1" s="13"/>
    </row>
    <row r="3" spans="1:4" x14ac:dyDescent="0.2">
      <c r="A3" s="54" t="s">
        <v>87</v>
      </c>
      <c r="B3" s="54" t="s">
        <v>88</v>
      </c>
      <c r="C3" s="55" t="s">
        <v>15</v>
      </c>
    </row>
    <row r="4" spans="1:4" x14ac:dyDescent="0.2">
      <c r="A4" t="s">
        <v>0</v>
      </c>
      <c r="B4" t="s">
        <v>7</v>
      </c>
      <c r="C4">
        <v>878</v>
      </c>
    </row>
    <row r="5" spans="1:4" x14ac:dyDescent="0.2">
      <c r="A5" t="s">
        <v>1</v>
      </c>
      <c r="B5" t="s">
        <v>8</v>
      </c>
      <c r="C5">
        <v>3081</v>
      </c>
    </row>
    <row r="6" spans="1:4" x14ac:dyDescent="0.2">
      <c r="A6" t="s">
        <v>2</v>
      </c>
      <c r="B6" t="s">
        <v>9</v>
      </c>
      <c r="C6">
        <v>830</v>
      </c>
    </row>
    <row r="7" spans="1:4" x14ac:dyDescent="0.2">
      <c r="A7" t="s">
        <v>3</v>
      </c>
      <c r="B7" t="s">
        <v>10</v>
      </c>
      <c r="C7">
        <v>1088</v>
      </c>
    </row>
    <row r="8" spans="1:4" x14ac:dyDescent="0.2">
      <c r="A8" t="s">
        <v>4</v>
      </c>
      <c r="B8" t="s">
        <v>11</v>
      </c>
      <c r="C8">
        <v>1187</v>
      </c>
    </row>
    <row r="9" spans="1:4" x14ac:dyDescent="0.2">
      <c r="A9" t="s">
        <v>5</v>
      </c>
      <c r="B9" t="s">
        <v>12</v>
      </c>
      <c r="C9">
        <v>915</v>
      </c>
    </row>
    <row r="10" spans="1:4" x14ac:dyDescent="0.2">
      <c r="A10" t="s">
        <v>6</v>
      </c>
      <c r="B10" t="s">
        <v>13</v>
      </c>
      <c r="C10">
        <v>410</v>
      </c>
    </row>
    <row r="11" spans="1:4" x14ac:dyDescent="0.2">
      <c r="A11" t="s">
        <v>14</v>
      </c>
      <c r="B11" t="s">
        <v>7</v>
      </c>
      <c r="C11">
        <v>33</v>
      </c>
    </row>
    <row r="13" spans="1:4" ht="18.75" x14ac:dyDescent="0.25">
      <c r="A13" s="12" t="s">
        <v>89</v>
      </c>
      <c r="B13" s="13"/>
    </row>
    <row r="14" spans="1:4" x14ac:dyDescent="0.2">
      <c r="A14" s="56" t="s">
        <v>87</v>
      </c>
      <c r="B14" s="56" t="s">
        <v>90</v>
      </c>
      <c r="C14" s="56" t="s">
        <v>91</v>
      </c>
      <c r="D14" s="56" t="s">
        <v>92</v>
      </c>
    </row>
    <row r="15" spans="1:4" x14ac:dyDescent="0.2">
      <c r="A15" t="str">
        <f t="shared" ref="A15:A21" si="0">A4</f>
        <v>Nexans SA</v>
      </c>
      <c r="B15">
        <v>0.39</v>
      </c>
      <c r="C15">
        <v>5.4</v>
      </c>
      <c r="D15">
        <v>9.6</v>
      </c>
    </row>
    <row r="16" spans="1:4" x14ac:dyDescent="0.2">
      <c r="A16" t="str">
        <f t="shared" si="0"/>
        <v>Prysmian SpA</v>
      </c>
      <c r="B16">
        <v>0.57999999999999996</v>
      </c>
      <c r="C16">
        <v>7.4</v>
      </c>
      <c r="D16">
        <v>9.8000000000000007</v>
      </c>
    </row>
    <row r="17" spans="1:5" x14ac:dyDescent="0.2">
      <c r="A17" t="str">
        <f t="shared" si="0"/>
        <v>Leoni AG</v>
      </c>
      <c r="B17">
        <v>0.34</v>
      </c>
      <c r="C17">
        <v>3.7</v>
      </c>
      <c r="D17">
        <v>5.5</v>
      </c>
    </row>
    <row r="18" spans="1:5" x14ac:dyDescent="0.2">
      <c r="A18" t="str">
        <f t="shared" si="0"/>
        <v>General Cable Corp.</v>
      </c>
      <c r="B18" s="31">
        <v>0.4</v>
      </c>
      <c r="C18">
        <v>6.5</v>
      </c>
      <c r="D18">
        <v>9.1999999999999993</v>
      </c>
    </row>
    <row r="19" spans="1:5" x14ac:dyDescent="0.2">
      <c r="A19" t="str">
        <f t="shared" si="0"/>
        <v>Beckaert SA</v>
      </c>
      <c r="B19">
        <v>0.63</v>
      </c>
      <c r="C19">
        <v>6.3</v>
      </c>
      <c r="D19">
        <v>14.8</v>
      </c>
    </row>
    <row r="20" spans="1:5" x14ac:dyDescent="0.2">
      <c r="A20" t="str">
        <f t="shared" si="0"/>
        <v>Bobycote PLC</v>
      </c>
      <c r="B20">
        <v>1.29</v>
      </c>
      <c r="C20">
        <v>5.3</v>
      </c>
      <c r="D20">
        <v>8.3000000000000007</v>
      </c>
    </row>
    <row r="21" spans="1:5" x14ac:dyDescent="0.2">
      <c r="A21" t="str">
        <f t="shared" si="0"/>
        <v>Asahi Diamond Industrial Co</v>
      </c>
      <c r="B21">
        <v>0.94</v>
      </c>
      <c r="C21">
        <v>4.4000000000000004</v>
      </c>
      <c r="D21">
        <v>7.5</v>
      </c>
    </row>
    <row r="23" spans="1:5" x14ac:dyDescent="0.2">
      <c r="A23" s="5" t="s">
        <v>81</v>
      </c>
      <c r="B23" s="64">
        <f>AVERAGE(B15:B21)</f>
        <v>0.65285714285714291</v>
      </c>
      <c r="C23" s="64">
        <f t="shared" ref="C23:D23" si="1">AVERAGE(C15:C21)</f>
        <v>5.5714285714285712</v>
      </c>
      <c r="D23" s="64">
        <f t="shared" si="1"/>
        <v>9.242857142857142</v>
      </c>
    </row>
    <row r="24" spans="1:5" x14ac:dyDescent="0.2">
      <c r="A24" s="5" t="s">
        <v>93</v>
      </c>
      <c r="B24" s="5">
        <f>MEDIAN(B15:B21)</f>
        <v>0.57999999999999996</v>
      </c>
      <c r="C24" s="64">
        <f t="shared" ref="C24:D24" si="2">MEDIAN(C15:C21)</f>
        <v>5.4</v>
      </c>
      <c r="D24" s="64">
        <f t="shared" si="2"/>
        <v>9.1999999999999993</v>
      </c>
    </row>
    <row r="26" spans="1:5" x14ac:dyDescent="0.2">
      <c r="B26" s="56" t="s">
        <v>94</v>
      </c>
      <c r="C26" s="56" t="s">
        <v>16</v>
      </c>
      <c r="D26" s="56" t="s">
        <v>18</v>
      </c>
      <c r="E26" s="56" t="s">
        <v>81</v>
      </c>
    </row>
    <row r="27" spans="1:5" x14ac:dyDescent="0.2">
      <c r="A27" s="5" t="s">
        <v>32</v>
      </c>
      <c r="B27" s="8">
        <v>77910</v>
      </c>
      <c r="C27" s="8">
        <v>8055</v>
      </c>
      <c r="D27" s="8">
        <v>6173</v>
      </c>
    </row>
    <row r="28" spans="1:5" x14ac:dyDescent="0.2">
      <c r="A28" t="s">
        <v>97</v>
      </c>
      <c r="B28" s="50">
        <f>B27*B23</f>
        <v>50864.100000000006</v>
      </c>
      <c r="C28" s="50">
        <f t="shared" ref="C28:D28" si="3">C27*C23</f>
        <v>44877.857142857138</v>
      </c>
      <c r="D28" s="50">
        <f t="shared" si="3"/>
        <v>57056.157142857141</v>
      </c>
    </row>
    <row r="29" spans="1:5" x14ac:dyDescent="0.2">
      <c r="A29" t="s">
        <v>96</v>
      </c>
      <c r="B29" s="50">
        <f>B27*B24</f>
        <v>45187.799999999996</v>
      </c>
      <c r="C29" s="50">
        <f t="shared" ref="C29:D29" si="4">C27*C24</f>
        <v>43497</v>
      </c>
      <c r="D29" s="50">
        <f t="shared" si="4"/>
        <v>56791.6</v>
      </c>
    </row>
    <row r="30" spans="1:5" x14ac:dyDescent="0.2">
      <c r="A30" t="s">
        <v>95</v>
      </c>
      <c r="B30" s="50">
        <f>(B28+B29)/2</f>
        <v>48025.95</v>
      </c>
      <c r="C30" s="50">
        <f t="shared" ref="C30:D30" si="5">(C28+C29)/2</f>
        <v>44187.428571428565</v>
      </c>
      <c r="D30" s="50">
        <f t="shared" si="5"/>
        <v>56923.87857142857</v>
      </c>
    </row>
    <row r="31" spans="1:5" x14ac:dyDescent="0.2">
      <c r="A31" t="s">
        <v>98</v>
      </c>
      <c r="B31" s="50">
        <f>B30*0.75</f>
        <v>36019.462499999994</v>
      </c>
      <c r="C31" s="50">
        <f t="shared" ref="C31:D31" si="6">C30*0.75</f>
        <v>33140.57142857142</v>
      </c>
      <c r="D31" s="50">
        <f t="shared" si="6"/>
        <v>42692.908928571429</v>
      </c>
      <c r="E31" s="6">
        <f>AVERAGE(B31:D31)</f>
        <v>37284.314285714281</v>
      </c>
    </row>
    <row r="32" spans="1:5" x14ac:dyDescent="0.2">
      <c r="A32" t="s">
        <v>50</v>
      </c>
      <c r="B32">
        <v>7059</v>
      </c>
      <c r="C32">
        <f>B32</f>
        <v>7059</v>
      </c>
      <c r="D32">
        <f>C32</f>
        <v>7059</v>
      </c>
      <c r="E32" s="6">
        <f t="shared" ref="E32:E35" si="7">AVERAGE(B32:D32)</f>
        <v>7059</v>
      </c>
    </row>
    <row r="33" spans="1:7" x14ac:dyDescent="0.2">
      <c r="A33" t="s">
        <v>99</v>
      </c>
      <c r="B33" s="50">
        <f>B31-B32</f>
        <v>28960.462499999994</v>
      </c>
      <c r="C33" s="50">
        <f t="shared" ref="C33:E33" si="8">C31-C32</f>
        <v>26081.57142857142</v>
      </c>
      <c r="D33" s="50">
        <f t="shared" si="8"/>
        <v>35633.908928571429</v>
      </c>
      <c r="E33" s="50">
        <f t="shared" si="8"/>
        <v>30225.314285714281</v>
      </c>
      <c r="G33">
        <v>22130</v>
      </c>
    </row>
    <row r="34" spans="1:7" x14ac:dyDescent="0.2">
      <c r="A34" t="s">
        <v>100</v>
      </c>
      <c r="B34" s="6">
        <v>1544.855</v>
      </c>
      <c r="C34" s="6">
        <f>B34</f>
        <v>1544.855</v>
      </c>
      <c r="D34" s="6">
        <f>C34</f>
        <v>1544.855</v>
      </c>
      <c r="E34" s="6">
        <f t="shared" si="7"/>
        <v>1544.8550000000002</v>
      </c>
      <c r="G34" s="6">
        <f>E34</f>
        <v>1544.8550000000002</v>
      </c>
    </row>
    <row r="35" spans="1:7" x14ac:dyDescent="0.2">
      <c r="A35" s="18" t="s">
        <v>101</v>
      </c>
      <c r="B35" s="58">
        <f>B33/B34</f>
        <v>18.746395292762099</v>
      </c>
      <c r="C35" s="58">
        <f t="shared" ref="C35:D35" si="9">C33/C34</f>
        <v>16.882860481126979</v>
      </c>
      <c r="D35" s="58">
        <f t="shared" si="9"/>
        <v>23.066183511443747</v>
      </c>
      <c r="E35" s="57">
        <f t="shared" si="7"/>
        <v>19.565146428444276</v>
      </c>
      <c r="G35" s="31">
        <f>G33/G34</f>
        <v>14.324969010036538</v>
      </c>
    </row>
    <row r="37" spans="1:7" x14ac:dyDescent="0.2">
      <c r="A37" s="38" t="s">
        <v>102</v>
      </c>
    </row>
    <row r="38" spans="1:7" x14ac:dyDescent="0.2">
      <c r="A38" s="2" t="s">
        <v>103</v>
      </c>
    </row>
    <row r="39" spans="1:7" x14ac:dyDescent="0.2">
      <c r="A39" s="2" t="s">
        <v>104</v>
      </c>
    </row>
    <row r="40" spans="1:7" x14ac:dyDescent="0.2">
      <c r="A40" s="2" t="s">
        <v>105</v>
      </c>
    </row>
    <row r="41" spans="1:7" x14ac:dyDescent="0.2">
      <c r="A41" s="2" t="s">
        <v>106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4"/>
  <sheetViews>
    <sheetView topLeftCell="A44" zoomScale="120" zoomScaleNormal="120" workbookViewId="0">
      <selection activeCell="L53" sqref="L53"/>
    </sheetView>
  </sheetViews>
  <sheetFormatPr defaultColWidth="10.76171875" defaultRowHeight="15" x14ac:dyDescent="0.2"/>
  <cols>
    <col min="1" max="2" width="29.45703125" customWidth="1"/>
    <col min="5" max="5" width="13.98828125" customWidth="1"/>
  </cols>
  <sheetData>
    <row r="1" spans="1:6" ht="18.75" x14ac:dyDescent="0.25">
      <c r="A1" t="s">
        <v>219</v>
      </c>
      <c r="B1" s="12" t="s">
        <v>108</v>
      </c>
      <c r="C1" s="13"/>
    </row>
    <row r="3" spans="1:6" x14ac:dyDescent="0.2">
      <c r="A3" t="s">
        <v>220</v>
      </c>
      <c r="B3" s="18" t="s">
        <v>109</v>
      </c>
      <c r="C3" s="13"/>
    </row>
    <row r="4" spans="1:6" x14ac:dyDescent="0.2">
      <c r="C4" s="37" t="s">
        <v>110</v>
      </c>
      <c r="D4" s="37"/>
      <c r="F4" s="38"/>
    </row>
    <row r="5" spans="1:6" x14ac:dyDescent="0.2">
      <c r="A5" t="s">
        <v>221</v>
      </c>
      <c r="B5" t="s">
        <v>111</v>
      </c>
      <c r="C5" s="29">
        <v>0.33329999999999999</v>
      </c>
      <c r="D5" s="29"/>
      <c r="E5" s="2" t="s">
        <v>149</v>
      </c>
      <c r="F5" s="2" t="s">
        <v>111</v>
      </c>
    </row>
    <row r="6" spans="1:6" x14ac:dyDescent="0.2">
      <c r="A6" t="s">
        <v>222</v>
      </c>
      <c r="B6" t="s">
        <v>112</v>
      </c>
      <c r="C6" s="29">
        <v>2.1000000000000001E-2</v>
      </c>
      <c r="D6" s="29"/>
      <c r="E6" s="2" t="str">
        <f>E5</f>
        <v>Given</v>
      </c>
      <c r="F6" s="2" t="s">
        <v>115</v>
      </c>
    </row>
    <row r="7" spans="1:6" x14ac:dyDescent="0.2">
      <c r="A7" t="s">
        <v>223</v>
      </c>
      <c r="B7" t="s">
        <v>113</v>
      </c>
      <c r="C7" s="29">
        <v>7.0999999999999994E-2</v>
      </c>
      <c r="D7" s="29"/>
      <c r="E7" s="2" t="str">
        <f>E6</f>
        <v>Given</v>
      </c>
      <c r="F7" s="2" t="s">
        <v>116</v>
      </c>
    </row>
    <row r="8" spans="1:6" x14ac:dyDescent="0.2">
      <c r="A8" t="s">
        <v>226</v>
      </c>
      <c r="B8" t="s">
        <v>114</v>
      </c>
      <c r="C8">
        <v>1.25</v>
      </c>
      <c r="D8" s="31"/>
      <c r="E8" s="2" t="str">
        <f>E7</f>
        <v>Given</v>
      </c>
      <c r="F8" s="2" t="s">
        <v>117</v>
      </c>
    </row>
    <row r="9" spans="1:6" x14ac:dyDescent="0.2">
      <c r="A9" t="s">
        <v>224</v>
      </c>
      <c r="B9" t="s">
        <v>80</v>
      </c>
      <c r="C9" s="30">
        <v>0.25</v>
      </c>
      <c r="D9" s="30"/>
      <c r="E9" s="2" t="str">
        <f>E8</f>
        <v>Given</v>
      </c>
      <c r="F9" s="2" t="s">
        <v>118</v>
      </c>
    </row>
    <row r="10" spans="1:6" x14ac:dyDescent="0.2">
      <c r="A10" t="s">
        <v>225</v>
      </c>
      <c r="B10" t="s">
        <v>25</v>
      </c>
      <c r="C10" s="31">
        <f>C8*(1+C9*(1-C5))</f>
        <v>1.45834375</v>
      </c>
      <c r="D10" s="31"/>
      <c r="E10" s="36" t="str">
        <f>E12</f>
        <v>To be calculated</v>
      </c>
      <c r="F10" s="2" t="s">
        <v>120</v>
      </c>
    </row>
    <row r="11" spans="1:6" x14ac:dyDescent="0.2">
      <c r="A11" t="s">
        <v>24</v>
      </c>
      <c r="B11" t="s">
        <v>227</v>
      </c>
      <c r="C11" s="29">
        <v>3.4000000000000002E-2</v>
      </c>
      <c r="D11" s="29"/>
      <c r="E11" s="2" t="str">
        <f>E9</f>
        <v>Given</v>
      </c>
      <c r="F11" s="2" t="s">
        <v>119</v>
      </c>
    </row>
    <row r="12" spans="1:6" x14ac:dyDescent="0.2">
      <c r="A12" t="s">
        <v>228</v>
      </c>
      <c r="B12" s="5" t="s">
        <v>124</v>
      </c>
      <c r="C12" s="35">
        <f>C6+C7*C10+C11</f>
        <v>0.15854240624999999</v>
      </c>
      <c r="D12" s="35"/>
      <c r="E12" s="36" t="s">
        <v>148</v>
      </c>
      <c r="F12" s="2" t="s">
        <v>121</v>
      </c>
    </row>
    <row r="13" spans="1:6" x14ac:dyDescent="0.2">
      <c r="A13" t="s">
        <v>229</v>
      </c>
      <c r="B13" t="s">
        <v>125</v>
      </c>
      <c r="C13" s="29">
        <v>0.04</v>
      </c>
      <c r="D13" s="29"/>
      <c r="E13" s="2" t="str">
        <f>E9</f>
        <v>Given</v>
      </c>
      <c r="F13" s="2" t="s">
        <v>122</v>
      </c>
    </row>
    <row r="14" spans="1:6" x14ac:dyDescent="0.2">
      <c r="A14" t="s">
        <v>230</v>
      </c>
      <c r="B14" s="5" t="s">
        <v>126</v>
      </c>
      <c r="C14" s="34">
        <f>C13*(1-C5)</f>
        <v>2.6668000000000004E-2</v>
      </c>
      <c r="D14" s="34"/>
      <c r="E14" s="36" t="str">
        <f>E12</f>
        <v>To be calculated</v>
      </c>
      <c r="F14" s="2" t="str">
        <f>F10</f>
        <v>Formula</v>
      </c>
    </row>
    <row r="15" spans="1:6" x14ac:dyDescent="0.2">
      <c r="B15" t="s">
        <v>26</v>
      </c>
      <c r="C15" s="32">
        <f>C9/(1+C9)</f>
        <v>0.2</v>
      </c>
      <c r="D15" s="32"/>
      <c r="E15" s="36" t="str">
        <f>E14</f>
        <v>To be calculated</v>
      </c>
      <c r="F15" s="2" t="str">
        <f>F14</f>
        <v>Formula</v>
      </c>
    </row>
    <row r="16" spans="1:6" x14ac:dyDescent="0.2">
      <c r="B16" t="s">
        <v>27</v>
      </c>
      <c r="C16" s="32">
        <f>1/(1+C9)</f>
        <v>0.8</v>
      </c>
      <c r="D16" s="32"/>
      <c r="E16" s="36" t="str">
        <f t="shared" ref="E16" si="0">E14</f>
        <v>To be calculated</v>
      </c>
      <c r="F16" s="2" t="str">
        <f t="shared" ref="F16:F17" si="1">F15</f>
        <v>Formula</v>
      </c>
    </row>
    <row r="17" spans="1:12" x14ac:dyDescent="0.2">
      <c r="B17" s="18" t="s">
        <v>123</v>
      </c>
      <c r="C17" s="33">
        <f>C12*C16+C15*C14</f>
        <v>0.13216752499999998</v>
      </c>
      <c r="D17" s="69"/>
      <c r="E17" s="36" t="str">
        <f>E14</f>
        <v>To be calculated</v>
      </c>
      <c r="F17" s="2" t="str">
        <f t="shared" si="1"/>
        <v>Formula</v>
      </c>
    </row>
    <row r="19" spans="1:12" x14ac:dyDescent="0.2">
      <c r="A19" t="s">
        <v>231</v>
      </c>
      <c r="B19" s="5" t="s">
        <v>127</v>
      </c>
    </row>
    <row r="20" spans="1:12" x14ac:dyDescent="0.2">
      <c r="A20" t="s">
        <v>232</v>
      </c>
      <c r="B20" t="s">
        <v>128</v>
      </c>
    </row>
    <row r="21" spans="1:12" x14ac:dyDescent="0.2">
      <c r="A21" t="s">
        <v>221</v>
      </c>
      <c r="B21" t="s">
        <v>111</v>
      </c>
      <c r="C21" s="29"/>
    </row>
    <row r="22" spans="1:12" x14ac:dyDescent="0.2">
      <c r="A22" t="s">
        <v>233</v>
      </c>
      <c r="B22" t="s">
        <v>129</v>
      </c>
      <c r="C22" s="6"/>
    </row>
    <row r="23" spans="1:12" x14ac:dyDescent="0.2">
      <c r="A23" t="s">
        <v>234</v>
      </c>
      <c r="B23" t="s">
        <v>130</v>
      </c>
      <c r="C23" s="6"/>
      <c r="D23" s="2" t="s">
        <v>138</v>
      </c>
    </row>
    <row r="24" spans="1:12" x14ac:dyDescent="0.2">
      <c r="A24" t="s">
        <v>235</v>
      </c>
      <c r="B24" s="18" t="s">
        <v>131</v>
      </c>
      <c r="C24" s="63"/>
      <c r="D24" s="2" t="s">
        <v>137</v>
      </c>
      <c r="F24" s="42">
        <v>0.02</v>
      </c>
      <c r="G24" s="2" t="s">
        <v>139</v>
      </c>
      <c r="H24" s="2"/>
    </row>
    <row r="25" spans="1:12" x14ac:dyDescent="0.2">
      <c r="A25" t="s">
        <v>236</v>
      </c>
      <c r="B25" t="s">
        <v>132</v>
      </c>
      <c r="C25" s="30"/>
      <c r="D25" s="2" t="s">
        <v>28</v>
      </c>
      <c r="E25" s="7">
        <v>5.0000000000000001E-3</v>
      </c>
      <c r="F25" s="2" t="s">
        <v>140</v>
      </c>
    </row>
    <row r="26" spans="1:12" x14ac:dyDescent="0.2">
      <c r="A26" t="s">
        <v>18</v>
      </c>
      <c r="B26" t="s">
        <v>18</v>
      </c>
      <c r="C26" s="30"/>
      <c r="D26" s="2"/>
      <c r="E26" s="7">
        <v>5.0000000000000001E-3</v>
      </c>
      <c r="F26" s="2" t="str">
        <f>F25</f>
        <v>increase/year until 2016</v>
      </c>
    </row>
    <row r="27" spans="1:12" x14ac:dyDescent="0.2">
      <c r="A27" t="s">
        <v>237</v>
      </c>
      <c r="B27" t="s">
        <v>133</v>
      </c>
      <c r="C27" s="30"/>
      <c r="D27" s="2"/>
      <c r="E27" s="30"/>
      <c r="F27" s="2"/>
    </row>
    <row r="28" spans="1:12" x14ac:dyDescent="0.2">
      <c r="A28" t="s">
        <v>238</v>
      </c>
      <c r="B28" s="52" t="s">
        <v>134</v>
      </c>
      <c r="C28" s="53"/>
      <c r="D28" s="2" t="s">
        <v>141</v>
      </c>
      <c r="E28" s="30"/>
      <c r="F28" s="2"/>
    </row>
    <row r="29" spans="1:12" x14ac:dyDescent="0.2">
      <c r="A29" t="s">
        <v>239</v>
      </c>
      <c r="B29" t="s">
        <v>135</v>
      </c>
      <c r="C29" s="41">
        <v>0.05</v>
      </c>
      <c r="D29" s="2"/>
      <c r="E29" s="30"/>
      <c r="F29" s="2"/>
    </row>
    <row r="30" spans="1:12" x14ac:dyDescent="0.2">
      <c r="A30" t="s">
        <v>240</v>
      </c>
      <c r="B30" s="18" t="s">
        <v>136</v>
      </c>
      <c r="C30" s="33">
        <f>C17</f>
        <v>0.13216752499999998</v>
      </c>
      <c r="D30" s="2"/>
      <c r="E30" s="30"/>
      <c r="F30" s="2"/>
    </row>
    <row r="32" spans="1:12" x14ac:dyDescent="0.2">
      <c r="C32" s="5">
        <v>2012</v>
      </c>
      <c r="D32" s="49">
        <f>C32+1</f>
        <v>2013</v>
      </c>
      <c r="E32" s="49">
        <f t="shared" ref="E32:G32" si="2">D32+1</f>
        <v>2014</v>
      </c>
      <c r="F32" s="49">
        <f t="shared" si="2"/>
        <v>2015</v>
      </c>
      <c r="G32" s="49">
        <f t="shared" si="2"/>
        <v>2016</v>
      </c>
      <c r="H32" s="49">
        <f t="shared" ref="H32" si="3">G32+1</f>
        <v>2017</v>
      </c>
      <c r="I32" s="49">
        <f t="shared" ref="I32" si="4">H32+1</f>
        <v>2018</v>
      </c>
      <c r="J32" s="49">
        <f t="shared" ref="J32" si="5">I32+1</f>
        <v>2019</v>
      </c>
      <c r="K32" s="49">
        <f t="shared" ref="K32:L32" si="6">J32+1</f>
        <v>2020</v>
      </c>
      <c r="L32" s="5">
        <f t="shared" si="6"/>
        <v>2021</v>
      </c>
    </row>
    <row r="33" spans="1:12" x14ac:dyDescent="0.2">
      <c r="A33" t="s">
        <v>241</v>
      </c>
      <c r="B33" t="s">
        <v>143</v>
      </c>
      <c r="C33" s="50">
        <v>74015</v>
      </c>
      <c r="D33" s="50">
        <f>C33*(1+5%)</f>
        <v>77715.75</v>
      </c>
      <c r="E33" s="50">
        <f t="shared" ref="E33:L33" si="7">D33*(1+5%)</f>
        <v>81601.537500000006</v>
      </c>
      <c r="F33" s="50">
        <f t="shared" si="7"/>
        <v>85681.614375000005</v>
      </c>
      <c r="G33" s="50">
        <f>F33*(1+5%)</f>
        <v>89965.695093750008</v>
      </c>
      <c r="H33" s="50">
        <f t="shared" ref="H33:L33" si="8">G33*(1+2%)</f>
        <v>91765.008995625016</v>
      </c>
      <c r="I33" s="50">
        <f t="shared" si="8"/>
        <v>93600.309175537521</v>
      </c>
      <c r="J33" s="50">
        <f t="shared" si="8"/>
        <v>95472.315359048269</v>
      </c>
      <c r="K33" s="50">
        <f t="shared" si="8"/>
        <v>97381.761666229242</v>
      </c>
      <c r="L33" s="50">
        <f t="shared" si="8"/>
        <v>99329.396899553831</v>
      </c>
    </row>
    <row r="34" spans="1:12" x14ac:dyDescent="0.2">
      <c r="A34" t="s">
        <v>236</v>
      </c>
      <c r="B34" s="2" t="s">
        <v>132</v>
      </c>
      <c r="C34" s="73">
        <f>10%</f>
        <v>0.1</v>
      </c>
      <c r="D34" s="70">
        <f>10.5%</f>
        <v>0.105</v>
      </c>
      <c r="E34" s="73">
        <f>11%</f>
        <v>0.11</v>
      </c>
      <c r="F34" s="70">
        <f>11.5%</f>
        <v>0.115</v>
      </c>
      <c r="G34" s="73">
        <f>12%</f>
        <v>0.12</v>
      </c>
      <c r="H34" s="73">
        <f>12%</f>
        <v>0.12</v>
      </c>
      <c r="I34" s="73">
        <f>12%</f>
        <v>0.12</v>
      </c>
      <c r="J34" s="73">
        <f>12%</f>
        <v>0.12</v>
      </c>
      <c r="K34" s="73">
        <f>12%</f>
        <v>0.12</v>
      </c>
      <c r="L34" s="73">
        <f>12%</f>
        <v>0.12</v>
      </c>
    </row>
    <row r="35" spans="1:12" x14ac:dyDescent="0.2">
      <c r="B35" t="s">
        <v>16</v>
      </c>
      <c r="C35" s="50">
        <f>C33*C34</f>
        <v>7401.5</v>
      </c>
      <c r="D35" s="50">
        <f t="shared" ref="D35:L35" si="9">D33*D34</f>
        <v>8160.1537499999995</v>
      </c>
      <c r="E35" s="50">
        <f t="shared" si="9"/>
        <v>8976.1691250000003</v>
      </c>
      <c r="F35" s="50">
        <f t="shared" si="9"/>
        <v>9853.3856531250003</v>
      </c>
      <c r="G35" s="50">
        <f t="shared" si="9"/>
        <v>10795.883411250001</v>
      </c>
      <c r="H35" s="50">
        <f t="shared" si="9"/>
        <v>11011.801079475001</v>
      </c>
      <c r="I35" s="50">
        <f t="shared" si="9"/>
        <v>11232.037101064501</v>
      </c>
      <c r="J35" s="50">
        <f t="shared" si="9"/>
        <v>11456.677843085792</v>
      </c>
      <c r="K35" s="50">
        <f t="shared" si="9"/>
        <v>11685.811399947508</v>
      </c>
      <c r="L35" s="50">
        <f t="shared" si="9"/>
        <v>11919.52762794646</v>
      </c>
    </row>
    <row r="36" spans="1:12" x14ac:dyDescent="0.2">
      <c r="B36" s="2" t="s">
        <v>142</v>
      </c>
      <c r="C36" s="70">
        <f>8%</f>
        <v>0.08</v>
      </c>
      <c r="D36" s="70">
        <v>8.5000000000000006E-2</v>
      </c>
      <c r="E36" s="70">
        <v>0.09</v>
      </c>
      <c r="F36" s="70">
        <v>9.5000000000000001E-2</v>
      </c>
      <c r="G36" s="70">
        <v>0.1</v>
      </c>
      <c r="H36" s="70">
        <v>0.1</v>
      </c>
      <c r="I36" s="70">
        <v>0.1</v>
      </c>
      <c r="J36" s="70">
        <v>0.1</v>
      </c>
      <c r="K36" s="70">
        <v>0.1</v>
      </c>
      <c r="L36" s="70">
        <v>0.1</v>
      </c>
    </row>
    <row r="37" spans="1:12" x14ac:dyDescent="0.2">
      <c r="B37" t="s">
        <v>18</v>
      </c>
      <c r="C37" s="50">
        <f>C36*C33</f>
        <v>5921.2</v>
      </c>
      <c r="D37" s="50">
        <f t="shared" ref="D37:L37" si="10">D36*D33</f>
        <v>6605.8387500000008</v>
      </c>
      <c r="E37" s="50">
        <f t="shared" si="10"/>
        <v>7344.1383750000005</v>
      </c>
      <c r="F37" s="50">
        <f t="shared" si="10"/>
        <v>8139.7533656250007</v>
      </c>
      <c r="G37" s="50">
        <f t="shared" si="10"/>
        <v>8996.5695093750019</v>
      </c>
      <c r="H37" s="50">
        <f t="shared" si="10"/>
        <v>9176.5008995625012</v>
      </c>
      <c r="I37" s="50">
        <f t="shared" si="10"/>
        <v>9360.0309175537532</v>
      </c>
      <c r="J37" s="50">
        <f t="shared" si="10"/>
        <v>9547.231535904828</v>
      </c>
      <c r="K37" s="50">
        <f t="shared" si="10"/>
        <v>9738.1761666229249</v>
      </c>
      <c r="L37" s="50">
        <f t="shared" si="10"/>
        <v>9932.9396899553831</v>
      </c>
    </row>
    <row r="38" spans="1:12" x14ac:dyDescent="0.2">
      <c r="A38" t="s">
        <v>242</v>
      </c>
      <c r="B38" s="2" t="s">
        <v>144</v>
      </c>
      <c r="C38" s="74">
        <f>C35-C37</f>
        <v>1480.3000000000002</v>
      </c>
      <c r="D38" s="74">
        <f t="shared" ref="D38:L38" si="11">D35-D37</f>
        <v>1554.3149999999987</v>
      </c>
      <c r="E38" s="74">
        <f t="shared" si="11"/>
        <v>1632.0307499999999</v>
      </c>
      <c r="F38" s="74">
        <f t="shared" si="11"/>
        <v>1713.6322874999996</v>
      </c>
      <c r="G38" s="74">
        <f t="shared" si="11"/>
        <v>1799.3139018749989</v>
      </c>
      <c r="H38" s="74">
        <f t="shared" si="11"/>
        <v>1835.3001799124995</v>
      </c>
      <c r="I38" s="74">
        <f t="shared" si="11"/>
        <v>1872.0061835107481</v>
      </c>
      <c r="J38" s="74">
        <f t="shared" si="11"/>
        <v>1909.4463071809641</v>
      </c>
      <c r="K38" s="74">
        <f t="shared" si="11"/>
        <v>1947.6352333245832</v>
      </c>
      <c r="L38" s="74">
        <f t="shared" si="11"/>
        <v>1986.5879379910766</v>
      </c>
    </row>
    <row r="39" spans="1:12" x14ac:dyDescent="0.2">
      <c r="A39" t="s">
        <v>243</v>
      </c>
      <c r="B39" t="s">
        <v>145</v>
      </c>
      <c r="C39" s="50">
        <f>C37*$C$5</f>
        <v>1973.5359599999999</v>
      </c>
      <c r="D39" s="50">
        <f t="shared" ref="D39:L39" si="12">D37*$C$5</f>
        <v>2201.7260553750002</v>
      </c>
      <c r="E39" s="50">
        <f t="shared" si="12"/>
        <v>2447.8013203875003</v>
      </c>
      <c r="F39" s="50">
        <f t="shared" si="12"/>
        <v>2712.9797967628124</v>
      </c>
      <c r="G39" s="50">
        <f t="shared" si="12"/>
        <v>2998.5566174746882</v>
      </c>
      <c r="H39" s="50">
        <f t="shared" si="12"/>
        <v>3058.5277498241817</v>
      </c>
      <c r="I39" s="50">
        <f t="shared" si="12"/>
        <v>3119.6983048206657</v>
      </c>
      <c r="J39" s="50">
        <f t="shared" si="12"/>
        <v>3182.0922709170791</v>
      </c>
      <c r="K39" s="50">
        <f t="shared" si="12"/>
        <v>3245.7341163354208</v>
      </c>
      <c r="L39" s="50">
        <f t="shared" si="12"/>
        <v>3310.6487986621291</v>
      </c>
    </row>
    <row r="40" spans="1:12" x14ac:dyDescent="0.2">
      <c r="A40" t="s">
        <v>244</v>
      </c>
      <c r="B40" t="s">
        <v>29</v>
      </c>
      <c r="C40" s="50">
        <f>C37*(1-$C$5)</f>
        <v>3947.6640400000001</v>
      </c>
      <c r="D40" s="50">
        <f t="shared" ref="D40:L40" si="13">D37*(1-$C$5)</f>
        <v>4404.1126946250006</v>
      </c>
      <c r="E40" s="50">
        <f t="shared" si="13"/>
        <v>4896.3370546125007</v>
      </c>
      <c r="F40" s="50">
        <f t="shared" si="13"/>
        <v>5426.7735688621888</v>
      </c>
      <c r="G40" s="50">
        <f t="shared" si="13"/>
        <v>5998.0128919003146</v>
      </c>
      <c r="H40" s="50">
        <f t="shared" si="13"/>
        <v>6117.97314973832</v>
      </c>
      <c r="I40" s="50">
        <f t="shared" si="13"/>
        <v>6240.3326127330874</v>
      </c>
      <c r="J40" s="50">
        <f t="shared" si="13"/>
        <v>6365.1392649877498</v>
      </c>
      <c r="K40" s="50">
        <f t="shared" si="13"/>
        <v>6492.4420502875046</v>
      </c>
      <c r="L40" s="50">
        <f t="shared" si="13"/>
        <v>6622.2908912932544</v>
      </c>
    </row>
    <row r="41" spans="1:12" x14ac:dyDescent="0.2">
      <c r="A41" t="s">
        <v>245</v>
      </c>
      <c r="B41" t="s">
        <v>146</v>
      </c>
      <c r="C41" s="50">
        <f>15%*C33</f>
        <v>11102.25</v>
      </c>
      <c r="D41" s="50">
        <f t="shared" ref="D41:L41" si="14">15%*D33</f>
        <v>11657.362499999999</v>
      </c>
      <c r="E41" s="50">
        <f t="shared" si="14"/>
        <v>12240.230625</v>
      </c>
      <c r="F41" s="50">
        <f t="shared" si="14"/>
        <v>12852.24215625</v>
      </c>
      <c r="G41" s="50">
        <f t="shared" si="14"/>
        <v>13494.8542640625</v>
      </c>
      <c r="H41" s="50">
        <f t="shared" si="14"/>
        <v>13764.751349343753</v>
      </c>
      <c r="I41" s="50">
        <f t="shared" si="14"/>
        <v>14040.046376330627</v>
      </c>
      <c r="J41" s="50">
        <f t="shared" si="14"/>
        <v>14320.847303857239</v>
      </c>
      <c r="K41" s="50">
        <f t="shared" si="14"/>
        <v>14607.264249934386</v>
      </c>
      <c r="L41" s="50">
        <f t="shared" si="14"/>
        <v>14899.409534933075</v>
      </c>
    </row>
    <row r="42" spans="1:12" x14ac:dyDescent="0.2">
      <c r="B42" t="s">
        <v>147</v>
      </c>
      <c r="C42" s="50"/>
      <c r="D42" s="50">
        <f>D41-C41</f>
        <v>555.11249999999927</v>
      </c>
      <c r="E42" s="50">
        <f t="shared" ref="E42:L42" si="15">E41-D41</f>
        <v>582.86812500000087</v>
      </c>
      <c r="F42" s="50">
        <f t="shared" si="15"/>
        <v>612.01153125000019</v>
      </c>
      <c r="G42" s="50">
        <f t="shared" si="15"/>
        <v>642.61210781249974</v>
      </c>
      <c r="H42" s="50">
        <f t="shared" si="15"/>
        <v>269.89708528125266</v>
      </c>
      <c r="I42" s="50">
        <f t="shared" si="15"/>
        <v>275.29502698687429</v>
      </c>
      <c r="J42" s="50">
        <f t="shared" si="15"/>
        <v>280.80092752661221</v>
      </c>
      <c r="K42" s="50">
        <f t="shared" si="15"/>
        <v>286.41694607714635</v>
      </c>
      <c r="L42" s="50">
        <f t="shared" si="15"/>
        <v>292.14528499868902</v>
      </c>
    </row>
    <row r="43" spans="1:12" x14ac:dyDescent="0.2">
      <c r="A43" t="s">
        <v>246</v>
      </c>
      <c r="B43" t="s">
        <v>134</v>
      </c>
      <c r="C43" s="50">
        <f>20%*C35</f>
        <v>1480.3000000000002</v>
      </c>
      <c r="D43" s="50">
        <f t="shared" ref="D43:L43" si="16">20%*D35</f>
        <v>1632.0307499999999</v>
      </c>
      <c r="E43" s="50">
        <f t="shared" si="16"/>
        <v>1795.2338250000003</v>
      </c>
      <c r="F43" s="50">
        <f t="shared" si="16"/>
        <v>1970.6771306250002</v>
      </c>
      <c r="G43" s="50">
        <f t="shared" si="16"/>
        <v>2159.1766822500003</v>
      </c>
      <c r="H43" s="50">
        <f t="shared" si="16"/>
        <v>2202.3602158950002</v>
      </c>
      <c r="I43" s="50">
        <f t="shared" si="16"/>
        <v>2246.4074202129004</v>
      </c>
      <c r="J43" s="50">
        <f t="shared" si="16"/>
        <v>2291.3355686171585</v>
      </c>
      <c r="K43" s="50">
        <f t="shared" si="16"/>
        <v>2337.1622799895017</v>
      </c>
      <c r="L43" s="50">
        <f t="shared" si="16"/>
        <v>2383.9055255892922</v>
      </c>
    </row>
    <row r="44" spans="1:12" x14ac:dyDescent="0.2">
      <c r="C44" s="50"/>
      <c r="D44" s="50"/>
      <c r="E44" s="50"/>
      <c r="F44" s="50"/>
      <c r="G44" s="50"/>
      <c r="H44" s="52"/>
      <c r="I44" s="52"/>
      <c r="J44" s="52"/>
      <c r="K44" s="52"/>
      <c r="L44" s="52"/>
    </row>
    <row r="45" spans="1:12" x14ac:dyDescent="0.2">
      <c r="A45" t="s">
        <v>247</v>
      </c>
      <c r="B45" t="s">
        <v>30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6" spans="1:12" x14ac:dyDescent="0.2">
      <c r="B46" s="18" t="s">
        <v>30</v>
      </c>
      <c r="C46" s="19"/>
      <c r="D46" s="19">
        <f>D40+D38-D42-D43</f>
        <v>3771.2844446250001</v>
      </c>
      <c r="E46" s="19">
        <f t="shared" ref="E46:L46" si="17">E40+E38-E42-E43</f>
        <v>4150.2658546124994</v>
      </c>
      <c r="F46" s="19">
        <f t="shared" si="17"/>
        <v>4557.717194487188</v>
      </c>
      <c r="G46" s="19">
        <f t="shared" si="17"/>
        <v>4995.5380037128134</v>
      </c>
      <c r="H46" s="19">
        <f t="shared" si="17"/>
        <v>5481.0160284745671</v>
      </c>
      <c r="I46" s="19">
        <f t="shared" si="17"/>
        <v>5590.6363490440608</v>
      </c>
      <c r="J46" s="19">
        <f t="shared" si="17"/>
        <v>5702.4490760249446</v>
      </c>
      <c r="K46" s="19">
        <f t="shared" si="17"/>
        <v>5816.498057545441</v>
      </c>
      <c r="L46" s="19">
        <f t="shared" si="17"/>
        <v>5932.8280186963493</v>
      </c>
    </row>
    <row r="47" spans="1:12" x14ac:dyDescent="0.2">
      <c r="A47" t="s">
        <v>31</v>
      </c>
      <c r="B47" t="s">
        <v>248</v>
      </c>
      <c r="C47" s="6"/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f>L46/(C30-C29)</f>
        <v>72204.049211611898</v>
      </c>
      <c r="L47" s="6"/>
    </row>
    <row r="48" spans="1:12" x14ac:dyDescent="0.2"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">
      <c r="A49" t="s">
        <v>249</v>
      </c>
      <c r="B49" t="s">
        <v>250</v>
      </c>
      <c r="C49" s="6">
        <f>NPV(C30,D46:K46)</f>
        <v>22897.275951449472</v>
      </c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">
      <c r="A50" t="s">
        <v>252</v>
      </c>
      <c r="B50" t="s">
        <v>251</v>
      </c>
      <c r="C50" s="6">
        <f>NPV(C30,D47:K47)</f>
        <v>26747.057162568828</v>
      </c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t="s">
        <v>253</v>
      </c>
      <c r="B51" s="5" t="s">
        <v>150</v>
      </c>
      <c r="C51" s="8">
        <f>C49+C50</f>
        <v>49644.3331140183</v>
      </c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">
      <c r="A52" t="s">
        <v>254</v>
      </c>
      <c r="B52" t="s">
        <v>151</v>
      </c>
      <c r="C52" s="6">
        <v>7059</v>
      </c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">
      <c r="A53" t="s">
        <v>255</v>
      </c>
      <c r="B53" s="18" t="s">
        <v>152</v>
      </c>
      <c r="C53" s="19">
        <f>C51-C52</f>
        <v>42585.3331140183</v>
      </c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">
      <c r="A54" t="s">
        <v>256</v>
      </c>
      <c r="B54" t="s">
        <v>100</v>
      </c>
      <c r="C54" s="39">
        <v>1544.855</v>
      </c>
    </row>
    <row r="55" spans="1:12" x14ac:dyDescent="0.2">
      <c r="A55" t="s">
        <v>257</v>
      </c>
      <c r="B55" s="11" t="s">
        <v>153</v>
      </c>
      <c r="C55" s="51">
        <f>C53/C54</f>
        <v>27.565909495725034</v>
      </c>
    </row>
    <row r="57" spans="1:12" x14ac:dyDescent="0.2">
      <c r="B57" s="18" t="s">
        <v>154</v>
      </c>
      <c r="C57" s="43">
        <v>22.7</v>
      </c>
    </row>
    <row r="59" spans="1:12" x14ac:dyDescent="0.2">
      <c r="B59" s="48" t="s">
        <v>155</v>
      </c>
    </row>
    <row r="60" spans="1:12" x14ac:dyDescent="0.2">
      <c r="B60" s="44" t="s">
        <v>123</v>
      </c>
      <c r="C60" s="45">
        <f>D60-1%</f>
        <v>0.12216752499999999</v>
      </c>
      <c r="D60" s="45">
        <f>C17</f>
        <v>0.13216752499999998</v>
      </c>
      <c r="E60" s="45">
        <f>D60+1%</f>
        <v>0.14216752499999999</v>
      </c>
    </row>
    <row r="61" spans="1:12" x14ac:dyDescent="0.2">
      <c r="B61" s="46" t="s">
        <v>156</v>
      </c>
    </row>
    <row r="62" spans="1:12" x14ac:dyDescent="0.2">
      <c r="B62" s="47">
        <v>0.04</v>
      </c>
      <c r="C62">
        <v>24.28</v>
      </c>
      <c r="D62">
        <v>21.71</v>
      </c>
      <c r="E62">
        <v>19.54</v>
      </c>
    </row>
    <row r="63" spans="1:12" x14ac:dyDescent="0.2">
      <c r="B63" s="47">
        <v>0.05</v>
      </c>
      <c r="C63">
        <v>25.06</v>
      </c>
      <c r="D63" s="5">
        <v>22.39</v>
      </c>
      <c r="E63">
        <v>20.14</v>
      </c>
    </row>
    <row r="64" spans="1:12" x14ac:dyDescent="0.2">
      <c r="B64" s="47">
        <v>0.06</v>
      </c>
      <c r="C64">
        <v>25.85</v>
      </c>
      <c r="D64">
        <v>23.09</v>
      </c>
      <c r="E64">
        <v>20.76</v>
      </c>
    </row>
  </sheetData>
  <autoFilter ref="A3:C17" xr:uid="{00000000-0001-0000-0200-000000000000}"/>
  <pageMargins left="0.7" right="0.7" top="0.75" bottom="0.75" header="0.3" footer="0.3"/>
  <pageSetup paperSize="9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="140" zoomScaleNormal="140" workbookViewId="0">
      <selection activeCell="C20" sqref="C20"/>
    </sheetView>
  </sheetViews>
  <sheetFormatPr defaultColWidth="10.76171875" defaultRowHeight="15" x14ac:dyDescent="0.2"/>
  <cols>
    <col min="1" max="1" width="28.515625" customWidth="1"/>
  </cols>
  <sheetData>
    <row r="1" spans="1:3" x14ac:dyDescent="0.2">
      <c r="A1" s="18" t="s">
        <v>157</v>
      </c>
      <c r="B1" s="13"/>
    </row>
    <row r="2" spans="1:3" x14ac:dyDescent="0.2">
      <c r="B2" s="56" t="s">
        <v>163</v>
      </c>
      <c r="C2" s="56" t="s">
        <v>164</v>
      </c>
    </row>
    <row r="3" spans="1:3" x14ac:dyDescent="0.2">
      <c r="A3" t="s">
        <v>158</v>
      </c>
      <c r="B3" s="59">
        <v>19.13</v>
      </c>
      <c r="C3" s="61"/>
    </row>
    <row r="4" spans="1:3" x14ac:dyDescent="0.2">
      <c r="A4" t="s">
        <v>159</v>
      </c>
      <c r="B4" s="59">
        <v>18.09</v>
      </c>
      <c r="C4" s="61"/>
    </row>
    <row r="5" spans="1:3" x14ac:dyDescent="0.2">
      <c r="A5" t="s">
        <v>161</v>
      </c>
      <c r="B5" s="59">
        <v>17.09</v>
      </c>
      <c r="C5" s="61"/>
    </row>
    <row r="6" spans="1:3" x14ac:dyDescent="0.2">
      <c r="A6" t="s">
        <v>160</v>
      </c>
      <c r="B6" s="59">
        <v>16.61</v>
      </c>
      <c r="C6" s="61"/>
    </row>
    <row r="7" spans="1:3" x14ac:dyDescent="0.2">
      <c r="A7" t="s">
        <v>162</v>
      </c>
      <c r="B7" s="59">
        <v>17.489999999999998</v>
      </c>
      <c r="C7" s="61"/>
    </row>
    <row r="8" spans="1:3" x14ac:dyDescent="0.2">
      <c r="A8" s="67" t="s">
        <v>81</v>
      </c>
      <c r="C8" s="65" t="e">
        <f>AVERAGE(C3:C7)</f>
        <v>#DIV/0!</v>
      </c>
    </row>
    <row r="10" spans="1:3" x14ac:dyDescent="0.2">
      <c r="A10" s="5" t="s">
        <v>165</v>
      </c>
      <c r="B10" s="68">
        <v>22.7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Comptes</vt:lpstr>
      <vt:lpstr>Comparables</vt:lpstr>
      <vt:lpstr>Flux</vt:lpstr>
      <vt:lpstr>cours</vt:lpstr>
    </vt:vector>
  </TitlesOfParts>
  <Company>Grenoble Ecole de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ALBOUY Michel</dc:creator>
  <cp:lastModifiedBy>cc</cp:lastModifiedBy>
  <cp:lastPrinted>2014-01-21T15:26:20Z</cp:lastPrinted>
  <dcterms:created xsi:type="dcterms:W3CDTF">2013-01-29T07:44:10Z</dcterms:created>
  <dcterms:modified xsi:type="dcterms:W3CDTF">2021-10-14T17:03:26Z</dcterms:modified>
</cp:coreProperties>
</file>