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ec2-lhc-fs2\users\greghenri.bize\TBS\2021\Msc Part Time (FR)\Exercices\3_DCF Exercise\"/>
    </mc:Choice>
  </mc:AlternateContent>
  <bookViews>
    <workbookView xWindow="3170" yWindow="50" windowWidth="9420" windowHeight="7560"/>
  </bookViews>
  <sheets>
    <sheet name="Questions" sheetId="7" r:id="rId1"/>
    <sheet name="Answer template" sheetId="9" r:id="rId2"/>
  </sheets>
  <definedNames>
    <definedName name="blank">#REF!</definedName>
    <definedName name="CIQWBGuid" hidden="1">"88e403df-4e6a-456b-8417-49308f5670f4"</definedName>
    <definedName name="discussion">#REF!</definedName>
    <definedName name="draft_toggle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"02/26/2014 11:07:08"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C21" i="9" l="1"/>
  <c r="D14" i="9"/>
  <c r="D15" i="9" s="1"/>
  <c r="E14" i="9"/>
  <c r="E15" i="9" s="1"/>
  <c r="D17" i="9"/>
  <c r="E17" i="9"/>
  <c r="F17" i="9"/>
  <c r="F14" i="9" s="1"/>
  <c r="F15" i="9" s="1"/>
  <c r="G17" i="9"/>
  <c r="G14" i="9" s="1"/>
  <c r="G15" i="9" s="1"/>
  <c r="H17" i="9"/>
  <c r="H14" i="9" s="1"/>
  <c r="D11" i="9"/>
  <c r="E11" i="9" s="1"/>
  <c r="F11" i="9" s="1"/>
  <c r="G11" i="9" s="1"/>
  <c r="H11" i="9" s="1"/>
  <c r="H15" i="9" l="1"/>
  <c r="C45" i="9"/>
  <c r="C36" i="9"/>
  <c r="C32" i="9"/>
  <c r="C17" i="9"/>
  <c r="C11" i="9"/>
  <c r="A8" i="7" l="1"/>
  <c r="C14" i="9" l="1"/>
  <c r="C43" i="9" l="1"/>
  <c r="A21" i="7" s="1"/>
  <c r="L78" i="9"/>
  <c r="L79" i="9" s="1"/>
  <c r="L80" i="9" s="1"/>
  <c r="L81" i="9" s="1"/>
  <c r="L82" i="9" s="1"/>
  <c r="L83" i="9" s="1"/>
  <c r="J46" i="9"/>
  <c r="C46" i="9"/>
  <c r="C48" i="9"/>
  <c r="J33" i="9"/>
  <c r="C34" i="9"/>
  <c r="C30" i="9"/>
  <c r="J28" i="9"/>
  <c r="C22" i="9"/>
  <c r="J18" i="9"/>
  <c r="C18" i="9"/>
  <c r="J11" i="9"/>
  <c r="D9" i="9"/>
  <c r="D87" i="9" s="1"/>
  <c r="J17" i="9" l="1"/>
  <c r="J45" i="9"/>
  <c r="J48" i="9" s="1"/>
  <c r="J36" i="9" s="1"/>
  <c r="A35" i="7"/>
  <c r="A20" i="7"/>
  <c r="A19" i="7"/>
  <c r="J10" i="7"/>
  <c r="L48" i="9"/>
  <c r="L49" i="9"/>
  <c r="A34" i="7"/>
  <c r="D70" i="9"/>
  <c r="E9" i="9"/>
  <c r="J14" i="9"/>
  <c r="J15" i="9" s="1"/>
  <c r="J19" i="9"/>
  <c r="J32" i="9"/>
  <c r="J12" i="9"/>
  <c r="C24" i="9"/>
  <c r="J37" i="9"/>
  <c r="D43" i="9"/>
  <c r="D53" i="9"/>
  <c r="J37" i="7" l="1"/>
  <c r="J30" i="7"/>
  <c r="J25" i="7"/>
  <c r="E87" i="9"/>
  <c r="E53" i="9"/>
  <c r="E43" i="9"/>
  <c r="F9" i="9"/>
  <c r="E70" i="9"/>
  <c r="C27" i="9"/>
  <c r="C39" i="9" s="1"/>
  <c r="C25" i="9"/>
  <c r="J21" i="9"/>
  <c r="G9" i="9" l="1"/>
  <c r="F53" i="9"/>
  <c r="F43" i="9"/>
  <c r="F70" i="9"/>
  <c r="F87" i="9"/>
  <c r="J30" i="9"/>
  <c r="J22" i="9"/>
  <c r="J24" i="9"/>
  <c r="J34" i="9"/>
  <c r="J16" i="7"/>
  <c r="J18" i="7" s="1"/>
  <c r="J20" i="7" s="1"/>
  <c r="J22" i="7" s="1"/>
  <c r="G43" i="9" l="1"/>
  <c r="G70" i="9"/>
  <c r="H9" i="9"/>
  <c r="G87" i="9"/>
  <c r="G53" i="9"/>
  <c r="J25" i="9"/>
  <c r="J27" i="9"/>
  <c r="J39" i="9" s="1"/>
  <c r="J40" i="9" s="1"/>
  <c r="L10" i="9" l="1"/>
  <c r="A29" i="7"/>
  <c r="J9" i="9"/>
  <c r="L37" i="9"/>
  <c r="L34" i="9"/>
  <c r="H87" i="9"/>
  <c r="H53" i="9"/>
  <c r="H70" i="9"/>
  <c r="H43" i="9"/>
  <c r="A27" i="7" s="1"/>
  <c r="J43" i="9" l="1"/>
</calcChain>
</file>

<file path=xl/sharedStrings.xml><?xml version="1.0" encoding="utf-8"?>
<sst xmlns="http://schemas.openxmlformats.org/spreadsheetml/2006/main" count="169" uniqueCount="132">
  <si>
    <t>Sales</t>
  </si>
  <si>
    <t>Sales growth</t>
  </si>
  <si>
    <t>EBITDA</t>
  </si>
  <si>
    <t>Depreciation</t>
  </si>
  <si>
    <t>Interest</t>
  </si>
  <si>
    <t>Tax</t>
  </si>
  <si>
    <t>Other items</t>
  </si>
  <si>
    <t>Capital expenditure</t>
  </si>
  <si>
    <t>Working capital</t>
  </si>
  <si>
    <t>EBIT</t>
  </si>
  <si>
    <t>Amortisation</t>
  </si>
  <si>
    <t>Tax rate</t>
  </si>
  <si>
    <t>Income from associates</t>
  </si>
  <si>
    <t>Dividends from associates</t>
  </si>
  <si>
    <t>NPAT before minorities</t>
  </si>
  <si>
    <t>Minority interest</t>
  </si>
  <si>
    <t>NPAT after minorities</t>
  </si>
  <si>
    <t>Bank debt</t>
  </si>
  <si>
    <t xml:space="preserve">Cash </t>
  </si>
  <si>
    <t>Pension plan assets</t>
  </si>
  <si>
    <t>Pension plan obligatons</t>
  </si>
  <si>
    <t>WACC</t>
  </si>
  <si>
    <t>Market value of minority interest</t>
  </si>
  <si>
    <t>FYE March, USDm</t>
  </si>
  <si>
    <t>Bonds outstanding</t>
  </si>
  <si>
    <t>Delta cash flow statement (extract)</t>
  </si>
  <si>
    <t>Delta P&amp;L (extract)</t>
  </si>
  <si>
    <t>EBITDA margin</t>
  </si>
  <si>
    <t>Constant % of sales</t>
  </si>
  <si>
    <t>Working capital (net)</t>
  </si>
  <si>
    <t>Dividends from Associates</t>
  </si>
  <si>
    <t>5% growth per year</t>
  </si>
  <si>
    <t>b) EBITDA</t>
  </si>
  <si>
    <t>a) Sales</t>
  </si>
  <si>
    <t>c) Notional tax</t>
  </si>
  <si>
    <t>d) Capex</t>
  </si>
  <si>
    <t>e) Changes in WC</t>
  </si>
  <si>
    <t>Capex</t>
  </si>
  <si>
    <t xml:space="preserve">f) Free cash flow </t>
  </si>
  <si>
    <t>3. Calculate terminal value</t>
  </si>
  <si>
    <t>4. Calculate enterprise value</t>
  </si>
  <si>
    <t xml:space="preserve">5. Calculate equity value </t>
  </si>
  <si>
    <t>Terminal growth</t>
  </si>
  <si>
    <t xml:space="preserve">2. Discount free cash flows to a present value </t>
  </si>
  <si>
    <t>OBJECTIVES</t>
  </si>
  <si>
    <t>FINANCIAL INFORMATION</t>
  </si>
  <si>
    <t>a) Net debt</t>
  </si>
  <si>
    <t>a) WACC and terminal growth</t>
  </si>
  <si>
    <t xml:space="preserve">b) calculate the terminal value </t>
  </si>
  <si>
    <t>d) calculate the % of EV due to the terminal value</t>
  </si>
  <si>
    <t>Delta balance sheet (extract)</t>
  </si>
  <si>
    <t>Land held as investment</t>
  </si>
  <si>
    <t>Shares outstanding</t>
  </si>
  <si>
    <t>50m</t>
  </si>
  <si>
    <t>DCF ASSUMPTIONS</t>
  </si>
  <si>
    <t>DISCOUNTED CASH FLOW: PRACTICAL EXERCISE</t>
  </si>
  <si>
    <t>EBITDA margin %</t>
  </si>
  <si>
    <t>% sales</t>
  </si>
  <si>
    <t>EBITA</t>
  </si>
  <si>
    <t>EBITA margin %</t>
  </si>
  <si>
    <t>Notional tax</t>
  </si>
  <si>
    <t>Notional tax %</t>
  </si>
  <si>
    <t>Add-back Depreciation</t>
  </si>
  <si>
    <t>less Capital expenditure</t>
  </si>
  <si>
    <t>less Depreciation</t>
  </si>
  <si>
    <t>less Changes in Working capital</t>
  </si>
  <si>
    <t>Opex</t>
  </si>
  <si>
    <t>Opex growth %</t>
  </si>
  <si>
    <t>Sales growth %</t>
  </si>
  <si>
    <t>% of depreciation</t>
  </si>
  <si>
    <t>Free cash flow</t>
  </si>
  <si>
    <t>Working capital calculation</t>
  </si>
  <si>
    <t>Working capital % of sales</t>
  </si>
  <si>
    <t>Increase (decrease) in working capital</t>
  </si>
  <si>
    <t>Q1</t>
  </si>
  <si>
    <t>Free cash flow valued</t>
  </si>
  <si>
    <t>Discount period</t>
  </si>
  <si>
    <t>Discount factor</t>
  </si>
  <si>
    <t>Q2 (a)</t>
  </si>
  <si>
    <t>Present value of free cash flow</t>
  </si>
  <si>
    <t>Q2 (b)</t>
  </si>
  <si>
    <t>Sum of present value of cash flows</t>
  </si>
  <si>
    <t>Q2 (c)</t>
  </si>
  <si>
    <t>% of year included</t>
  </si>
  <si>
    <t>% of sales</t>
  </si>
  <si>
    <t>Growth in EBITDA</t>
  </si>
  <si>
    <t>Increase in working capital</t>
  </si>
  <si>
    <t>Free cash flow growth %</t>
  </si>
  <si>
    <t>Q3 (a)</t>
  </si>
  <si>
    <t>Q3 (b)</t>
  </si>
  <si>
    <t>Terminal value</t>
  </si>
  <si>
    <t>PV of Terminal Value</t>
  </si>
  <si>
    <t>Terminal EV/EBITDA multiple</t>
  </si>
  <si>
    <t>Q3 (c)</t>
  </si>
  <si>
    <t>Terminal EBITDA</t>
  </si>
  <si>
    <t>Terminal value (EV)</t>
  </si>
  <si>
    <t>Q3 (d)</t>
  </si>
  <si>
    <t>Terminal value as % of Total value</t>
  </si>
  <si>
    <t>PV of Free Cash Flows</t>
  </si>
  <si>
    <t>USDm</t>
  </si>
  <si>
    <t>%</t>
  </si>
  <si>
    <t>Q4 (a)</t>
  </si>
  <si>
    <t>Enterprise value</t>
  </si>
  <si>
    <t>Q5</t>
  </si>
  <si>
    <t>Equity value</t>
  </si>
  <si>
    <t>plus Cash</t>
  </si>
  <si>
    <t>less Bank debt</t>
  </si>
  <si>
    <t>less Bonds</t>
  </si>
  <si>
    <t>less Pension deficit</t>
  </si>
  <si>
    <t>plus Land</t>
  </si>
  <si>
    <t>b) Minority interest</t>
  </si>
  <si>
    <t>c) Investment in associates</t>
  </si>
  <si>
    <t>d) Pension adjustment</t>
  </si>
  <si>
    <t>e) Other assets</t>
  </si>
  <si>
    <t>less Minority interest</t>
  </si>
  <si>
    <t>plus Investment in associate</t>
  </si>
  <si>
    <t>Present value of free cash flows, FYE March, USDm</t>
  </si>
  <si>
    <t>Free cash flow summary, FYE March, USDm</t>
  </si>
  <si>
    <t>Enterprise value &amp; implied multiples</t>
  </si>
  <si>
    <t>a</t>
  </si>
  <si>
    <t>b</t>
  </si>
  <si>
    <t>c</t>
  </si>
  <si>
    <t>d</t>
  </si>
  <si>
    <t>e</t>
  </si>
  <si>
    <t>6. Sensitivity tables on equity value</t>
  </si>
  <si>
    <t>Q6</t>
  </si>
  <si>
    <t>For the rest of the exercise, we will use the computation made under 2-c)</t>
  </si>
  <si>
    <t>7% in 2021 then 5% from 2022 onwards</t>
  </si>
  <si>
    <t>15% margin in 2021 reducing to 14% from 2022 onwards</t>
  </si>
  <si>
    <t>30% in 2021 and 2022 reducing to 25% from 2023</t>
  </si>
  <si>
    <t>Constant % of sales until 2022 but 25% from 2023 onwards</t>
  </si>
  <si>
    <t>150m in 2021 and thereafter 2.0%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</si>
</sst>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0.0%"/>
    <numFmt numFmtId="165" formatCode="0.0&quot;x&quot;;@_)"/>
    <numFmt numFmtId="166" formatCode="0.0"/>
    <numFmt numFmtId="167" formatCode="_-* #,##0_-;\-* #,##0_-;_-* &quot;-&quot;??_-;_-@_-"/>
    <numFmt numFmtId="168" formatCode="#,##0_);\(#,##0\)"/>
    <numFmt numFmtId="169" formatCode="0.0&quot;x&quot;"/>
    <numFmt numFmtId="170" formatCode="0\A"/>
    <numFmt numFmtId="171" formatCode="0&quot;F&quot;"/>
  </numFmts>
  <fonts count="17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i/>
      <sz val="10"/>
      <color indexed="53"/>
      <name val="Arial"/>
      <family val="2"/>
    </font>
    <font>
      <b/>
      <sz val="2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>
      <alignment horizontal="right"/>
    </xf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36">
    <xf numFmtId="0" fontId="0" fillId="0" borderId="0" xfId="0"/>
    <xf numFmtId="0" fontId="5" fillId="0" borderId="0" xfId="0" applyFont="1" applyFill="1"/>
    <xf numFmtId="0" fontId="6" fillId="0" borderId="0" xfId="0" applyFont="1" applyFill="1"/>
    <xf numFmtId="17" fontId="5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/>
    <xf numFmtId="167" fontId="7" fillId="0" borderId="0" xfId="1" applyNumberFormat="1" applyFont="1" applyFill="1"/>
    <xf numFmtId="167" fontId="7" fillId="0" borderId="0" xfId="1" applyNumberFormat="1" applyFont="1" applyFill="1" applyBorder="1"/>
    <xf numFmtId="167" fontId="7" fillId="0" borderId="0" xfId="1" applyNumberFormat="1" applyFont="1" applyFill="1" applyBorder="1" applyAlignment="1">
      <alignment horizontal="right"/>
    </xf>
    <xf numFmtId="9" fontId="7" fillId="0" borderId="0" xfId="0" applyNumberFormat="1" applyFont="1" applyFill="1"/>
    <xf numFmtId="167" fontId="7" fillId="0" borderId="0" xfId="1" applyNumberFormat="1" applyFont="1" applyFill="1" applyAlignment="1">
      <alignment horizontal="left"/>
    </xf>
    <xf numFmtId="0" fontId="3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3" fillId="2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167" fontId="6" fillId="0" borderId="0" xfId="1" applyNumberFormat="1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168" fontId="7" fillId="0" borderId="0" xfId="1" applyNumberFormat="1" applyFont="1" applyFill="1" applyBorder="1" applyAlignment="1">
      <alignment horizontal="right"/>
    </xf>
    <xf numFmtId="167" fontId="8" fillId="0" borderId="0" xfId="2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9" fillId="0" borderId="0" xfId="0" applyFont="1" applyFill="1"/>
    <xf numFmtId="0" fontId="3" fillId="0" borderId="1" xfId="0" applyFont="1" applyFill="1" applyBorder="1"/>
    <xf numFmtId="0" fontId="6" fillId="0" borderId="1" xfId="0" applyFont="1" applyFill="1" applyBorder="1"/>
    <xf numFmtId="9" fontId="7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167" fontId="3" fillId="0" borderId="0" xfId="1" applyNumberFormat="1" applyFont="1" applyFill="1" applyAlignment="1">
      <alignment horizontal="left"/>
    </xf>
    <xf numFmtId="167" fontId="3" fillId="0" borderId="0" xfId="1" applyNumberFormat="1" applyFont="1" applyFill="1" applyBorder="1"/>
    <xf numFmtId="0" fontId="10" fillId="0" borderId="0" xfId="0" applyFont="1" applyFill="1"/>
    <xf numFmtId="0" fontId="0" fillId="0" borderId="2" xfId="0" applyBorder="1"/>
    <xf numFmtId="0" fontId="12" fillId="0" borderId="0" xfId="0" applyFont="1"/>
    <xf numFmtId="167" fontId="0" fillId="0" borderId="0" xfId="0" applyNumberFormat="1"/>
    <xf numFmtId="43" fontId="0" fillId="0" borderId="0" xfId="0" applyNumberFormat="1"/>
    <xf numFmtId="9" fontId="12" fillId="0" borderId="0" xfId="2" applyFont="1"/>
    <xf numFmtId="168" fontId="0" fillId="0" borderId="0" xfId="0" applyNumberFormat="1"/>
    <xf numFmtId="0" fontId="0" fillId="0" borderId="0" xfId="0" applyBorder="1"/>
    <xf numFmtId="0" fontId="0" fillId="0" borderId="3" xfId="0" applyBorder="1"/>
    <xf numFmtId="9" fontId="12" fillId="0" borderId="3" xfId="2" applyFont="1" applyBorder="1"/>
    <xf numFmtId="168" fontId="1" fillId="0" borderId="0" xfId="1" applyNumberFormat="1" applyFont="1" applyFill="1" applyBorder="1" applyAlignment="1">
      <alignment horizontal="right"/>
    </xf>
    <xf numFmtId="168" fontId="1" fillId="0" borderId="2" xfId="1" applyNumberFormat="1" applyFont="1" applyFill="1" applyBorder="1" applyAlignment="1">
      <alignment horizontal="right"/>
    </xf>
    <xf numFmtId="164" fontId="14" fillId="0" borderId="2" xfId="0" applyNumberFormat="1" applyFont="1" applyBorder="1"/>
    <xf numFmtId="164" fontId="14" fillId="0" borderId="0" xfId="0" applyNumberFormat="1" applyFont="1"/>
    <xf numFmtId="9" fontId="12" fillId="0" borderId="0" xfId="2" applyFont="1" applyBorder="1"/>
    <xf numFmtId="9" fontId="12" fillId="0" borderId="0" xfId="0" applyNumberFormat="1" applyFont="1"/>
    <xf numFmtId="168" fontId="0" fillId="0" borderId="0" xfId="0" applyNumberFormat="1" applyBorder="1"/>
    <xf numFmtId="0" fontId="3" fillId="0" borderId="0" xfId="0" applyFont="1"/>
    <xf numFmtId="167" fontId="3" fillId="0" borderId="0" xfId="0" applyNumberFormat="1" applyFont="1"/>
    <xf numFmtId="168" fontId="3" fillId="0" borderId="2" xfId="1" applyNumberFormat="1" applyFont="1" applyFill="1" applyBorder="1" applyAlignment="1">
      <alignment horizontal="right"/>
    </xf>
    <xf numFmtId="168" fontId="3" fillId="0" borderId="0" xfId="1" applyNumberFormat="1" applyFont="1" applyFill="1" applyBorder="1" applyAlignment="1">
      <alignment horizontal="right"/>
    </xf>
    <xf numFmtId="167" fontId="3" fillId="0" borderId="2" xfId="1" applyNumberFormat="1" applyFont="1" applyBorder="1"/>
    <xf numFmtId="167" fontId="3" fillId="0" borderId="0" xfId="1" applyNumberFormat="1" applyFont="1" applyBorder="1"/>
    <xf numFmtId="168" fontId="3" fillId="0" borderId="3" xfId="1" applyNumberFormat="1" applyFont="1" applyFill="1" applyBorder="1" applyAlignment="1">
      <alignment horizontal="right"/>
    </xf>
    <xf numFmtId="9" fontId="14" fillId="0" borderId="0" xfId="0" applyNumberFormat="1" applyFont="1"/>
    <xf numFmtId="9" fontId="13" fillId="0" borderId="0" xfId="0" applyNumberFormat="1" applyFont="1"/>
    <xf numFmtId="164" fontId="12" fillId="0" borderId="0" xfId="2" applyNumberFormat="1" applyFont="1"/>
    <xf numFmtId="164" fontId="14" fillId="0" borderId="0" xfId="0" applyNumberFormat="1" applyFont="1" applyBorder="1"/>
    <xf numFmtId="164" fontId="12" fillId="0" borderId="3" xfId="2" applyNumberFormat="1" applyFont="1" applyBorder="1"/>
    <xf numFmtId="164" fontId="14" fillId="0" borderId="0" xfId="2" applyNumberFormat="1" applyFont="1" applyBorder="1"/>
    <xf numFmtId="164" fontId="12" fillId="0" borderId="3" xfId="0" applyNumberFormat="1" applyFont="1" applyBorder="1"/>
    <xf numFmtId="9" fontId="12" fillId="0" borderId="0" xfId="2" applyFont="1" applyFill="1" applyBorder="1" applyAlignment="1">
      <alignment horizontal="right"/>
    </xf>
    <xf numFmtId="0" fontId="12" fillId="0" borderId="3" xfId="0" applyFont="1" applyBorder="1"/>
    <xf numFmtId="167" fontId="12" fillId="0" borderId="3" xfId="1" applyNumberFormat="1" applyFont="1" applyBorder="1"/>
    <xf numFmtId="167" fontId="12" fillId="0" borderId="0" xfId="1" applyNumberFormat="1" applyFont="1"/>
    <xf numFmtId="168" fontId="12" fillId="0" borderId="3" xfId="1" applyNumberFormat="1" applyFont="1" applyFill="1" applyBorder="1" applyAlignment="1">
      <alignment horizontal="right"/>
    </xf>
    <xf numFmtId="168" fontId="12" fillId="0" borderId="0" xfId="1" applyNumberFormat="1" applyFont="1" applyFill="1" applyBorder="1" applyAlignment="1">
      <alignment horizontal="right"/>
    </xf>
    <xf numFmtId="0" fontId="3" fillId="2" borderId="4" xfId="0" applyFont="1" applyFill="1" applyBorder="1"/>
    <xf numFmtId="0" fontId="16" fillId="0" borderId="4" xfId="0" applyFont="1" applyFill="1" applyBorder="1"/>
    <xf numFmtId="0" fontId="0" fillId="0" borderId="5" xfId="0" applyBorder="1"/>
    <xf numFmtId="166" fontId="13" fillId="0" borderId="0" xfId="0" applyNumberFormat="1" applyFont="1"/>
    <xf numFmtId="168" fontId="3" fillId="0" borderId="0" xfId="0" applyNumberFormat="1" applyFont="1"/>
    <xf numFmtId="168" fontId="3" fillId="0" borderId="6" xfId="0" applyNumberFormat="1" applyFont="1" applyBorder="1"/>
    <xf numFmtId="168" fontId="3" fillId="0" borderId="6" xfId="0" applyNumberFormat="1" applyFont="1" applyFill="1" applyBorder="1"/>
    <xf numFmtId="2" fontId="13" fillId="0" borderId="0" xfId="0" applyNumberFormat="1" applyFont="1"/>
    <xf numFmtId="0" fontId="0" fillId="0" borderId="0" xfId="0" applyFill="1"/>
    <xf numFmtId="43" fontId="1" fillId="0" borderId="0" xfId="1"/>
    <xf numFmtId="164" fontId="12" fillId="0" borderId="2" xfId="2" applyNumberFormat="1" applyFont="1" applyBorder="1"/>
    <xf numFmtId="164" fontId="12" fillId="0" borderId="0" xfId="2" applyNumberFormat="1" applyFont="1" applyBorder="1"/>
    <xf numFmtId="167" fontId="12" fillId="0" borderId="0" xfId="0" applyNumberFormat="1" applyFont="1"/>
    <xf numFmtId="164" fontId="12" fillId="0" borderId="0" xfId="0" applyNumberFormat="1" applyFont="1" applyBorder="1"/>
    <xf numFmtId="164" fontId="1" fillId="0" borderId="0" xfId="0" applyNumberFormat="1" applyFont="1"/>
    <xf numFmtId="0" fontId="0" fillId="2" borderId="4" xfId="0" applyFill="1" applyBorder="1"/>
    <xf numFmtId="169" fontId="0" fillId="0" borderId="0" xfId="0" applyNumberFormat="1"/>
    <xf numFmtId="167" fontId="3" fillId="0" borderId="0" xfId="1" applyNumberFormat="1" applyFont="1"/>
    <xf numFmtId="164" fontId="3" fillId="0" borderId="0" xfId="2" applyNumberFormat="1" applyFont="1"/>
    <xf numFmtId="0" fontId="3" fillId="2" borderId="4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164" fontId="13" fillId="0" borderId="4" xfId="2" applyNumberFormat="1" applyFont="1" applyBorder="1"/>
    <xf numFmtId="164" fontId="13" fillId="3" borderId="4" xfId="2" applyNumberFormat="1" applyFont="1" applyFill="1" applyBorder="1"/>
    <xf numFmtId="164" fontId="13" fillId="0" borderId="3" xfId="2" applyNumberFormat="1" applyFont="1" applyBorder="1"/>
    <xf numFmtId="164" fontId="13" fillId="3" borderId="3" xfId="2" applyNumberFormat="1" applyFont="1" applyFill="1" applyBorder="1"/>
    <xf numFmtId="168" fontId="12" fillId="0" borderId="7" xfId="0" applyNumberFormat="1" applyFont="1" applyBorder="1"/>
    <xf numFmtId="167" fontId="1" fillId="0" borderId="0" xfId="1" applyNumberFormat="1" applyFill="1"/>
    <xf numFmtId="167" fontId="1" fillId="0" borderId="0" xfId="1" applyNumberFormat="1"/>
    <xf numFmtId="164" fontId="1" fillId="0" borderId="0" xfId="2" applyNumberFormat="1"/>
    <xf numFmtId="167" fontId="1" fillId="3" borderId="0" xfId="1" applyNumberFormat="1" applyFill="1"/>
    <xf numFmtId="0" fontId="0" fillId="0" borderId="0" xfId="0" applyFill="1" applyBorder="1"/>
    <xf numFmtId="0" fontId="3" fillId="0" borderId="0" xfId="0" applyFont="1" applyAlignment="1">
      <alignment horizontal="left"/>
    </xf>
    <xf numFmtId="0" fontId="0" fillId="0" borderId="0" xfId="0" applyFont="1" applyFill="1"/>
    <xf numFmtId="168" fontId="3" fillId="0" borderId="0" xfId="4" applyNumberFormat="1" applyFont="1" applyFill="1" applyBorder="1" applyAlignment="1">
      <alignment horizontal="right"/>
    </xf>
    <xf numFmtId="164" fontId="12" fillId="0" borderId="0" xfId="5" applyNumberFormat="1" applyFont="1" applyFill="1" applyBorder="1"/>
    <xf numFmtId="9" fontId="12" fillId="0" borderId="0" xfId="5" applyFont="1"/>
    <xf numFmtId="9" fontId="12" fillId="0" borderId="0" xfId="5" applyFont="1" applyFill="1" applyBorder="1"/>
    <xf numFmtId="167" fontId="12" fillId="0" borderId="0" xfId="4" applyNumberFormat="1" applyFont="1"/>
    <xf numFmtId="17" fontId="16" fillId="0" borderId="4" xfId="0" applyNumberFormat="1" applyFont="1" applyFill="1" applyBorder="1" applyAlignment="1">
      <alignment horizontal="center"/>
    </xf>
    <xf numFmtId="167" fontId="1" fillId="0" borderId="0" xfId="1" applyNumberFormat="1" applyFont="1" applyFill="1" applyAlignment="1">
      <alignment horizontal="left"/>
    </xf>
    <xf numFmtId="0" fontId="15" fillId="0" borderId="0" xfId="0" applyFont="1" applyAlignment="1">
      <alignment horizontal="left"/>
    </xf>
    <xf numFmtId="0" fontId="1" fillId="0" borderId="0" xfId="0" applyFont="1"/>
    <xf numFmtId="170" fontId="3" fillId="2" borderId="4" xfId="0" applyNumberFormat="1" applyFont="1" applyFill="1" applyBorder="1" applyAlignment="1">
      <alignment horizontal="right"/>
    </xf>
    <xf numFmtId="171" fontId="3" fillId="2" borderId="4" xfId="0" applyNumberFormat="1" applyFont="1" applyFill="1" applyBorder="1" applyAlignment="1">
      <alignment horizontal="right"/>
    </xf>
    <xf numFmtId="17" fontId="3" fillId="2" borderId="4" xfId="0" applyNumberFormat="1" applyFont="1" applyFill="1" applyBorder="1" applyAlignment="1">
      <alignment horizontal="center"/>
    </xf>
    <xf numFmtId="17" fontId="3" fillId="2" borderId="4" xfId="0" applyNumberFormat="1" applyFont="1" applyFill="1" applyBorder="1" applyAlignment="1">
      <alignment horizontal="left"/>
    </xf>
    <xf numFmtId="17" fontId="3" fillId="0" borderId="0" xfId="0" applyNumberFormat="1" applyFont="1" applyFill="1" applyBorder="1" applyAlignment="1">
      <alignment horizontal="right"/>
    </xf>
    <xf numFmtId="17" fontId="3" fillId="0" borderId="2" xfId="0" applyNumberFormat="1" applyFont="1" applyFill="1" applyBorder="1" applyAlignment="1">
      <alignment horizontal="right"/>
    </xf>
    <xf numFmtId="17" fontId="3" fillId="0" borderId="0" xfId="0" applyNumberFormat="1" applyFont="1" applyFill="1" applyBorder="1" applyAlignment="1">
      <alignment horizontal="left"/>
    </xf>
    <xf numFmtId="168" fontId="1" fillId="0" borderId="3" xfId="1" applyNumberFormat="1" applyFont="1" applyFill="1" applyBorder="1" applyAlignment="1">
      <alignment horizontal="right"/>
    </xf>
    <xf numFmtId="168" fontId="1" fillId="0" borderId="0" xfId="4" applyNumberFormat="1" applyFont="1" applyFill="1" applyBorder="1" applyAlignment="1">
      <alignment horizontal="right"/>
    </xf>
    <xf numFmtId="0" fontId="1" fillId="0" borderId="3" xfId="0" applyFont="1" applyBorder="1"/>
    <xf numFmtId="168" fontId="1" fillId="0" borderId="3" xfId="0" applyNumberFormat="1" applyFont="1" applyBorder="1"/>
    <xf numFmtId="168" fontId="13" fillId="0" borderId="2" xfId="1" applyNumberFormat="1" applyFont="1" applyFill="1" applyBorder="1" applyAlignment="1">
      <alignment horizontal="right"/>
    </xf>
    <xf numFmtId="168" fontId="13" fillId="0" borderId="0" xfId="1" applyNumberFormat="1" applyFont="1" applyFill="1" applyBorder="1" applyAlignment="1">
      <alignment horizontal="right"/>
    </xf>
    <xf numFmtId="168" fontId="13" fillId="0" borderId="3" xfId="1" applyNumberFormat="1" applyFont="1" applyFill="1" applyBorder="1" applyAlignment="1">
      <alignment horizontal="right"/>
    </xf>
    <xf numFmtId="170" fontId="3" fillId="0" borderId="4" xfId="0" applyNumberFormat="1" applyFont="1" applyFill="1" applyBorder="1" applyAlignment="1">
      <alignment horizontal="right"/>
    </xf>
    <xf numFmtId="171" fontId="3" fillId="0" borderId="4" xfId="0" applyNumberFormat="1" applyFont="1" applyFill="1" applyBorder="1" applyAlignment="1">
      <alignment horizontal="right"/>
    </xf>
    <xf numFmtId="17" fontId="3" fillId="2" borderId="4" xfId="0" applyNumberFormat="1" applyFont="1" applyFill="1" applyBorder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2" fillId="0" borderId="0" xfId="0" applyFont="1" applyFill="1"/>
    <xf numFmtId="0" fontId="0" fillId="0" borderId="3" xfId="0" applyFill="1" applyBorder="1"/>
    <xf numFmtId="9" fontId="12" fillId="0" borderId="0" xfId="2" applyFont="1" applyFill="1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center" textRotation="90"/>
    </xf>
  </cellXfs>
  <cellStyles count="6">
    <cellStyle name="Comma" xfId="1" builtinId="3"/>
    <cellStyle name="Comma 2" xfId="4"/>
    <cellStyle name="Normal" xfId="0" builtinId="0"/>
    <cellStyle name="Percent" xfId="2" builtinId="5"/>
    <cellStyle name="Percent 2" xfId="5"/>
    <cellStyle name="Ratio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716A"/>
      <rgbColor rgb="00EFCDCE"/>
      <rgbColor rgb="00B6B1AB"/>
      <rgbColor rgb="00D2B787"/>
      <rgbColor rgb="009C71B4"/>
      <rgbColor rgb="00CFD39A"/>
      <rgbColor rgb="00D0CBC6"/>
      <rgbColor rgb="00F3DA97"/>
      <rgbColor rgb="009E9991"/>
      <rgbColor rgb="00A6791D"/>
      <rgbColor rgb="00614D7D"/>
      <rgbColor rgb="0097AB2D"/>
      <rgbColor rgb="00F5A85B"/>
      <rgbColor rgb="00E5B700"/>
      <rgbColor rgb="00DF9C9E"/>
      <rgbColor rgb="00C03A3F"/>
      <rgbColor rgb="00004C4C"/>
      <rgbColor rgb="00005E5D"/>
      <rgbColor rgb="0080C9C3"/>
      <rgbColor rgb="00CCE9E7"/>
      <rgbColor rgb="005D5D5D"/>
      <rgbColor rgb="008E8E8E"/>
      <rgbColor rgb="00CCCCCC"/>
      <rgbColor rgb="0000526F"/>
      <rgbColor rgb="00004C4C"/>
      <rgbColor rgb="00005E5D"/>
      <rgbColor rgb="0080C9C3"/>
      <rgbColor rgb="00CCE9E7"/>
      <rgbColor rgb="005D5D5D"/>
      <rgbColor rgb="008E8E8E"/>
      <rgbColor rgb="00CCCCCC"/>
      <rgbColor rgb="0000526F"/>
      <rgbColor rgb="00CDB7D9"/>
      <rgbColor rgb="00F9EDCD"/>
      <rgbColor rgb="00E7DAC2"/>
      <rgbColor rgb="00E8E9CE"/>
      <rgbColor rgb="00E6DBEC"/>
      <rgbColor rgb="00E7E4E2"/>
      <rgbColor rgb="00FDE4CA"/>
      <rgbColor rgb="00BFE8E3"/>
      <rgbColor rgb="00B494C6"/>
      <rgbColor rgb="00EDC85C"/>
      <rgbColor rgb="00B4BE64"/>
      <rgbColor rgb="007FD1C7"/>
      <rgbColor rgb="003FB9AA"/>
      <rgbColor rgb="0000A291"/>
      <rgbColor rgb="00F68B1E"/>
      <rgbColor rgb="00CF6A6E"/>
      <rgbColor rgb="00F2AF00"/>
      <rgbColor rgb="00BC9750"/>
      <rgbColor rgb="00846117"/>
      <rgbColor rgb="00728220"/>
      <rgbColor rgb="0000685B"/>
      <rgbColor rgb="00FAC793"/>
      <rgbColor rgb="00F56000"/>
      <rgbColor rgb="0096172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76"/>
  <sheetViews>
    <sheetView tabSelected="1" zoomScale="85" zoomScaleNormal="85" workbookViewId="0">
      <selection activeCell="A19" sqref="A19"/>
    </sheetView>
  </sheetViews>
  <sheetFormatPr defaultColWidth="9.08984375" defaultRowHeight="12.5" x14ac:dyDescent="0.25"/>
  <cols>
    <col min="1" max="8" width="9.08984375" style="5"/>
    <col min="9" max="9" width="34.453125" style="5" bestFit="1" customWidth="1"/>
    <col min="10" max="16384" width="9.08984375" style="5"/>
  </cols>
  <sheetData>
    <row r="2" spans="1:14" ht="20" x14ac:dyDescent="0.4">
      <c r="A2" s="31" t="s">
        <v>55</v>
      </c>
    </row>
    <row r="3" spans="1:14" s="2" customFormat="1" ht="13" x14ac:dyDescent="0.3">
      <c r="I3" s="1"/>
    </row>
    <row r="4" spans="1:14" s="2" customFormat="1" x14ac:dyDescent="0.25"/>
    <row r="5" spans="1:14" s="2" customFormat="1" x14ac:dyDescent="0.25"/>
    <row r="6" spans="1:14" s="2" customFormat="1" ht="13" x14ac:dyDescent="0.3">
      <c r="A6" s="25" t="s">
        <v>44</v>
      </c>
      <c r="B6" s="26"/>
      <c r="C6" s="26"/>
      <c r="D6" s="26"/>
      <c r="E6" s="26"/>
      <c r="F6" s="26"/>
      <c r="G6" s="26"/>
      <c r="I6" s="25" t="s">
        <v>45</v>
      </c>
      <c r="J6" s="26"/>
      <c r="K6" s="26"/>
      <c r="L6" s="26"/>
      <c r="M6" s="26"/>
      <c r="N6" s="26"/>
    </row>
    <row r="7" spans="1:14" s="2" customFormat="1" ht="13" x14ac:dyDescent="0.3">
      <c r="A7" s="4"/>
      <c r="B7" s="4"/>
      <c r="C7" s="4"/>
      <c r="D7" s="4"/>
      <c r="E7" s="4"/>
      <c r="F7" s="4"/>
      <c r="I7" s="4"/>
      <c r="J7" s="4"/>
      <c r="K7" s="4"/>
      <c r="L7" s="3"/>
      <c r="M7" s="4"/>
      <c r="N7" s="4"/>
    </row>
    <row r="8" spans="1:14" s="2" customFormat="1" ht="13" x14ac:dyDescent="0.3">
      <c r="A8" s="29" t="str">
        <f>"1. Calculate free cash flow from "&amp;TEXT('Answer template'!D43,"0F")&amp;" to "&amp;TEXT('Answer template'!H9,"0F")</f>
        <v>1. Calculate free cash flow from 2021F to 2025F</v>
      </c>
      <c r="B8" s="6"/>
      <c r="C8" s="6"/>
      <c r="D8" s="5"/>
      <c r="E8" s="5"/>
      <c r="F8" s="5"/>
      <c r="G8" s="5"/>
      <c r="H8" s="5"/>
      <c r="I8" s="12" t="s">
        <v>23</v>
      </c>
      <c r="J8" s="13"/>
      <c r="K8" s="13"/>
      <c r="L8" s="13"/>
      <c r="M8" s="13"/>
      <c r="N8" s="13"/>
    </row>
    <row r="9" spans="1:14" s="2" customFormat="1" x14ac:dyDescent="0.25">
      <c r="A9" s="5"/>
      <c r="B9" s="5"/>
      <c r="C9" s="5"/>
      <c r="D9" s="5"/>
      <c r="E9" s="5"/>
      <c r="F9" s="5"/>
      <c r="G9" s="5"/>
      <c r="H9" s="5"/>
      <c r="I9" s="4"/>
      <c r="J9" s="17"/>
      <c r="K9" s="17"/>
      <c r="L9" s="4"/>
      <c r="M9" s="4"/>
      <c r="N9" s="4"/>
    </row>
    <row r="10" spans="1:14" s="2" customFormat="1" ht="13" x14ac:dyDescent="0.3">
      <c r="A10" s="5" t="s">
        <v>33</v>
      </c>
      <c r="B10" s="5"/>
      <c r="C10" s="5"/>
      <c r="D10" s="5"/>
      <c r="E10" s="5"/>
      <c r="F10" s="5"/>
      <c r="G10" s="5"/>
      <c r="H10" s="5"/>
      <c r="I10" s="14" t="s">
        <v>26</v>
      </c>
      <c r="J10" s="111">
        <f>'Answer template'!C43</f>
        <v>2020</v>
      </c>
      <c r="K10" s="18"/>
      <c r="L10" s="4"/>
      <c r="M10" s="4"/>
      <c r="N10" s="4"/>
    </row>
    <row r="11" spans="1:14" s="2" customFormat="1" ht="13" x14ac:dyDescent="0.3">
      <c r="A11" s="5" t="s">
        <v>32</v>
      </c>
      <c r="B11" s="5"/>
      <c r="C11" s="5"/>
      <c r="D11" s="5"/>
      <c r="E11" s="5"/>
      <c r="F11" s="5"/>
      <c r="G11" s="5"/>
      <c r="H11" s="5"/>
      <c r="I11" s="11"/>
      <c r="J11" s="17"/>
      <c r="K11" s="18"/>
      <c r="L11" s="4"/>
      <c r="M11" s="4"/>
      <c r="N11" s="4"/>
    </row>
    <row r="12" spans="1:14" s="2" customFormat="1" x14ac:dyDescent="0.25">
      <c r="A12" s="5" t="s">
        <v>34</v>
      </c>
      <c r="B12" s="5"/>
      <c r="C12" s="5"/>
      <c r="D12" s="5"/>
      <c r="E12" s="5"/>
      <c r="F12" s="5"/>
      <c r="G12" s="5"/>
      <c r="H12" s="5"/>
      <c r="I12" s="4" t="s">
        <v>0</v>
      </c>
      <c r="J12" s="19">
        <v>2000</v>
      </c>
      <c r="K12" s="18"/>
      <c r="L12" s="4"/>
      <c r="M12" s="4"/>
      <c r="N12" s="4"/>
    </row>
    <row r="13" spans="1:14" x14ac:dyDescent="0.25">
      <c r="A13" s="5" t="s">
        <v>35</v>
      </c>
      <c r="I13" s="15" t="s">
        <v>2</v>
      </c>
      <c r="J13" s="8">
        <v>300</v>
      </c>
      <c r="K13" s="20"/>
      <c r="L13" s="4"/>
      <c r="M13" s="4"/>
      <c r="N13" s="4"/>
    </row>
    <row r="14" spans="1:14" x14ac:dyDescent="0.25">
      <c r="A14" s="5" t="s">
        <v>36</v>
      </c>
      <c r="I14" s="15" t="s">
        <v>3</v>
      </c>
      <c r="J14" s="21">
        <v>-60</v>
      </c>
      <c r="K14" s="20"/>
      <c r="L14" s="4"/>
      <c r="M14" s="4"/>
      <c r="N14" s="4"/>
    </row>
    <row r="15" spans="1:14" x14ac:dyDescent="0.25">
      <c r="A15" s="5" t="s">
        <v>38</v>
      </c>
      <c r="I15" s="15" t="s">
        <v>10</v>
      </c>
      <c r="J15" s="21">
        <v>-20</v>
      </c>
      <c r="K15" s="20"/>
      <c r="L15" s="4"/>
      <c r="M15" s="4"/>
      <c r="N15" s="4"/>
    </row>
    <row r="16" spans="1:14" x14ac:dyDescent="0.25">
      <c r="A16" s="10"/>
      <c r="B16" s="6"/>
      <c r="C16" s="6"/>
      <c r="I16" s="15" t="s">
        <v>9</v>
      </c>
      <c r="J16" s="8">
        <f>J13+J14+J15</f>
        <v>220</v>
      </c>
      <c r="K16" s="20"/>
      <c r="L16" s="4"/>
      <c r="M16" s="4"/>
      <c r="N16" s="4"/>
    </row>
    <row r="17" spans="1:14" ht="13" x14ac:dyDescent="0.3">
      <c r="A17" s="29" t="s">
        <v>43</v>
      </c>
      <c r="I17" s="15" t="s">
        <v>4</v>
      </c>
      <c r="J17" s="21">
        <v>-20</v>
      </c>
      <c r="K17" s="20"/>
      <c r="L17" s="4"/>
      <c r="M17" s="4"/>
      <c r="N17" s="4"/>
    </row>
    <row r="18" spans="1:14" ht="13" x14ac:dyDescent="0.3">
      <c r="A18" s="29"/>
      <c r="I18" s="15" t="s">
        <v>5</v>
      </c>
      <c r="J18" s="21">
        <f>-(J16+J17)*30%</f>
        <v>-60</v>
      </c>
      <c r="K18" s="20"/>
      <c r="L18" s="4"/>
      <c r="M18" s="4"/>
      <c r="N18" s="4"/>
    </row>
    <row r="19" spans="1:14" x14ac:dyDescent="0.25">
      <c r="A19" s="108" t="str">
        <f>"a) assuming valuation date of 1 April "&amp;'Answer template'!C43&amp;" and end of period discounting"</f>
        <v>a) assuming valuation date of 1 April 2020 and end of period discounting</v>
      </c>
      <c r="I19" s="15" t="s">
        <v>12</v>
      </c>
      <c r="J19" s="8">
        <v>50</v>
      </c>
      <c r="K19" s="20"/>
      <c r="L19" s="4"/>
      <c r="M19" s="4"/>
      <c r="N19" s="4"/>
    </row>
    <row r="20" spans="1:14" x14ac:dyDescent="0.25">
      <c r="A20" s="108" t="str">
        <f>"b) assuming valuation date of 1 April "&amp;'Answer template'!C43&amp;" and mid period discounting"</f>
        <v>b) assuming valuation date of 1 April 2020 and mid period discounting</v>
      </c>
      <c r="I20" s="15" t="s">
        <v>14</v>
      </c>
      <c r="J20" s="8">
        <f>J16+J17+J18+J19</f>
        <v>190</v>
      </c>
      <c r="K20" s="20"/>
      <c r="L20" s="4"/>
      <c r="M20" s="4"/>
      <c r="N20" s="4"/>
    </row>
    <row r="21" spans="1:14" x14ac:dyDescent="0.25">
      <c r="A21" s="108" t="str">
        <f>"c) assuming valuation date of 1 October "&amp;'Answer template'!C43&amp;" and mid period discounting"</f>
        <v>c) assuming valuation date of 1 October 2020 and mid period discounting</v>
      </c>
      <c r="I21" s="16" t="s">
        <v>15</v>
      </c>
      <c r="J21" s="21">
        <v>-15</v>
      </c>
      <c r="K21" s="20"/>
      <c r="L21" s="4"/>
      <c r="M21" s="4"/>
      <c r="N21" s="4"/>
    </row>
    <row r="22" spans="1:14" x14ac:dyDescent="0.25">
      <c r="A22" s="10"/>
      <c r="I22" s="16" t="s">
        <v>16</v>
      </c>
      <c r="J22" s="22">
        <f>J20+J21</f>
        <v>175</v>
      </c>
      <c r="K22" s="20"/>
      <c r="L22" s="4"/>
      <c r="M22" s="4"/>
      <c r="N22" s="4"/>
    </row>
    <row r="23" spans="1:14" x14ac:dyDescent="0.25">
      <c r="A23" s="108" t="s">
        <v>126</v>
      </c>
      <c r="I23" s="16"/>
      <c r="J23" s="22"/>
      <c r="K23" s="20"/>
      <c r="L23" s="4"/>
      <c r="M23" s="4"/>
      <c r="N23" s="4"/>
    </row>
    <row r="24" spans="1:14" x14ac:dyDescent="0.25">
      <c r="A24" s="10"/>
      <c r="I24" s="15"/>
      <c r="J24" s="8"/>
      <c r="K24" s="20"/>
      <c r="L24" s="7"/>
      <c r="M24" s="7"/>
      <c r="N24" s="7"/>
    </row>
    <row r="25" spans="1:14" ht="13" x14ac:dyDescent="0.3">
      <c r="A25" s="29" t="s">
        <v>39</v>
      </c>
      <c r="I25" s="14" t="s">
        <v>25</v>
      </c>
      <c r="J25" s="111">
        <f>J$10</f>
        <v>2020</v>
      </c>
      <c r="K25" s="20"/>
      <c r="L25" s="7"/>
      <c r="M25" s="7"/>
      <c r="N25" s="7"/>
    </row>
    <row r="26" spans="1:14" x14ac:dyDescent="0.25">
      <c r="A26" s="10"/>
      <c r="I26" s="15" t="s">
        <v>7</v>
      </c>
      <c r="J26" s="8">
        <v>150</v>
      </c>
      <c r="K26" s="20"/>
      <c r="L26" s="7"/>
      <c r="M26" s="7"/>
      <c r="N26" s="7"/>
    </row>
    <row r="27" spans="1:14" x14ac:dyDescent="0.25">
      <c r="A27" s="128" t="str">
        <f>"a) calculate the normalised "&amp;TEXT('Answer template'!H43,"0F")&amp;" free cash flow"</f>
        <v>a) calculate the normalised 2025F free cash flow</v>
      </c>
      <c r="I27" s="15" t="s">
        <v>13</v>
      </c>
      <c r="J27" s="7">
        <v>25</v>
      </c>
      <c r="K27" s="20"/>
      <c r="L27" s="7"/>
      <c r="M27" s="7"/>
      <c r="N27" s="7"/>
    </row>
    <row r="28" spans="1:14" x14ac:dyDescent="0.25">
      <c r="A28" s="5" t="s">
        <v>48</v>
      </c>
      <c r="I28" s="15" t="s">
        <v>86</v>
      </c>
      <c r="J28" s="8">
        <v>20</v>
      </c>
      <c r="K28" s="20"/>
      <c r="L28" s="7"/>
      <c r="M28" s="7"/>
      <c r="N28" s="7"/>
    </row>
    <row r="29" spans="1:14" x14ac:dyDescent="0.25">
      <c r="A29" s="101" t="str">
        <f>"c) calculate the terminal EV/EBITDA multiple on "&amp;TEXT('Answer template'!H9,"0F")</f>
        <v>c) calculate the terminal EV/EBITDA multiple on 2025F</v>
      </c>
      <c r="K29" s="20"/>
      <c r="L29" s="7"/>
      <c r="M29" s="7"/>
      <c r="N29" s="7"/>
    </row>
    <row r="30" spans="1:14" ht="13" x14ac:dyDescent="0.3">
      <c r="A30" s="5" t="s">
        <v>49</v>
      </c>
      <c r="I30" s="14" t="s">
        <v>50</v>
      </c>
      <c r="J30" s="111">
        <f>J$10</f>
        <v>2020</v>
      </c>
      <c r="K30" s="20"/>
      <c r="L30" s="7"/>
      <c r="M30" s="7"/>
      <c r="N30" s="7"/>
    </row>
    <row r="31" spans="1:14" x14ac:dyDescent="0.25">
      <c r="F31" s="15"/>
      <c r="I31" s="15" t="s">
        <v>18</v>
      </c>
      <c r="J31" s="23">
        <v>125</v>
      </c>
      <c r="K31" s="20"/>
      <c r="L31" s="7"/>
      <c r="M31" s="7"/>
      <c r="N31" s="7"/>
    </row>
    <row r="32" spans="1:14" ht="13" x14ac:dyDescent="0.3">
      <c r="A32" s="29" t="s">
        <v>40</v>
      </c>
      <c r="F32" s="15"/>
      <c r="I32" s="15" t="s">
        <v>29</v>
      </c>
      <c r="J32" s="23">
        <v>600</v>
      </c>
      <c r="K32" s="20"/>
      <c r="L32" s="7"/>
      <c r="M32" s="7"/>
      <c r="N32" s="7"/>
    </row>
    <row r="33" spans="1:14" x14ac:dyDescent="0.25">
      <c r="A33" s="10"/>
      <c r="I33" s="15" t="s">
        <v>24</v>
      </c>
      <c r="J33" s="23">
        <v>550</v>
      </c>
      <c r="K33" s="20"/>
      <c r="L33" s="7"/>
      <c r="M33" s="7"/>
      <c r="N33" s="7"/>
    </row>
    <row r="34" spans="1:14" x14ac:dyDescent="0.25">
      <c r="A34" s="101" t="str">
        <f>"a) Calculate implied EV/EBITDA multiple on "&amp;TEXT('Answer template'!D9,"0F")</f>
        <v>a) Calculate implied EV/EBITDA multiple on 2021F</v>
      </c>
      <c r="I34" s="15" t="s">
        <v>17</v>
      </c>
      <c r="J34" s="23">
        <v>400</v>
      </c>
      <c r="K34" s="20"/>
      <c r="L34" s="7"/>
      <c r="M34" s="7"/>
      <c r="N34" s="7"/>
    </row>
    <row r="35" spans="1:14" x14ac:dyDescent="0.25">
      <c r="A35" s="101" t="str">
        <f>"b) Calculate implied EV/EBITA multiple on "&amp;TEXT('Answer template'!D9,"0F")</f>
        <v>b) Calculate implied EV/EBITA multiple on 2021F</v>
      </c>
      <c r="I35" s="15" t="s">
        <v>51</v>
      </c>
      <c r="J35" s="23">
        <v>250</v>
      </c>
      <c r="K35" s="20"/>
      <c r="L35" s="7"/>
      <c r="M35" s="7"/>
      <c r="N35" s="7"/>
    </row>
    <row r="36" spans="1:14" x14ac:dyDescent="0.25">
      <c r="L36" s="7"/>
      <c r="M36" s="7"/>
      <c r="N36" s="7"/>
    </row>
    <row r="37" spans="1:14" ht="13" x14ac:dyDescent="0.3">
      <c r="A37" s="29" t="s">
        <v>41</v>
      </c>
      <c r="B37" s="7"/>
      <c r="C37" s="7"/>
      <c r="D37" s="15"/>
      <c r="E37" s="15"/>
      <c r="F37" s="15"/>
      <c r="I37" s="14" t="s">
        <v>6</v>
      </c>
      <c r="J37" s="111">
        <f>J$10</f>
        <v>2020</v>
      </c>
      <c r="L37" s="7"/>
      <c r="M37" s="7"/>
      <c r="N37" s="7"/>
    </row>
    <row r="38" spans="1:14" x14ac:dyDescent="0.25">
      <c r="A38" s="7"/>
      <c r="B38" s="7"/>
      <c r="C38" s="7"/>
      <c r="D38" s="15"/>
      <c r="E38" s="15"/>
      <c r="F38" s="15"/>
      <c r="I38" s="15" t="s">
        <v>19</v>
      </c>
      <c r="J38" s="23">
        <v>200</v>
      </c>
      <c r="L38" s="7"/>
      <c r="M38" s="7"/>
      <c r="N38" s="7"/>
    </row>
    <row r="39" spans="1:14" x14ac:dyDescent="0.25">
      <c r="A39" s="7" t="s">
        <v>46</v>
      </c>
      <c r="F39" s="15"/>
      <c r="I39" s="15" t="s">
        <v>20</v>
      </c>
      <c r="J39" s="23">
        <v>250</v>
      </c>
      <c r="L39" s="7"/>
      <c r="M39" s="7"/>
      <c r="N39" s="7"/>
    </row>
    <row r="40" spans="1:14" x14ac:dyDescent="0.25">
      <c r="A40" s="7" t="s">
        <v>110</v>
      </c>
      <c r="B40" s="7"/>
      <c r="C40" s="7"/>
      <c r="D40" s="15"/>
      <c r="E40" s="15"/>
      <c r="F40" s="15"/>
      <c r="I40" s="5" t="s">
        <v>22</v>
      </c>
      <c r="J40" s="5">
        <v>160</v>
      </c>
      <c r="L40" s="7"/>
      <c r="M40" s="7"/>
      <c r="N40" s="7"/>
    </row>
    <row r="41" spans="1:14" x14ac:dyDescent="0.25">
      <c r="A41" s="7" t="s">
        <v>111</v>
      </c>
      <c r="F41" s="15"/>
      <c r="L41" s="7"/>
      <c r="M41" s="7"/>
      <c r="N41" s="7"/>
    </row>
    <row r="42" spans="1:14" x14ac:dyDescent="0.25">
      <c r="A42" s="10" t="s">
        <v>112</v>
      </c>
      <c r="F42" s="15"/>
      <c r="L42" s="7"/>
      <c r="M42" s="7"/>
      <c r="N42" s="7"/>
    </row>
    <row r="43" spans="1:14" ht="13" x14ac:dyDescent="0.3">
      <c r="A43" s="7" t="s">
        <v>113</v>
      </c>
      <c r="I43" s="25" t="s">
        <v>54</v>
      </c>
      <c r="J43" s="26"/>
      <c r="K43" s="26"/>
      <c r="L43" s="26"/>
      <c r="M43" s="26"/>
      <c r="N43" s="26"/>
    </row>
    <row r="44" spans="1:14" ht="13" x14ac:dyDescent="0.3">
      <c r="B44" s="7"/>
      <c r="C44" s="7"/>
      <c r="D44" s="15"/>
      <c r="E44" s="15"/>
      <c r="F44" s="15"/>
      <c r="I44" s="24"/>
      <c r="K44" s="6"/>
      <c r="L44" s="6"/>
      <c r="M44" s="6"/>
      <c r="N44" s="6"/>
    </row>
    <row r="45" spans="1:14" ht="13" x14ac:dyDescent="0.3">
      <c r="A45" s="30" t="s">
        <v>124</v>
      </c>
      <c r="B45" s="7"/>
      <c r="C45" s="7"/>
      <c r="D45" s="15"/>
      <c r="E45" s="15"/>
      <c r="I45" s="5" t="s">
        <v>1</v>
      </c>
      <c r="J45" s="128" t="s">
        <v>127</v>
      </c>
      <c r="K45" s="6"/>
      <c r="L45" s="6"/>
      <c r="M45" s="6"/>
      <c r="N45" s="6"/>
    </row>
    <row r="46" spans="1:14" x14ac:dyDescent="0.25">
      <c r="A46" s="7"/>
      <c r="B46" s="7"/>
      <c r="C46" s="7"/>
      <c r="D46" s="15"/>
      <c r="E46" s="15"/>
      <c r="F46" s="15"/>
      <c r="I46" s="5" t="s">
        <v>27</v>
      </c>
      <c r="J46" s="128" t="s">
        <v>128</v>
      </c>
      <c r="K46" s="6"/>
      <c r="L46" s="6"/>
      <c r="M46" s="6"/>
      <c r="N46" s="6"/>
    </row>
    <row r="47" spans="1:14" x14ac:dyDescent="0.25">
      <c r="A47" s="7" t="s">
        <v>47</v>
      </c>
      <c r="B47" s="7"/>
      <c r="C47" s="7"/>
      <c r="D47" s="15"/>
      <c r="I47" s="5" t="s">
        <v>3</v>
      </c>
      <c r="J47" s="5" t="s">
        <v>28</v>
      </c>
    </row>
    <row r="48" spans="1:14" x14ac:dyDescent="0.25">
      <c r="A48" s="7"/>
      <c r="I48" s="5" t="s">
        <v>11</v>
      </c>
      <c r="J48" s="128" t="s">
        <v>129</v>
      </c>
    </row>
    <row r="49" spans="1:10" ht="13" x14ac:dyDescent="0.3">
      <c r="A49" s="30"/>
      <c r="I49" s="5" t="s">
        <v>8</v>
      </c>
      <c r="J49" s="128" t="s">
        <v>130</v>
      </c>
    </row>
    <row r="50" spans="1:10" x14ac:dyDescent="0.25">
      <c r="I50" s="5" t="s">
        <v>37</v>
      </c>
      <c r="J50" s="129" t="s">
        <v>131</v>
      </c>
    </row>
    <row r="51" spans="1:10" x14ac:dyDescent="0.25">
      <c r="I51" s="5" t="s">
        <v>30</v>
      </c>
      <c r="J51" s="28" t="s">
        <v>31</v>
      </c>
    </row>
    <row r="52" spans="1:10" x14ac:dyDescent="0.25">
      <c r="I52" s="5" t="s">
        <v>21</v>
      </c>
      <c r="J52" s="27">
        <v>0.08</v>
      </c>
    </row>
    <row r="53" spans="1:10" x14ac:dyDescent="0.25">
      <c r="I53" s="5" t="s">
        <v>42</v>
      </c>
      <c r="J53" s="27">
        <v>0.03</v>
      </c>
    </row>
    <row r="54" spans="1:10" x14ac:dyDescent="0.25">
      <c r="I54" s="5" t="s">
        <v>52</v>
      </c>
      <c r="J54" s="28" t="s">
        <v>53</v>
      </c>
    </row>
    <row r="55" spans="1:10" x14ac:dyDescent="0.25">
      <c r="J55" s="28"/>
    </row>
    <row r="56" spans="1:10" x14ac:dyDescent="0.25">
      <c r="J56" s="28"/>
    </row>
    <row r="58" spans="1:10" x14ac:dyDescent="0.25">
      <c r="J58" s="28"/>
    </row>
    <row r="59" spans="1:10" x14ac:dyDescent="0.25">
      <c r="J59" s="28"/>
    </row>
    <row r="67" spans="1:10" x14ac:dyDescent="0.25">
      <c r="A67" s="10"/>
    </row>
    <row r="70" spans="1:10" x14ac:dyDescent="0.25">
      <c r="A70" s="10"/>
    </row>
    <row r="76" spans="1:10" x14ac:dyDescent="0.25">
      <c r="J76" s="9"/>
    </row>
  </sheetData>
  <phoneticPr fontId="0" type="noConversion"/>
  <pageMargins left="0.75" right="0.75" top="1" bottom="1" header="0.5" footer="0.5"/>
  <pageSetup paperSize="9" scale="6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102"/>
  <sheetViews>
    <sheetView topLeftCell="A7" zoomScale="58" zoomScaleNormal="115" workbookViewId="0">
      <selection activeCell="C16" sqref="C16"/>
    </sheetView>
  </sheetViews>
  <sheetFormatPr defaultRowHeight="12.5" x14ac:dyDescent="0.25"/>
  <cols>
    <col min="2" max="2" width="41.90625" customWidth="1"/>
    <col min="3" max="3" width="9.453125" bestFit="1" customWidth="1"/>
    <col min="4" max="8" width="10.54296875" customWidth="1"/>
    <col min="10" max="10" width="14.36328125" bestFit="1" customWidth="1"/>
    <col min="12" max="12" width="44.453125" bestFit="1" customWidth="1"/>
    <col min="13" max="13" width="10.54296875" bestFit="1" customWidth="1"/>
    <col min="14" max="15" width="10.6328125" bestFit="1" customWidth="1"/>
  </cols>
  <sheetData>
    <row r="2" spans="2:14" ht="20" x14ac:dyDescent="0.4">
      <c r="B2" s="31" t="s">
        <v>55</v>
      </c>
    </row>
    <row r="4" spans="2:14" ht="13" x14ac:dyDescent="0.3">
      <c r="B4" t="s">
        <v>42</v>
      </c>
      <c r="D4" s="44">
        <v>0.03</v>
      </c>
    </row>
    <row r="5" spans="2:14" ht="13" x14ac:dyDescent="0.3">
      <c r="B5" t="s">
        <v>21</v>
      </c>
      <c r="D5" s="44">
        <v>0.08</v>
      </c>
    </row>
    <row r="7" spans="2:14" ht="25" x14ac:dyDescent="0.5">
      <c r="B7" s="109" t="s">
        <v>74</v>
      </c>
      <c r="J7" s="109" t="s">
        <v>88</v>
      </c>
      <c r="L7" s="109" t="s">
        <v>89</v>
      </c>
    </row>
    <row r="8" spans="2:14" ht="12" customHeight="1" x14ac:dyDescent="0.5">
      <c r="B8" s="109"/>
      <c r="J8" s="100"/>
      <c r="L8" s="109"/>
    </row>
    <row r="9" spans="2:14" ht="13" x14ac:dyDescent="0.3">
      <c r="B9" s="68" t="s">
        <v>117</v>
      </c>
      <c r="C9" s="111">
        <v>2020</v>
      </c>
      <c r="D9" s="112">
        <f t="shared" ref="D9:H9" si="0">C9+1</f>
        <v>2021</v>
      </c>
      <c r="E9" s="112">
        <f t="shared" si="0"/>
        <v>2022</v>
      </c>
      <c r="F9" s="112">
        <f t="shared" si="0"/>
        <v>2023</v>
      </c>
      <c r="G9" s="112">
        <f t="shared" si="0"/>
        <v>2024</v>
      </c>
      <c r="H9" s="112">
        <f t="shared" si="0"/>
        <v>2025</v>
      </c>
      <c r="J9" s="113" t="str">
        <f>"Normalised "&amp;H9&amp;"F"</f>
        <v>Normalised 2025F</v>
      </c>
      <c r="L9" s="114" t="s">
        <v>90</v>
      </c>
      <c r="M9" s="83"/>
      <c r="N9" s="87" t="s">
        <v>99</v>
      </c>
    </row>
    <row r="10" spans="2:14" s="76" customFormat="1" ht="13" x14ac:dyDescent="0.3">
      <c r="B10" s="11"/>
      <c r="C10" s="115"/>
      <c r="D10" s="116"/>
      <c r="E10" s="115"/>
      <c r="F10" s="115"/>
      <c r="G10" s="115"/>
      <c r="H10" s="115"/>
      <c r="J10" s="117"/>
      <c r="K10"/>
      <c r="L10" s="110" t="str">
        <f>"Terminal FCF ("&amp;TEXT(H9+1,"0F")&amp;", based on "&amp;TEXT(H9,"0F")&amp;" Normalised)"</f>
        <v>Terminal FCF (2026F, based on 2025F Normalised)</v>
      </c>
      <c r="M10"/>
      <c r="N10" s="37"/>
    </row>
    <row r="11" spans="2:14" ht="13" x14ac:dyDescent="0.3">
      <c r="B11" s="11" t="s">
        <v>0</v>
      </c>
      <c r="C11" s="51">
        <f>Questions!J12</f>
        <v>2000</v>
      </c>
      <c r="D11" s="50">
        <f t="shared" ref="D11:H11" si="1">C11*(1+D12)</f>
        <v>2140</v>
      </c>
      <c r="E11" s="51">
        <f t="shared" si="1"/>
        <v>2247</v>
      </c>
      <c r="F11" s="51">
        <f t="shared" si="1"/>
        <v>2359.35</v>
      </c>
      <c r="G11" s="51">
        <f t="shared" si="1"/>
        <v>2477.3175000000001</v>
      </c>
      <c r="H11" s="51">
        <f t="shared" si="1"/>
        <v>2601.1833750000001</v>
      </c>
      <c r="J11" s="102">
        <f>+H11</f>
        <v>2601.1833750000001</v>
      </c>
    </row>
    <row r="12" spans="2:14" ht="13" x14ac:dyDescent="0.3">
      <c r="B12" s="33" t="s">
        <v>68</v>
      </c>
      <c r="C12" s="118"/>
      <c r="D12" s="43">
        <v>7.0000000000000007E-2</v>
      </c>
      <c r="E12" s="44">
        <v>0.05</v>
      </c>
      <c r="F12" s="44">
        <v>0.05</v>
      </c>
      <c r="G12" s="44">
        <v>0.05</v>
      </c>
      <c r="H12" s="44">
        <v>0.05</v>
      </c>
      <c r="J12" s="103">
        <f>J11/H11-1</f>
        <v>0</v>
      </c>
      <c r="L12" t="s">
        <v>90</v>
      </c>
      <c r="M12" s="76"/>
      <c r="N12" s="95"/>
    </row>
    <row r="13" spans="2:14" x14ac:dyDescent="0.25">
      <c r="C13" s="41"/>
      <c r="D13" s="32"/>
    </row>
    <row r="14" spans="2:14" x14ac:dyDescent="0.25">
      <c r="B14" s="99" t="s">
        <v>66</v>
      </c>
      <c r="C14" s="41">
        <f>C17-C11</f>
        <v>-1700</v>
      </c>
      <c r="D14" s="42">
        <f t="shared" ref="D14:H14" si="2">D17-D11</f>
        <v>-1819</v>
      </c>
      <c r="E14" s="41">
        <f t="shared" si="2"/>
        <v>-1909.95</v>
      </c>
      <c r="F14" s="41">
        <f t="shared" si="2"/>
        <v>-2005.4475</v>
      </c>
      <c r="G14" s="41">
        <f t="shared" si="2"/>
        <v>-2105.7198750000002</v>
      </c>
      <c r="H14" s="41">
        <f t="shared" si="2"/>
        <v>-2211.00586875</v>
      </c>
      <c r="J14" s="119">
        <f>J11-J17</f>
        <v>2211.00586875</v>
      </c>
      <c r="L14" t="s">
        <v>77</v>
      </c>
      <c r="N14" s="35"/>
    </row>
    <row r="15" spans="2:14" ht="13" x14ac:dyDescent="0.3">
      <c r="B15" s="33" t="s">
        <v>67</v>
      </c>
      <c r="C15" s="41"/>
      <c r="D15" s="78">
        <f t="shared" ref="D15:H15" si="3">D14/C14-1</f>
        <v>7.0000000000000062E-2</v>
      </c>
      <c r="E15" s="79">
        <f t="shared" si="3"/>
        <v>5.0000000000000044E-2</v>
      </c>
      <c r="F15" s="79">
        <f t="shared" si="3"/>
        <v>5.0000000000000044E-2</v>
      </c>
      <c r="G15" s="79">
        <f t="shared" si="3"/>
        <v>5.0000000000000044E-2</v>
      </c>
      <c r="H15" s="79">
        <f t="shared" si="3"/>
        <v>4.9999999999999822E-2</v>
      </c>
      <c r="J15" s="103">
        <f>J14/H14-1</f>
        <v>-2</v>
      </c>
    </row>
    <row r="16" spans="2:14" x14ac:dyDescent="0.25">
      <c r="C16" s="41"/>
      <c r="D16" s="32"/>
      <c r="L16" t="s">
        <v>91</v>
      </c>
      <c r="N16" s="96"/>
    </row>
    <row r="17" spans="2:15" ht="13" x14ac:dyDescent="0.3">
      <c r="B17" s="48" t="s">
        <v>2</v>
      </c>
      <c r="C17" s="51">
        <f>Questions!J13</f>
        <v>300</v>
      </c>
      <c r="D17" s="52">
        <f t="shared" ref="D17:H17" si="4">D11*D18</f>
        <v>321</v>
      </c>
      <c r="E17" s="53">
        <f t="shared" si="4"/>
        <v>337.05</v>
      </c>
      <c r="F17" s="53">
        <f t="shared" si="4"/>
        <v>353.90249999999997</v>
      </c>
      <c r="G17" s="53">
        <f t="shared" si="4"/>
        <v>371.59762499999999</v>
      </c>
      <c r="H17" s="53">
        <f t="shared" si="4"/>
        <v>390.17750625000002</v>
      </c>
      <c r="J17" s="30">
        <f>J18*J11</f>
        <v>390.17750625000002</v>
      </c>
    </row>
    <row r="18" spans="2:15" ht="13" x14ac:dyDescent="0.3">
      <c r="B18" s="33" t="s">
        <v>56</v>
      </c>
      <c r="C18" s="57">
        <f>C17/C11</f>
        <v>0.15</v>
      </c>
      <c r="D18" s="43">
        <v>0.15</v>
      </c>
      <c r="E18" s="58">
        <v>0.15</v>
      </c>
      <c r="F18" s="58">
        <v>0.15</v>
      </c>
      <c r="G18" s="58">
        <v>0.15</v>
      </c>
      <c r="H18" s="58">
        <v>0.15</v>
      </c>
      <c r="J18" s="44">
        <f>+H18</f>
        <v>0.15</v>
      </c>
      <c r="L18" s="134" t="s">
        <v>93</v>
      </c>
    </row>
    <row r="19" spans="2:15" ht="13" x14ac:dyDescent="0.3">
      <c r="B19" s="33" t="s">
        <v>85</v>
      </c>
      <c r="C19" s="59"/>
      <c r="D19" s="81"/>
      <c r="E19" s="81"/>
      <c r="F19" s="81"/>
      <c r="G19" s="81"/>
      <c r="H19" s="81"/>
      <c r="J19" s="103">
        <f>J17/H17-1</f>
        <v>0</v>
      </c>
      <c r="L19" s="134"/>
    </row>
    <row r="20" spans="2:15" x14ac:dyDescent="0.25">
      <c r="C20" s="120"/>
      <c r="D20" s="38"/>
    </row>
    <row r="21" spans="2:15" ht="13" x14ac:dyDescent="0.3">
      <c r="B21" t="s">
        <v>64</v>
      </c>
      <c r="C21" s="118">
        <f>Questions!J14</f>
        <v>-60</v>
      </c>
      <c r="D21" s="42"/>
      <c r="E21" s="41"/>
      <c r="F21" s="41"/>
      <c r="G21" s="41"/>
      <c r="H21" s="41"/>
      <c r="J21" s="37">
        <f>J32</f>
        <v>0</v>
      </c>
      <c r="L21" s="114" t="s">
        <v>92</v>
      </c>
      <c r="M21" s="83"/>
      <c r="N21" s="87" t="s">
        <v>99</v>
      </c>
    </row>
    <row r="22" spans="2:15" ht="13" x14ac:dyDescent="0.3">
      <c r="B22" s="33" t="s">
        <v>57</v>
      </c>
      <c r="C22" s="59">
        <f>-C21/C11</f>
        <v>0.03</v>
      </c>
      <c r="D22" s="60"/>
      <c r="E22" s="60"/>
      <c r="F22" s="60"/>
      <c r="G22" s="60"/>
      <c r="H22" s="60"/>
      <c r="J22" s="103">
        <f>-J21/J11</f>
        <v>0</v>
      </c>
    </row>
    <row r="23" spans="2:15" x14ac:dyDescent="0.25">
      <c r="C23" s="120"/>
      <c r="L23" t="s">
        <v>95</v>
      </c>
      <c r="N23" s="34"/>
    </row>
    <row r="24" spans="2:15" ht="13" x14ac:dyDescent="0.3">
      <c r="B24" s="48" t="s">
        <v>58</v>
      </c>
      <c r="C24" s="54">
        <f>C17+C21</f>
        <v>240</v>
      </c>
      <c r="D24" s="49"/>
      <c r="E24" s="49"/>
      <c r="F24" s="49"/>
      <c r="G24" s="49"/>
      <c r="H24" s="49"/>
      <c r="J24" s="49">
        <f>J17+J21</f>
        <v>390.17750625000002</v>
      </c>
    </row>
    <row r="25" spans="2:15" ht="13" x14ac:dyDescent="0.3">
      <c r="B25" s="33" t="s">
        <v>59</v>
      </c>
      <c r="C25" s="40">
        <f>C24/C11</f>
        <v>0.12</v>
      </c>
      <c r="D25" s="36"/>
      <c r="E25" s="36"/>
      <c r="F25" s="36"/>
      <c r="G25" s="36"/>
      <c r="H25" s="36"/>
      <c r="I25" s="36"/>
      <c r="J25" s="104">
        <f>J24/J11</f>
        <v>0.15</v>
      </c>
      <c r="L25" t="s">
        <v>94</v>
      </c>
      <c r="N25" s="34"/>
    </row>
    <row r="26" spans="2:15" x14ac:dyDescent="0.25">
      <c r="C26" s="120"/>
    </row>
    <row r="27" spans="2:15" x14ac:dyDescent="0.25">
      <c r="B27" t="s">
        <v>60</v>
      </c>
      <c r="C27" s="118">
        <f>-C24*C28</f>
        <v>-72</v>
      </c>
      <c r="D27" s="42"/>
      <c r="E27" s="41"/>
      <c r="F27" s="41"/>
      <c r="G27" s="41"/>
      <c r="H27" s="41"/>
      <c r="J27" s="119">
        <f>-J28*J24</f>
        <v>0</v>
      </c>
      <c r="L27" t="s">
        <v>92</v>
      </c>
      <c r="N27" s="84"/>
    </row>
    <row r="28" spans="2:15" ht="13" x14ac:dyDescent="0.3">
      <c r="B28" s="33" t="s">
        <v>61</v>
      </c>
      <c r="C28" s="61">
        <v>0.3</v>
      </c>
      <c r="D28" s="44"/>
      <c r="E28" s="44"/>
      <c r="F28" s="44"/>
      <c r="G28" s="44"/>
      <c r="H28" s="44"/>
      <c r="J28" s="55">
        <f>+H28</f>
        <v>0</v>
      </c>
    </row>
    <row r="29" spans="2:15" x14ac:dyDescent="0.25">
      <c r="C29" s="120"/>
      <c r="L29" s="134" t="s">
        <v>96</v>
      </c>
    </row>
    <row r="30" spans="2:15" x14ac:dyDescent="0.25">
      <c r="B30" t="s">
        <v>62</v>
      </c>
      <c r="C30" s="121">
        <f>-C21</f>
        <v>60</v>
      </c>
      <c r="D30" s="47"/>
      <c r="E30" s="47"/>
      <c r="F30" s="47"/>
      <c r="G30" s="47"/>
      <c r="H30" s="47"/>
      <c r="J30" s="37">
        <f>-J21</f>
        <v>0</v>
      </c>
      <c r="L30" s="134"/>
    </row>
    <row r="31" spans="2:15" x14ac:dyDescent="0.25">
      <c r="C31" s="120"/>
    </row>
    <row r="32" spans="2:15" ht="13" x14ac:dyDescent="0.3">
      <c r="B32" t="s">
        <v>63</v>
      </c>
      <c r="C32" s="118">
        <f>-Questions!J26</f>
        <v>-150</v>
      </c>
      <c r="D32" s="122"/>
      <c r="E32" s="123"/>
      <c r="F32" s="123"/>
      <c r="G32" s="123"/>
      <c r="H32" s="123"/>
      <c r="I32" s="38"/>
      <c r="J32" s="119">
        <f>-J33*J11</f>
        <v>0</v>
      </c>
      <c r="L32" s="114" t="s">
        <v>97</v>
      </c>
      <c r="M32" s="83"/>
      <c r="N32" s="87" t="s">
        <v>99</v>
      </c>
      <c r="O32" s="87" t="s">
        <v>100</v>
      </c>
    </row>
    <row r="33" spans="2:15" ht="13" x14ac:dyDescent="0.3">
      <c r="B33" s="33" t="s">
        <v>84</v>
      </c>
      <c r="C33" s="40"/>
      <c r="D33" s="79"/>
      <c r="E33" s="60"/>
      <c r="F33" s="60"/>
      <c r="G33" s="60"/>
      <c r="H33" s="60"/>
      <c r="I33" s="38"/>
      <c r="J33" s="55">
        <f>+H33</f>
        <v>0</v>
      </c>
    </row>
    <row r="34" spans="2:15" ht="13" x14ac:dyDescent="0.3">
      <c r="B34" s="33" t="s">
        <v>69</v>
      </c>
      <c r="C34" s="40">
        <f>C32/C21</f>
        <v>2.5</v>
      </c>
      <c r="D34" s="45"/>
      <c r="E34" s="45"/>
      <c r="F34" s="45"/>
      <c r="G34" s="45"/>
      <c r="H34" s="45"/>
      <c r="I34" s="38"/>
      <c r="J34" s="105" t="e">
        <f>J32/J21</f>
        <v>#DIV/0!</v>
      </c>
      <c r="L34" s="110" t="str">
        <f>"PV of cash flows "&amp;TEXT(D9,"0F")&amp;" to "&amp;TEXT(H9,"0F")</f>
        <v>PV of cash flows 2021F to 2025F</v>
      </c>
      <c r="N34" s="37"/>
      <c r="O34" s="97"/>
    </row>
    <row r="35" spans="2:15" x14ac:dyDescent="0.25">
      <c r="C35" s="39"/>
      <c r="I35" s="38"/>
      <c r="J35" s="38"/>
    </row>
    <row r="36" spans="2:15" x14ac:dyDescent="0.25">
      <c r="B36" t="s">
        <v>65</v>
      </c>
      <c r="C36" s="118">
        <f>-Questions!J28</f>
        <v>-20</v>
      </c>
      <c r="D36" s="41"/>
      <c r="E36" s="41"/>
      <c r="F36" s="41"/>
      <c r="G36" s="41"/>
      <c r="H36" s="41"/>
      <c r="J36" s="119">
        <f>-J48</f>
        <v>0</v>
      </c>
      <c r="L36" t="s">
        <v>91</v>
      </c>
      <c r="N36" s="34"/>
      <c r="O36" s="97"/>
    </row>
    <row r="37" spans="2:15" ht="13" x14ac:dyDescent="0.3">
      <c r="B37" s="33" t="s">
        <v>72</v>
      </c>
      <c r="C37" s="124"/>
      <c r="D37" s="62"/>
      <c r="E37" s="62"/>
      <c r="F37" s="62"/>
      <c r="G37" s="62"/>
      <c r="H37" s="62"/>
      <c r="J37" s="46">
        <f>J46</f>
        <v>0</v>
      </c>
      <c r="L37" s="110" t="str">
        <f>"(eg PV of cash flows beyond "&amp;TEXT(H9,"0F"&amp;")")</f>
        <v>(eg PV of cash flows beyond 2025F)</v>
      </c>
    </row>
    <row r="38" spans="2:15" x14ac:dyDescent="0.25">
      <c r="C38" s="39"/>
    </row>
    <row r="39" spans="2:15" ht="13" x14ac:dyDescent="0.3">
      <c r="B39" s="11" t="s">
        <v>70</v>
      </c>
      <c r="C39" s="54">
        <f>C24+C27+C30+C32+C36</f>
        <v>58</v>
      </c>
      <c r="D39" s="50"/>
      <c r="E39" s="51"/>
      <c r="F39" s="51"/>
      <c r="G39" s="51"/>
      <c r="H39" s="51"/>
      <c r="I39" s="38"/>
      <c r="J39" s="102">
        <f>J24+J27+J30+J32+J36</f>
        <v>390.17750625000002</v>
      </c>
      <c r="L39" s="48" t="s">
        <v>98</v>
      </c>
      <c r="M39" s="48"/>
      <c r="N39" s="85"/>
      <c r="O39" s="86"/>
    </row>
    <row r="40" spans="2:15" ht="13" x14ac:dyDescent="0.3">
      <c r="B40" s="130" t="s">
        <v>87</v>
      </c>
      <c r="C40" s="131"/>
      <c r="D40" s="132"/>
      <c r="E40" s="132"/>
      <c r="F40" s="132"/>
      <c r="G40" s="132"/>
      <c r="H40" s="132"/>
      <c r="J40" s="103" t="e">
        <f>J39/H39-1</f>
        <v>#DIV/0!</v>
      </c>
    </row>
    <row r="41" spans="2:15" x14ac:dyDescent="0.25">
      <c r="C41" s="38"/>
      <c r="D41" s="38"/>
      <c r="L41" s="134" t="s">
        <v>101</v>
      </c>
    </row>
    <row r="42" spans="2:15" x14ac:dyDescent="0.25">
      <c r="C42" s="38"/>
      <c r="D42" s="38"/>
      <c r="L42" s="134"/>
    </row>
    <row r="43" spans="2:15" ht="13" x14ac:dyDescent="0.3">
      <c r="B43" s="69" t="s">
        <v>71</v>
      </c>
      <c r="C43" s="125">
        <f t="shared" ref="C43:H43" si="5">C$9</f>
        <v>2020</v>
      </c>
      <c r="D43" s="126">
        <f t="shared" si="5"/>
        <v>2021</v>
      </c>
      <c r="E43" s="126">
        <f t="shared" si="5"/>
        <v>2022</v>
      </c>
      <c r="F43" s="126">
        <f t="shared" si="5"/>
        <v>2023</v>
      </c>
      <c r="G43" s="126">
        <f t="shared" si="5"/>
        <v>2024</v>
      </c>
      <c r="H43" s="126">
        <f t="shared" si="5"/>
        <v>2025</v>
      </c>
      <c r="J43" s="107" t="str">
        <f>+J9</f>
        <v>Normalised 2025F</v>
      </c>
    </row>
    <row r="44" spans="2:15" ht="13" x14ac:dyDescent="0.3">
      <c r="B44" s="33"/>
      <c r="C44" s="63"/>
      <c r="D44" s="33"/>
      <c r="E44" s="33"/>
      <c r="F44" s="33"/>
      <c r="G44" s="33"/>
      <c r="H44" s="33"/>
      <c r="L44" s="114" t="s">
        <v>118</v>
      </c>
      <c r="M44" s="114"/>
      <c r="N44" s="127" t="s">
        <v>99</v>
      </c>
    </row>
    <row r="45" spans="2:15" ht="13" x14ac:dyDescent="0.3">
      <c r="B45" s="33" t="s">
        <v>8</v>
      </c>
      <c r="C45" s="64">
        <f>Questions!J32</f>
        <v>600</v>
      </c>
      <c r="D45" s="65"/>
      <c r="E45" s="65"/>
      <c r="F45" s="65"/>
      <c r="G45" s="65"/>
      <c r="H45" s="65"/>
      <c r="J45" s="106">
        <f>J46*J11</f>
        <v>0</v>
      </c>
    </row>
    <row r="46" spans="2:15" ht="13" x14ac:dyDescent="0.3">
      <c r="B46" s="33" t="s">
        <v>72</v>
      </c>
      <c r="C46" s="40">
        <f>C45/C11</f>
        <v>0.3</v>
      </c>
      <c r="D46" s="55"/>
      <c r="E46" s="55"/>
      <c r="F46" s="55"/>
      <c r="G46" s="55"/>
      <c r="H46" s="55"/>
      <c r="J46" s="55">
        <f>+H46</f>
        <v>0</v>
      </c>
      <c r="L46" t="s">
        <v>102</v>
      </c>
      <c r="N46" s="34"/>
    </row>
    <row r="47" spans="2:15" ht="13" x14ac:dyDescent="0.3">
      <c r="B47" s="33"/>
      <c r="C47" s="63"/>
      <c r="D47" s="33"/>
      <c r="E47" s="33"/>
      <c r="F47" s="33"/>
      <c r="G47" s="33"/>
      <c r="H47" s="33"/>
    </row>
    <row r="48" spans="2:15" ht="13" x14ac:dyDescent="0.3">
      <c r="B48" s="33" t="s">
        <v>73</v>
      </c>
      <c r="C48" s="66">
        <f>-C36</f>
        <v>20</v>
      </c>
      <c r="D48" s="67"/>
      <c r="E48" s="67"/>
      <c r="F48" s="67"/>
      <c r="G48" s="67"/>
      <c r="H48" s="67"/>
      <c r="J48" s="80">
        <f>+J45 - G45</f>
        <v>0</v>
      </c>
      <c r="L48" s="110" t="str">
        <f>"EV/EBITDA "&amp;TEXT(D9,"0F")</f>
        <v>EV/EBITDA 2021F</v>
      </c>
      <c r="N48" s="84"/>
    </row>
    <row r="49" spans="2:14" x14ac:dyDescent="0.25">
      <c r="C49" s="39"/>
      <c r="L49" s="110" t="str">
        <f>"EV/EBITA "&amp;TEXT(D9,"0F")</f>
        <v>EV/EBITA 2021F</v>
      </c>
      <c r="N49" s="84"/>
    </row>
    <row r="51" spans="2:14" ht="25" x14ac:dyDescent="0.5">
      <c r="B51" s="109" t="s">
        <v>78</v>
      </c>
      <c r="L51" s="134" t="s">
        <v>103</v>
      </c>
    </row>
    <row r="52" spans="2:14" x14ac:dyDescent="0.25">
      <c r="L52" s="134"/>
      <c r="N52" s="88"/>
    </row>
    <row r="53" spans="2:14" ht="13" x14ac:dyDescent="0.3">
      <c r="B53" s="68" t="s">
        <v>116</v>
      </c>
      <c r="C53" s="127"/>
      <c r="D53" s="112">
        <f t="shared" ref="D53:H53" si="6">D$9</f>
        <v>2021</v>
      </c>
      <c r="E53" s="112">
        <f t="shared" si="6"/>
        <v>2022</v>
      </c>
      <c r="F53" s="112">
        <f t="shared" si="6"/>
        <v>2023</v>
      </c>
      <c r="G53" s="112">
        <f t="shared" si="6"/>
        <v>2024</v>
      </c>
      <c r="H53" s="112">
        <f t="shared" si="6"/>
        <v>2025</v>
      </c>
      <c r="L53" s="114" t="s">
        <v>104</v>
      </c>
      <c r="M53" s="114"/>
      <c r="N53" s="127" t="s">
        <v>99</v>
      </c>
    </row>
    <row r="54" spans="2:14" x14ac:dyDescent="0.25">
      <c r="C54" s="70"/>
    </row>
    <row r="55" spans="2:14" ht="13" x14ac:dyDescent="0.3">
      <c r="B55" t="s">
        <v>75</v>
      </c>
      <c r="C55" s="39"/>
      <c r="D55" s="37"/>
      <c r="E55" s="37"/>
      <c r="F55" s="37"/>
      <c r="G55" s="37"/>
      <c r="H55" s="37"/>
      <c r="K55" s="89"/>
      <c r="L55" s="48" t="s">
        <v>102</v>
      </c>
      <c r="M55" s="48"/>
      <c r="N55" s="51"/>
    </row>
    <row r="56" spans="2:14" ht="13" x14ac:dyDescent="0.3">
      <c r="C56" s="39"/>
      <c r="K56" s="89"/>
      <c r="N56" s="41"/>
    </row>
    <row r="57" spans="2:14" ht="13" x14ac:dyDescent="0.3">
      <c r="B57" t="s">
        <v>76</v>
      </c>
      <c r="C57" s="39"/>
      <c r="D57" s="71"/>
      <c r="E57" s="71"/>
      <c r="F57" s="71"/>
      <c r="G57" s="71"/>
      <c r="H57" s="71"/>
      <c r="K57" s="89" t="s">
        <v>119</v>
      </c>
      <c r="L57" t="s">
        <v>105</v>
      </c>
      <c r="N57" s="41"/>
    </row>
    <row r="58" spans="2:14" ht="12.75" customHeight="1" x14ac:dyDescent="0.25">
      <c r="C58" s="39"/>
      <c r="K58" s="133"/>
      <c r="L58" t="s">
        <v>107</v>
      </c>
      <c r="N58" s="41"/>
    </row>
    <row r="59" spans="2:14" ht="12.75" customHeight="1" x14ac:dyDescent="0.25">
      <c r="B59" t="s">
        <v>21</v>
      </c>
      <c r="C59" s="39"/>
      <c r="D59" s="82"/>
      <c r="E59" s="82"/>
      <c r="F59" s="82"/>
      <c r="G59" s="82"/>
      <c r="H59" s="82"/>
      <c r="K59" s="133"/>
      <c r="L59" t="s">
        <v>106</v>
      </c>
      <c r="N59" s="41"/>
    </row>
    <row r="60" spans="2:14" ht="13" x14ac:dyDescent="0.3">
      <c r="C60" s="39"/>
      <c r="K60" s="89"/>
      <c r="N60" s="41"/>
    </row>
    <row r="61" spans="2:14" ht="13" x14ac:dyDescent="0.3">
      <c r="B61" t="s">
        <v>77</v>
      </c>
      <c r="C61" s="39"/>
      <c r="D61" s="77"/>
      <c r="E61" s="77"/>
      <c r="F61" s="77"/>
      <c r="G61" s="77"/>
      <c r="H61" s="77"/>
      <c r="K61" s="89" t="s">
        <v>120</v>
      </c>
      <c r="L61" t="s">
        <v>114</v>
      </c>
      <c r="N61" s="41"/>
    </row>
    <row r="62" spans="2:14" ht="13" x14ac:dyDescent="0.3">
      <c r="C62" s="39"/>
      <c r="K62" s="89"/>
    </row>
    <row r="63" spans="2:14" ht="13" x14ac:dyDescent="0.3">
      <c r="B63" t="s">
        <v>79</v>
      </c>
      <c r="C63" s="39"/>
      <c r="D63" s="41"/>
      <c r="E63" s="41"/>
      <c r="F63" s="41"/>
      <c r="G63" s="41"/>
      <c r="H63" s="41"/>
      <c r="K63" s="89" t="s">
        <v>121</v>
      </c>
      <c r="L63" t="s">
        <v>115</v>
      </c>
      <c r="N63" s="88"/>
    </row>
    <row r="64" spans="2:14" ht="13" x14ac:dyDescent="0.3">
      <c r="C64" s="38"/>
      <c r="D64" s="38"/>
      <c r="K64" s="89"/>
      <c r="N64" s="41"/>
    </row>
    <row r="65" spans="2:15" ht="13.5" thickBot="1" x14ac:dyDescent="0.35">
      <c r="B65" s="48" t="s">
        <v>81</v>
      </c>
      <c r="C65" s="38"/>
      <c r="D65" s="73"/>
      <c r="K65" s="89" t="s">
        <v>122</v>
      </c>
      <c r="L65" t="s">
        <v>108</v>
      </c>
      <c r="N65" s="41"/>
    </row>
    <row r="66" spans="2:15" ht="13.5" thickTop="1" x14ac:dyDescent="0.3">
      <c r="B66" s="48"/>
      <c r="C66" s="38"/>
      <c r="D66" s="72"/>
      <c r="K66" s="89"/>
      <c r="N66" s="41"/>
    </row>
    <row r="67" spans="2:15" ht="13" x14ac:dyDescent="0.3">
      <c r="K67" s="89" t="s">
        <v>123</v>
      </c>
      <c r="L67" t="s">
        <v>109</v>
      </c>
      <c r="N67" s="41"/>
    </row>
    <row r="68" spans="2:15" ht="25" x14ac:dyDescent="0.5">
      <c r="B68" s="109" t="s">
        <v>80</v>
      </c>
      <c r="K68" s="89"/>
    </row>
    <row r="69" spans="2:15" ht="13" x14ac:dyDescent="0.3">
      <c r="K69" s="89"/>
      <c r="L69" s="48" t="s">
        <v>104</v>
      </c>
      <c r="N69" s="72"/>
    </row>
    <row r="70" spans="2:15" ht="13" x14ac:dyDescent="0.3">
      <c r="B70" s="68" t="s">
        <v>116</v>
      </c>
      <c r="C70" s="127"/>
      <c r="D70" s="112">
        <f t="shared" ref="D70:H70" si="7">D$9</f>
        <v>2021</v>
      </c>
      <c r="E70" s="112">
        <f t="shared" si="7"/>
        <v>2022</v>
      </c>
      <c r="F70" s="112">
        <f t="shared" si="7"/>
        <v>2023</v>
      </c>
      <c r="G70" s="112">
        <f t="shared" si="7"/>
        <v>2024</v>
      </c>
      <c r="H70" s="112">
        <f t="shared" si="7"/>
        <v>2025</v>
      </c>
    </row>
    <row r="71" spans="2:15" x14ac:dyDescent="0.25">
      <c r="C71" s="70"/>
    </row>
    <row r="72" spans="2:15" x14ac:dyDescent="0.25">
      <c r="B72" t="s">
        <v>75</v>
      </c>
      <c r="C72" s="39"/>
      <c r="D72" s="37"/>
      <c r="E72" s="37"/>
      <c r="F72" s="37"/>
      <c r="G72" s="37"/>
      <c r="H72" s="37"/>
      <c r="L72" s="134" t="s">
        <v>125</v>
      </c>
    </row>
    <row r="73" spans="2:15" x14ac:dyDescent="0.25">
      <c r="C73" s="39"/>
      <c r="L73" s="134"/>
      <c r="N73" s="88"/>
    </row>
    <row r="74" spans="2:15" ht="13" x14ac:dyDescent="0.3">
      <c r="B74" t="s">
        <v>76</v>
      </c>
      <c r="C74" s="39"/>
      <c r="D74" s="71"/>
      <c r="E74" s="71"/>
      <c r="F74" s="71"/>
      <c r="G74" s="71"/>
      <c r="H74" s="71"/>
      <c r="L74" s="114" t="s">
        <v>104</v>
      </c>
      <c r="M74" s="114"/>
      <c r="N74" s="127"/>
      <c r="O74" s="127" t="s">
        <v>99</v>
      </c>
    </row>
    <row r="75" spans="2:15" ht="13" x14ac:dyDescent="0.3">
      <c r="C75" s="39"/>
      <c r="N75" s="33" t="s">
        <v>21</v>
      </c>
    </row>
    <row r="76" spans="2:15" ht="13" x14ac:dyDescent="0.3">
      <c r="B76" t="s">
        <v>21</v>
      </c>
      <c r="C76" s="39"/>
      <c r="D76" s="82"/>
      <c r="E76" s="82"/>
      <c r="F76" s="82"/>
      <c r="G76" s="82"/>
      <c r="H76" s="82"/>
      <c r="L76" s="94"/>
      <c r="M76" s="90">
        <v>7.0000000000000007E-2</v>
      </c>
      <c r="N76" s="91">
        <v>0.08</v>
      </c>
      <c r="O76" s="90">
        <v>0.09</v>
      </c>
    </row>
    <row r="77" spans="2:15" x14ac:dyDescent="0.25">
      <c r="C77" s="39"/>
      <c r="K77" s="135" t="s">
        <v>42</v>
      </c>
      <c r="L77" s="92">
        <v>1.4999999999999999E-2</v>
      </c>
      <c r="M77" s="96"/>
      <c r="N77" s="98"/>
      <c r="O77" s="96"/>
    </row>
    <row r="78" spans="2:15" x14ac:dyDescent="0.25">
      <c r="B78" t="s">
        <v>77</v>
      </c>
      <c r="C78" s="39"/>
      <c r="D78" s="77"/>
      <c r="E78" s="77"/>
      <c r="F78" s="77"/>
      <c r="G78" s="77"/>
      <c r="H78" s="77"/>
      <c r="K78" s="135"/>
      <c r="L78" s="92">
        <f t="shared" ref="L78:L83" si="8">L77+0.5%</f>
        <v>0.02</v>
      </c>
      <c r="M78" s="96"/>
      <c r="N78" s="98"/>
      <c r="O78" s="96"/>
    </row>
    <row r="79" spans="2:15" x14ac:dyDescent="0.25">
      <c r="C79" s="39"/>
      <c r="K79" s="135"/>
      <c r="L79" s="92">
        <f t="shared" si="8"/>
        <v>2.5000000000000001E-2</v>
      </c>
      <c r="M79" s="96"/>
      <c r="N79" s="98"/>
      <c r="O79" s="96"/>
    </row>
    <row r="80" spans="2:15" x14ac:dyDescent="0.25">
      <c r="B80" t="s">
        <v>79</v>
      </c>
      <c r="C80" s="39"/>
      <c r="D80" s="41"/>
      <c r="E80" s="41"/>
      <c r="F80" s="41"/>
      <c r="G80" s="41"/>
      <c r="H80" s="41"/>
      <c r="K80" s="135"/>
      <c r="L80" s="93">
        <f t="shared" si="8"/>
        <v>3.0000000000000002E-2</v>
      </c>
      <c r="M80" s="98"/>
      <c r="N80" s="98"/>
      <c r="O80" s="98"/>
    </row>
    <row r="81" spans="2:15" x14ac:dyDescent="0.25">
      <c r="C81" s="38"/>
      <c r="D81" s="38"/>
      <c r="K81" s="135"/>
      <c r="L81" s="92">
        <f t="shared" si="8"/>
        <v>3.5000000000000003E-2</v>
      </c>
      <c r="M81" s="96"/>
      <c r="N81" s="98"/>
      <c r="O81" s="96"/>
    </row>
    <row r="82" spans="2:15" ht="13.5" thickBot="1" x14ac:dyDescent="0.35">
      <c r="B82" s="48" t="s">
        <v>81</v>
      </c>
      <c r="C82" s="38"/>
      <c r="D82" s="73"/>
      <c r="K82" s="135"/>
      <c r="L82" s="92">
        <f t="shared" si="8"/>
        <v>0.04</v>
      </c>
      <c r="M82" s="96"/>
      <c r="N82" s="98"/>
      <c r="O82" s="96"/>
    </row>
    <row r="83" spans="2:15" ht="13" thickTop="1" x14ac:dyDescent="0.25">
      <c r="C83" s="38"/>
      <c r="D83" s="38"/>
      <c r="K83" s="135"/>
      <c r="L83" s="92">
        <f t="shared" si="8"/>
        <v>4.4999999999999998E-2</v>
      </c>
      <c r="M83" s="96"/>
      <c r="N83" s="98"/>
      <c r="O83" s="96"/>
    </row>
    <row r="85" spans="2:15" ht="25" x14ac:dyDescent="0.5">
      <c r="B85" s="109" t="s">
        <v>82</v>
      </c>
    </row>
    <row r="87" spans="2:15" ht="13" x14ac:dyDescent="0.3">
      <c r="B87" s="68" t="s">
        <v>116</v>
      </c>
      <c r="C87" s="127"/>
      <c r="D87" s="112">
        <f t="shared" ref="D87:H87" si="9">D$9</f>
        <v>2021</v>
      </c>
      <c r="E87" s="112">
        <f t="shared" si="9"/>
        <v>2022</v>
      </c>
      <c r="F87" s="112">
        <f t="shared" si="9"/>
        <v>2023</v>
      </c>
      <c r="G87" s="112">
        <f t="shared" si="9"/>
        <v>2024</v>
      </c>
      <c r="H87" s="112">
        <f t="shared" si="9"/>
        <v>2025</v>
      </c>
    </row>
    <row r="88" spans="2:15" x14ac:dyDescent="0.25">
      <c r="C88" s="70"/>
    </row>
    <row r="89" spans="2:15" x14ac:dyDescent="0.25">
      <c r="B89" t="s">
        <v>83</v>
      </c>
      <c r="C89" s="39"/>
      <c r="D89" s="56"/>
      <c r="E89" s="56"/>
      <c r="F89" s="56"/>
      <c r="G89" s="56"/>
      <c r="H89" s="56"/>
    </row>
    <row r="90" spans="2:15" x14ac:dyDescent="0.25">
      <c r="C90" s="39"/>
    </row>
    <row r="91" spans="2:15" x14ac:dyDescent="0.25">
      <c r="B91" t="s">
        <v>75</v>
      </c>
      <c r="C91" s="39"/>
      <c r="D91" s="37"/>
      <c r="E91" s="37"/>
      <c r="F91" s="37"/>
      <c r="G91" s="37"/>
      <c r="H91" s="37"/>
    </row>
    <row r="92" spans="2:15" x14ac:dyDescent="0.25">
      <c r="C92" s="39"/>
    </row>
    <row r="93" spans="2:15" x14ac:dyDescent="0.25">
      <c r="B93" t="s">
        <v>76</v>
      </c>
      <c r="C93" s="39"/>
      <c r="D93" s="75"/>
      <c r="E93" s="71"/>
      <c r="F93" s="71"/>
      <c r="G93" s="71"/>
      <c r="H93" s="71"/>
    </row>
    <row r="94" spans="2:15" x14ac:dyDescent="0.25">
      <c r="C94" s="39"/>
    </row>
    <row r="95" spans="2:15" x14ac:dyDescent="0.25">
      <c r="B95" t="s">
        <v>21</v>
      </c>
      <c r="C95" s="39"/>
      <c r="D95" s="82"/>
      <c r="E95" s="82"/>
      <c r="F95" s="82"/>
      <c r="G95" s="82"/>
      <c r="H95" s="82"/>
    </row>
    <row r="96" spans="2:15" x14ac:dyDescent="0.25">
      <c r="C96" s="39"/>
    </row>
    <row r="97" spans="2:8" x14ac:dyDescent="0.25">
      <c r="B97" t="s">
        <v>77</v>
      </c>
      <c r="C97" s="39"/>
      <c r="D97" s="77"/>
      <c r="E97" s="77"/>
      <c r="F97" s="77"/>
      <c r="G97" s="77"/>
      <c r="H97" s="77"/>
    </row>
    <row r="98" spans="2:8" x14ac:dyDescent="0.25">
      <c r="C98" s="39"/>
    </row>
    <row r="99" spans="2:8" x14ac:dyDescent="0.25">
      <c r="B99" t="s">
        <v>79</v>
      </c>
      <c r="C99" s="39"/>
      <c r="D99" s="41"/>
      <c r="E99" s="41"/>
      <c r="F99" s="41"/>
      <c r="G99" s="41"/>
      <c r="H99" s="41"/>
    </row>
    <row r="100" spans="2:8" x14ac:dyDescent="0.25">
      <c r="C100" s="38"/>
      <c r="D100" s="38"/>
    </row>
    <row r="101" spans="2:8" ht="13.5" thickBot="1" x14ac:dyDescent="0.35">
      <c r="B101" s="48" t="s">
        <v>81</v>
      </c>
      <c r="C101" s="38"/>
      <c r="D101" s="74"/>
    </row>
    <row r="102" spans="2:8" ht="13" thickTop="1" x14ac:dyDescent="0.25"/>
  </sheetData>
  <mergeCells count="7">
    <mergeCell ref="K58:K59"/>
    <mergeCell ref="L72:L73"/>
    <mergeCell ref="K77:K83"/>
    <mergeCell ref="L18:L19"/>
    <mergeCell ref="L29:L30"/>
    <mergeCell ref="L41:L42"/>
    <mergeCell ref="L51:L52"/>
  </mergeCells>
  <phoneticPr fontId="11" type="noConversion"/>
  <pageMargins left="0.75" right="0.75" top="1" bottom="1" header="0.5" footer="0.5"/>
  <pageSetup paperSize="9" scale="4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Answer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Brenninkmeyer</dc:creator>
  <cp:lastModifiedBy>greghenri.bize</cp:lastModifiedBy>
  <cp:lastPrinted>2019-11-07T19:14:14Z</cp:lastPrinted>
  <dcterms:created xsi:type="dcterms:W3CDTF">2004-03-24T08:20:05Z</dcterms:created>
  <dcterms:modified xsi:type="dcterms:W3CDTF">2021-10-05T15:31:38Z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