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ec2-lhc-fs2\users\greghenri.bize\TBS\2021\MsC Full Time\Course\Inputs\"/>
    </mc:Choice>
  </mc:AlternateContent>
  <bookViews>
    <workbookView xWindow="2230" yWindow="120" windowWidth="17230" windowHeight="9010"/>
  </bookViews>
  <sheets>
    <sheet name="All debt financed" sheetId="1" r:id="rId1"/>
    <sheet name="Debt equity financed" sheetId="4" r:id="rId2"/>
  </sheets>
  <calcPr calcId="162913"/>
</workbook>
</file>

<file path=xl/calcChain.xml><?xml version="1.0" encoding="utf-8"?>
<calcChain xmlns="http://schemas.openxmlformats.org/spreadsheetml/2006/main">
  <c r="F2" i="4" l="1"/>
  <c r="H51" i="4" l="1"/>
  <c r="G48" i="4"/>
  <c r="F50" i="4"/>
  <c r="F49" i="4"/>
  <c r="H49" i="4" s="1"/>
  <c r="H50" i="4" s="1"/>
  <c r="F48" i="4"/>
  <c r="H48" i="4" s="1"/>
  <c r="C8" i="4"/>
  <c r="C7" i="4"/>
  <c r="L17" i="1"/>
  <c r="L21" i="1" s="1"/>
  <c r="L22" i="1" l="1"/>
  <c r="L25" i="1" s="1"/>
  <c r="F18" i="1"/>
  <c r="G18" i="1"/>
  <c r="H18" i="1"/>
  <c r="H11" i="1"/>
  <c r="G11" i="1"/>
  <c r="F11" i="1"/>
  <c r="G2" i="4" l="1"/>
  <c r="H2" i="4" s="1"/>
  <c r="G2" i="1"/>
  <c r="H2" i="1" s="1"/>
  <c r="L28" i="4" l="1"/>
  <c r="F52" i="4" s="1"/>
  <c r="L27" i="4"/>
  <c r="L29" i="4" s="1"/>
  <c r="L30" i="4" s="1"/>
  <c r="H17" i="4"/>
  <c r="G17" i="4"/>
  <c r="F17" i="4"/>
  <c r="H14" i="4"/>
  <c r="G14" i="4"/>
  <c r="F14" i="4"/>
  <c r="L13" i="4"/>
  <c r="L15" i="4" s="1"/>
  <c r="M17" i="4" s="1"/>
  <c r="F41" i="4" s="1"/>
  <c r="H13" i="4"/>
  <c r="G13" i="4"/>
  <c r="F13" i="4"/>
  <c r="H7" i="4"/>
  <c r="G7" i="4"/>
  <c r="F7" i="4"/>
  <c r="L13" i="1"/>
  <c r="L15" i="1" s="1"/>
  <c r="L4" i="1"/>
  <c r="F17" i="1"/>
  <c r="G17" i="1"/>
  <c r="H17" i="1"/>
  <c r="F14" i="1"/>
  <c r="G14" i="1"/>
  <c r="H14" i="1"/>
  <c r="F13" i="1"/>
  <c r="G13" i="1"/>
  <c r="H13" i="1"/>
  <c r="F7" i="1"/>
  <c r="G7" i="1"/>
  <c r="H7" i="1"/>
  <c r="F53" i="4" l="1"/>
  <c r="F56" i="4" s="1"/>
  <c r="L17" i="4"/>
  <c r="F15" i="4"/>
  <c r="F42" i="4" s="1"/>
  <c r="F43" i="4" s="1"/>
  <c r="H15" i="4"/>
  <c r="H42" i="4" s="1"/>
  <c r="F21" i="4"/>
  <c r="F25" i="4" s="1"/>
  <c r="G15" i="4"/>
  <c r="G42" i="4" s="1"/>
  <c r="H21" i="4"/>
  <c r="H25" i="4" s="1"/>
  <c r="H29" i="4" s="1"/>
  <c r="G21" i="4"/>
  <c r="F22" i="1"/>
  <c r="F26" i="1" s="1"/>
  <c r="F30" i="1" s="1"/>
  <c r="H19" i="1"/>
  <c r="G19" i="1"/>
  <c r="F15" i="1"/>
  <c r="H21" i="1"/>
  <c r="G15" i="1"/>
  <c r="H15" i="1"/>
  <c r="G21" i="1"/>
  <c r="F21" i="1"/>
  <c r="L24" i="4" l="1"/>
  <c r="L21" i="4"/>
  <c r="G52" i="4"/>
  <c r="H52" i="4" s="1"/>
  <c r="H53" i="4" s="1"/>
  <c r="G41" i="4"/>
  <c r="G43" i="4" s="1"/>
  <c r="F44" i="4"/>
  <c r="F18" i="4"/>
  <c r="F19" i="4" s="1"/>
  <c r="G18" i="4"/>
  <c r="G19" i="4" s="1"/>
  <c r="M24" i="4"/>
  <c r="L34" i="4"/>
  <c r="L35" i="4" s="1"/>
  <c r="H18" i="4"/>
  <c r="H19" i="4" s="1"/>
  <c r="G22" i="1"/>
  <c r="G26" i="1" s="1"/>
  <c r="G25" i="4"/>
  <c r="G29" i="4" s="1"/>
  <c r="F29" i="4"/>
  <c r="H33" i="4"/>
  <c r="H22" i="1"/>
  <c r="H26" i="1" s="1"/>
  <c r="H30" i="1" s="1"/>
  <c r="F19" i="1"/>
  <c r="H25" i="1"/>
  <c r="F25" i="1"/>
  <c r="F27" i="1" s="1"/>
  <c r="F23" i="1"/>
  <c r="G25" i="1"/>
  <c r="H41" i="4" l="1"/>
  <c r="H43" i="4" s="1"/>
  <c r="H44" i="4" s="1"/>
  <c r="G44" i="4"/>
  <c r="G22" i="4"/>
  <c r="G26" i="4" s="1"/>
  <c r="G27" i="4" s="1"/>
  <c r="G27" i="1"/>
  <c r="F22" i="4"/>
  <c r="F26" i="4" s="1"/>
  <c r="F27" i="4" s="1"/>
  <c r="H22" i="4"/>
  <c r="H26" i="4" s="1"/>
  <c r="H30" i="4" s="1"/>
  <c r="H31" i="4" s="1"/>
  <c r="L3" i="4"/>
  <c r="L4" i="4" s="1"/>
  <c r="H55" i="4" s="1"/>
  <c r="H56" i="4" s="1"/>
  <c r="H57" i="4" s="1"/>
  <c r="G23" i="1"/>
  <c r="G30" i="1"/>
  <c r="F33" i="4"/>
  <c r="G33" i="4"/>
  <c r="H27" i="1"/>
  <c r="H23" i="1"/>
  <c r="H29" i="1"/>
  <c r="G29" i="1"/>
  <c r="F29" i="1"/>
  <c r="F33" i="1" s="1"/>
  <c r="G23" i="4" l="1"/>
  <c r="F23" i="4"/>
  <c r="H27" i="4"/>
  <c r="H34" i="4"/>
  <c r="H35" i="4" s="1"/>
  <c r="H23" i="4"/>
  <c r="G30" i="4"/>
  <c r="G31" i="4" s="1"/>
  <c r="G34" i="4" s="1"/>
  <c r="G35" i="4" s="1"/>
  <c r="F30" i="4"/>
  <c r="F31" i="4" s="1"/>
  <c r="F34" i="4" s="1"/>
  <c r="F31" i="1"/>
  <c r="F34" i="1" s="1"/>
  <c r="F35" i="1" s="1"/>
  <c r="G31" i="1"/>
  <c r="G34" i="1" s="1"/>
  <c r="G33" i="1"/>
  <c r="H31" i="1"/>
  <c r="H34" i="1" s="1"/>
  <c r="H33" i="1"/>
  <c r="F35" i="4" l="1"/>
  <c r="H35" i="1"/>
  <c r="G35" i="1"/>
</calcChain>
</file>

<file path=xl/comments1.xml><?xml version="1.0" encoding="utf-8"?>
<comments xmlns="http://schemas.openxmlformats.org/spreadsheetml/2006/main">
  <authors>
    <author>greghenri.bize</author>
  </authors>
  <commentList>
    <comment ref="G49" authorId="0" shapeId="0">
      <text>
        <r>
          <rPr>
            <b/>
            <sz val="9"/>
            <color indexed="81"/>
            <rFont val="Tahoma"/>
            <family val="2"/>
          </rPr>
          <t>greghenri.bize:</t>
        </r>
        <r>
          <rPr>
            <sz val="9"/>
            <color indexed="81"/>
            <rFont val="Tahoma"/>
            <family val="2"/>
          </rPr>
          <t xml:space="preserve">
Potential multiple appreciation/re-rating following the acquisition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>greghenri.bize:</t>
        </r>
        <r>
          <rPr>
            <sz val="9"/>
            <color indexed="81"/>
            <rFont val="Tahoma"/>
            <family val="2"/>
          </rPr>
          <t xml:space="preserve">
Value impact of synergies are generally accounted by computing an NPV of 10y of synergies (incl. implementation costs)</t>
        </r>
      </text>
    </comment>
  </commentList>
</comments>
</file>

<file path=xl/sharedStrings.xml><?xml version="1.0" encoding="utf-8"?>
<sst xmlns="http://schemas.openxmlformats.org/spreadsheetml/2006/main" count="115" uniqueCount="77">
  <si>
    <t>EBITDA Acquirer</t>
  </si>
  <si>
    <t>Existing Debt</t>
  </si>
  <si>
    <t>Interest</t>
  </si>
  <si>
    <t>D&amp;A Acquirer</t>
  </si>
  <si>
    <t>D&amp;A Target</t>
  </si>
  <si>
    <t>Total D&amp;A</t>
  </si>
  <si>
    <t>EBITDA Target</t>
  </si>
  <si>
    <t>Total EBITDA</t>
  </si>
  <si>
    <t>EBIT Acquirer</t>
  </si>
  <si>
    <t>EBIT Target</t>
  </si>
  <si>
    <t>Total EBIT</t>
  </si>
  <si>
    <t>Interest Acquirer</t>
  </si>
  <si>
    <t>Total Interest</t>
  </si>
  <si>
    <t>Interest Acquisition</t>
  </si>
  <si>
    <t>PBT Acquirer</t>
  </si>
  <si>
    <t>PBT Acquisition</t>
  </si>
  <si>
    <t>Total PBT</t>
  </si>
  <si>
    <t>Net Income Acquirer</t>
  </si>
  <si>
    <t>Net Income post Acquisition</t>
  </si>
  <si>
    <t>EPS Standalone</t>
  </si>
  <si>
    <t>EPS post Acquisition</t>
  </si>
  <si>
    <t>Accretion/ Dilution</t>
  </si>
  <si>
    <t>Tax Acquisition</t>
  </si>
  <si>
    <t>Tax Standalone</t>
  </si>
  <si>
    <t>Synergies</t>
  </si>
  <si>
    <t>Total Net Income</t>
  </si>
  <si>
    <t>xxx: Inputs</t>
  </si>
  <si>
    <t># Shares Existing</t>
  </si>
  <si>
    <t>New shares</t>
  </si>
  <si>
    <t>Total shares</t>
  </si>
  <si>
    <t>Acquisition Assumptions</t>
  </si>
  <si>
    <t>EV:</t>
  </si>
  <si>
    <t>EBITDA Multiple</t>
  </si>
  <si>
    <t>Deductions</t>
  </si>
  <si>
    <t>Cash Considerations</t>
  </si>
  <si>
    <t>Additional Debt</t>
  </si>
  <si>
    <t>Implied ND/ EBITDA</t>
  </si>
  <si>
    <t xml:space="preserve">Debt Constraint </t>
  </si>
  <si>
    <t>Implied financing from equity</t>
  </si>
  <si>
    <t>Implied EV</t>
  </si>
  <si>
    <t>Less Existing debt</t>
  </si>
  <si>
    <t>Implied Market cap</t>
  </si>
  <si>
    <t>Implied Share Price</t>
  </si>
  <si>
    <t>Implied Shares to be issued</t>
  </si>
  <si>
    <t>As % of existing shares</t>
  </si>
  <si>
    <t>Discount to Share Price</t>
  </si>
  <si>
    <t>Cost of equity raising</t>
  </si>
  <si>
    <t>EV/ EBITDA trading multiple (Acquirer)</t>
  </si>
  <si>
    <t>Headroom/ cushion synergies</t>
  </si>
  <si>
    <t>EPS Breakeven synergies</t>
  </si>
  <si>
    <t>= synergies for which EPS post Acquisition = EPS Standalone (obtained via goalseeking the accretion to 0% by changing F8)</t>
  </si>
  <si>
    <t>= Difference between synergies and EPS breakeven synergies</t>
  </si>
  <si>
    <t>Net Debt post acquisition</t>
  </si>
  <si>
    <t>Net Debt/ Ebitda Multiple</t>
  </si>
  <si>
    <t>If Max ND/EBITDA is:</t>
  </si>
  <si>
    <t>Shortfall</t>
  </si>
  <si>
    <t>Target</t>
  </si>
  <si>
    <t>EBITDA %</t>
  </si>
  <si>
    <t>Sales</t>
  </si>
  <si>
    <t>Synergies as % of sales</t>
  </si>
  <si>
    <t>Net Debt</t>
  </si>
  <si>
    <t>Net Debt Beginning of Period</t>
  </si>
  <si>
    <t>Net Debt End of Period</t>
  </si>
  <si>
    <t>Change (Cash Generated)</t>
  </si>
  <si>
    <t>ND / EBITDA</t>
  </si>
  <si>
    <t>&lt;- Assumptions for the FCF</t>
  </si>
  <si>
    <t>Value Creation</t>
  </si>
  <si>
    <t>Acquirer EBITDA</t>
  </si>
  <si>
    <t>Acquirer TEV</t>
  </si>
  <si>
    <t>Acquirer Multiple</t>
  </si>
  <si>
    <t>Acquirer Mcap</t>
  </si>
  <si>
    <t>Value to Current Shareholder</t>
  </si>
  <si>
    <t>Impact Acquisition</t>
  </si>
  <si>
    <t>Start</t>
  </si>
  <si>
    <t>End</t>
  </si>
  <si>
    <t>NPV Synergies (10y)</t>
  </si>
  <si>
    <t>Current Shareholder's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</si>
</sst>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;\(#,##0\);\-"/>
    <numFmt numFmtId="165" formatCode="#,##0.00;\(#,##0.00\);\-"/>
    <numFmt numFmtId="166" formatCode="0.0%_);\(0.0%\);0.0%_);@_)"/>
    <numFmt numFmtId="167" formatCode="0.0&quot;x&quot;"/>
    <numFmt numFmtId="168" formatCode="0.00&quot;x&quot;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33CC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5" fontId="3" fillId="0" borderId="0" xfId="0" applyNumberFormat="1" applyFont="1"/>
    <xf numFmtId="166" fontId="0" fillId="0" borderId="0" xfId="0" applyNumberFormat="1"/>
    <xf numFmtId="164" fontId="2" fillId="2" borderId="0" xfId="0" applyNumberFormat="1" applyFont="1" applyFill="1"/>
    <xf numFmtId="164" fontId="0" fillId="0" borderId="0" xfId="0" applyNumberFormat="1"/>
    <xf numFmtId="9" fontId="2" fillId="0" borderId="0" xfId="0" applyNumberFormat="1" applyFont="1"/>
    <xf numFmtId="167" fontId="2" fillId="0" borderId="0" xfId="0" applyNumberFormat="1" applyFont="1"/>
    <xf numFmtId="167" fontId="3" fillId="0" borderId="0" xfId="0" applyNumberFormat="1" applyFont="1"/>
    <xf numFmtId="2" fontId="0" fillId="0" borderId="0" xfId="0" applyNumberFormat="1"/>
    <xf numFmtId="166" fontId="2" fillId="0" borderId="0" xfId="0" applyNumberFormat="1" applyFont="1"/>
    <xf numFmtId="0" fontId="0" fillId="0" borderId="0" xfId="0" quotePrefix="1"/>
    <xf numFmtId="168" fontId="2" fillId="0" borderId="0" xfId="0" applyNumberFormat="1" applyFont="1"/>
    <xf numFmtId="168" fontId="3" fillId="0" borderId="0" xfId="0" applyNumberFormat="1" applyFont="1"/>
    <xf numFmtId="167" fontId="0" fillId="0" borderId="0" xfId="0" applyNumberFormat="1"/>
    <xf numFmtId="164" fontId="1" fillId="0" borderId="0" xfId="0" applyNumberFormat="1" applyFont="1"/>
    <xf numFmtId="167" fontId="2" fillId="3" borderId="0" xfId="0" applyNumberFormat="1" applyFont="1" applyFill="1"/>
    <xf numFmtId="166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2:L35"/>
  <sheetViews>
    <sheetView tabSelected="1" zoomScale="86" zoomScaleNormal="115" workbookViewId="0">
      <selection activeCell="L6" sqref="L6"/>
    </sheetView>
  </sheetViews>
  <sheetFormatPr defaultRowHeight="12.5" x14ac:dyDescent="0.25"/>
  <cols>
    <col min="5" max="5" width="24.6328125" bestFit="1" customWidth="1"/>
    <col min="11" max="11" width="22" bestFit="1" customWidth="1"/>
    <col min="12" max="12" width="10.90625" customWidth="1"/>
  </cols>
  <sheetData>
    <row r="2" spans="5:12" ht="13" x14ac:dyDescent="0.3">
      <c r="F2" s="2">
        <v>2022</v>
      </c>
      <c r="G2" s="2">
        <f>F2+1</f>
        <v>2023</v>
      </c>
      <c r="H2" s="2">
        <f>G2+1</f>
        <v>2024</v>
      </c>
      <c r="K2" t="s">
        <v>27</v>
      </c>
      <c r="L2">
        <v>200</v>
      </c>
    </row>
    <row r="3" spans="5:12" ht="13.25" x14ac:dyDescent="0.25">
      <c r="K3" t="s">
        <v>28</v>
      </c>
      <c r="L3" s="4">
        <v>0</v>
      </c>
    </row>
    <row r="4" spans="5:12" ht="13.25" x14ac:dyDescent="0.25">
      <c r="E4" t="s">
        <v>0</v>
      </c>
      <c r="F4" s="4">
        <v>500</v>
      </c>
      <c r="G4" s="4">
        <v>550</v>
      </c>
      <c r="H4" s="4">
        <v>600</v>
      </c>
      <c r="K4" t="s">
        <v>29</v>
      </c>
      <c r="L4">
        <f>SUM(L2:L3)</f>
        <v>200</v>
      </c>
    </row>
    <row r="5" spans="5:12" ht="13.25" x14ac:dyDescent="0.25">
      <c r="E5" t="s">
        <v>6</v>
      </c>
      <c r="F5" s="9">
        <v>50</v>
      </c>
      <c r="G5" s="9">
        <v>55</v>
      </c>
      <c r="H5" s="9">
        <v>60</v>
      </c>
    </row>
    <row r="6" spans="5:12" ht="13.25" x14ac:dyDescent="0.25">
      <c r="E6" t="s">
        <v>24</v>
      </c>
      <c r="F6" s="9">
        <v>0</v>
      </c>
      <c r="G6" s="9">
        <v>0</v>
      </c>
      <c r="H6" s="9">
        <v>0</v>
      </c>
      <c r="K6" t="s">
        <v>1</v>
      </c>
      <c r="L6" s="5">
        <v>1000</v>
      </c>
    </row>
    <row r="7" spans="5:12" ht="13" x14ac:dyDescent="0.3">
      <c r="E7" s="2" t="s">
        <v>7</v>
      </c>
      <c r="F7" s="2">
        <f t="shared" ref="F7:H7" si="0">SUM(F4:F6)</f>
        <v>550</v>
      </c>
      <c r="G7" s="2">
        <f t="shared" si="0"/>
        <v>605</v>
      </c>
      <c r="H7" s="2">
        <f t="shared" si="0"/>
        <v>660</v>
      </c>
      <c r="K7" t="s">
        <v>2</v>
      </c>
      <c r="L7" s="11">
        <v>0.04</v>
      </c>
    </row>
    <row r="9" spans="5:12" ht="13.25" x14ac:dyDescent="0.25">
      <c r="E9" t="s">
        <v>3</v>
      </c>
      <c r="F9" s="4">
        <v>-75</v>
      </c>
      <c r="G9" s="4">
        <v>-75</v>
      </c>
      <c r="H9" s="4">
        <v>-75</v>
      </c>
      <c r="K9" s="3" t="s">
        <v>26</v>
      </c>
    </row>
    <row r="10" spans="5:12" ht="13.25" x14ac:dyDescent="0.25">
      <c r="E10" t="s">
        <v>4</v>
      </c>
      <c r="F10" s="4">
        <v>-20</v>
      </c>
      <c r="G10" s="4">
        <v>-20</v>
      </c>
      <c r="H10" s="4">
        <v>-20</v>
      </c>
    </row>
    <row r="11" spans="5:12" ht="13" x14ac:dyDescent="0.3">
      <c r="E11" t="s">
        <v>5</v>
      </c>
      <c r="F11" s="6">
        <f t="shared" ref="F11:H11" si="1">SUM(F9:F10)</f>
        <v>-95</v>
      </c>
      <c r="G11" s="6">
        <f t="shared" si="1"/>
        <v>-95</v>
      </c>
      <c r="H11" s="6">
        <f t="shared" si="1"/>
        <v>-95</v>
      </c>
      <c r="K11" t="s">
        <v>30</v>
      </c>
    </row>
    <row r="12" spans="5:12" ht="13.25" x14ac:dyDescent="0.25">
      <c r="K12" t="s">
        <v>32</v>
      </c>
      <c r="L12" s="12">
        <v>10</v>
      </c>
    </row>
    <row r="13" spans="5:12" ht="13.25" x14ac:dyDescent="0.25">
      <c r="E13" t="s">
        <v>8</v>
      </c>
      <c r="F13" s="5">
        <f>F4+F9</f>
        <v>425</v>
      </c>
      <c r="G13" s="5">
        <f>G4+G9</f>
        <v>475</v>
      </c>
      <c r="H13" s="5">
        <f>H4+H9</f>
        <v>525</v>
      </c>
      <c r="K13" t="s">
        <v>31</v>
      </c>
      <c r="L13">
        <f>L12*F5</f>
        <v>500</v>
      </c>
    </row>
    <row r="14" spans="5:12" ht="13.25" x14ac:dyDescent="0.25">
      <c r="E14" t="s">
        <v>9</v>
      </c>
      <c r="F14" s="5">
        <f>F5+F10+F6</f>
        <v>30</v>
      </c>
      <c r="G14" s="5">
        <f>G5+G10+G6</f>
        <v>35</v>
      </c>
      <c r="H14" s="5">
        <f>H5+H10+H6</f>
        <v>40</v>
      </c>
      <c r="K14" t="s">
        <v>33</v>
      </c>
      <c r="L14" s="4">
        <v>0</v>
      </c>
    </row>
    <row r="15" spans="5:12" ht="13" x14ac:dyDescent="0.3">
      <c r="E15" t="s">
        <v>10</v>
      </c>
      <c r="F15" s="6">
        <f t="shared" ref="F15:H15" si="2">SUM(F13:F14)</f>
        <v>455</v>
      </c>
      <c r="G15" s="6">
        <f t="shared" si="2"/>
        <v>510</v>
      </c>
      <c r="H15" s="6">
        <f t="shared" si="2"/>
        <v>565</v>
      </c>
      <c r="K15" t="s">
        <v>34</v>
      </c>
      <c r="L15" s="10">
        <f>L13+L14</f>
        <v>500</v>
      </c>
    </row>
    <row r="17" spans="5:12" ht="13.25" x14ac:dyDescent="0.25">
      <c r="E17" t="s">
        <v>11</v>
      </c>
      <c r="F17" s="5">
        <f>-$L$6*$L$7</f>
        <v>-40</v>
      </c>
      <c r="G17" s="5">
        <f>-$L$6*$L$7</f>
        <v>-40</v>
      </c>
      <c r="H17" s="5">
        <f>-$L$6*$L$7</f>
        <v>-40</v>
      </c>
      <c r="K17" t="s">
        <v>35</v>
      </c>
      <c r="L17" s="10">
        <f>L15</f>
        <v>500</v>
      </c>
    </row>
    <row r="18" spans="5:12" ht="13.25" x14ac:dyDescent="0.25">
      <c r="E18" t="s">
        <v>13</v>
      </c>
      <c r="F18" s="5">
        <f>-$L$17*$L$18</f>
        <v>-25</v>
      </c>
      <c r="G18" s="5">
        <f t="shared" ref="G18:H18" si="3">-$L$17*$L$18</f>
        <v>-25</v>
      </c>
      <c r="H18" s="5">
        <f t="shared" si="3"/>
        <v>-25</v>
      </c>
      <c r="K18" t="s">
        <v>2</v>
      </c>
      <c r="L18" s="11">
        <v>0.05</v>
      </c>
    </row>
    <row r="19" spans="5:12" ht="13" x14ac:dyDescent="0.3">
      <c r="E19" s="2" t="s">
        <v>12</v>
      </c>
      <c r="F19" s="6">
        <f t="shared" ref="F19" si="4">SUM(F17:F18)</f>
        <v>-65</v>
      </c>
      <c r="G19" s="6">
        <f t="shared" ref="G19" si="5">SUM(G17:G18)</f>
        <v>-65</v>
      </c>
      <c r="H19" s="6">
        <f t="shared" ref="H19" si="6">SUM(H17:H18)</f>
        <v>-65</v>
      </c>
    </row>
    <row r="21" spans="5:12" ht="13.25" x14ac:dyDescent="0.25">
      <c r="E21" t="s">
        <v>14</v>
      </c>
      <c r="F21" s="5">
        <f t="shared" ref="F21:H22" si="7">F13+F17</f>
        <v>385</v>
      </c>
      <c r="G21" s="5">
        <f t="shared" si="7"/>
        <v>435</v>
      </c>
      <c r="H21" s="5">
        <f t="shared" si="7"/>
        <v>485</v>
      </c>
      <c r="K21" t="s">
        <v>52</v>
      </c>
      <c r="L21" s="10">
        <f>L6+L17</f>
        <v>1500</v>
      </c>
    </row>
    <row r="22" spans="5:12" ht="13.25" x14ac:dyDescent="0.25">
      <c r="E22" t="s">
        <v>15</v>
      </c>
      <c r="F22" s="5">
        <f t="shared" si="7"/>
        <v>5</v>
      </c>
      <c r="G22" s="5">
        <f t="shared" si="7"/>
        <v>10</v>
      </c>
      <c r="H22" s="5">
        <f t="shared" si="7"/>
        <v>15</v>
      </c>
      <c r="K22" t="s">
        <v>53</v>
      </c>
      <c r="L22" s="13">
        <f>L21/SUM(F4,F5)</f>
        <v>2.7272727272727271</v>
      </c>
    </row>
    <row r="23" spans="5:12" ht="13" x14ac:dyDescent="0.3">
      <c r="E23" t="s">
        <v>16</v>
      </c>
      <c r="F23" s="6">
        <f t="shared" ref="F23" si="8">SUM(F21:F22)</f>
        <v>390</v>
      </c>
      <c r="G23" s="6">
        <f t="shared" ref="G23" si="9">SUM(G21:G22)</f>
        <v>445</v>
      </c>
      <c r="H23" s="6">
        <f t="shared" ref="H23" si="10">SUM(H21:H22)</f>
        <v>500</v>
      </c>
    </row>
    <row r="24" spans="5:12" x14ac:dyDescent="0.25">
      <c r="K24" t="s">
        <v>54</v>
      </c>
      <c r="L24" s="13">
        <v>2</v>
      </c>
    </row>
    <row r="25" spans="5:12" x14ac:dyDescent="0.25">
      <c r="E25" t="s">
        <v>23</v>
      </c>
      <c r="F25" s="5">
        <f t="shared" ref="F25:H26" si="11">-F21*$E$27</f>
        <v>-115.5</v>
      </c>
      <c r="G25" s="5">
        <f t="shared" si="11"/>
        <v>-130.5</v>
      </c>
      <c r="H25" s="5">
        <f t="shared" si="11"/>
        <v>-145.5</v>
      </c>
      <c r="K25" t="s">
        <v>55</v>
      </c>
      <c r="L25">
        <f>(L24-L22)*SUM(F4:F5)</f>
        <v>-399.99999999999989</v>
      </c>
    </row>
    <row r="26" spans="5:12" x14ac:dyDescent="0.25">
      <c r="E26" t="s">
        <v>22</v>
      </c>
      <c r="F26" s="5">
        <f t="shared" si="11"/>
        <v>-1.5</v>
      </c>
      <c r="G26" s="5">
        <f t="shared" si="11"/>
        <v>-3</v>
      </c>
      <c r="H26" s="5">
        <f t="shared" si="11"/>
        <v>-4.5</v>
      </c>
    </row>
    <row r="27" spans="5:12" ht="13" x14ac:dyDescent="0.3">
      <c r="E27" s="1">
        <v>0.3</v>
      </c>
      <c r="F27" s="6">
        <f t="shared" ref="F27" si="12">SUM(F25:F26)</f>
        <v>-117</v>
      </c>
      <c r="G27" s="6">
        <f t="shared" ref="G27" si="13">SUM(G25:G26)</f>
        <v>-133.5</v>
      </c>
      <c r="H27" s="6">
        <f t="shared" ref="H27" si="14">SUM(H25:H26)</f>
        <v>-150</v>
      </c>
    </row>
    <row r="29" spans="5:12" x14ac:dyDescent="0.25">
      <c r="E29" t="s">
        <v>17</v>
      </c>
      <c r="F29" s="5">
        <f t="shared" ref="F29:H29" si="15">F21+F25</f>
        <v>269.5</v>
      </c>
      <c r="G29" s="5">
        <f t="shared" si="15"/>
        <v>304.5</v>
      </c>
      <c r="H29" s="5">
        <f t="shared" si="15"/>
        <v>339.5</v>
      </c>
    </row>
    <row r="30" spans="5:12" x14ac:dyDescent="0.25">
      <c r="E30" t="s">
        <v>18</v>
      </c>
      <c r="F30" s="5">
        <f t="shared" ref="F30:H30" si="16">F22+F26</f>
        <v>3.5</v>
      </c>
      <c r="G30" s="5">
        <f t="shared" si="16"/>
        <v>7</v>
      </c>
      <c r="H30" s="5">
        <f t="shared" si="16"/>
        <v>10.5</v>
      </c>
    </row>
    <row r="31" spans="5:12" ht="13" x14ac:dyDescent="0.3">
      <c r="E31" t="s">
        <v>25</v>
      </c>
      <c r="F31" s="6">
        <f t="shared" ref="F31" si="17">SUM(F29:F30)</f>
        <v>273</v>
      </c>
      <c r="G31" s="6">
        <f t="shared" ref="G31" si="18">SUM(G29:G30)</f>
        <v>311.5</v>
      </c>
      <c r="H31" s="6">
        <f t="shared" ref="H31" si="19">SUM(H29:H30)</f>
        <v>350</v>
      </c>
    </row>
    <row r="33" spans="5:8" x14ac:dyDescent="0.25">
      <c r="E33" t="s">
        <v>19</v>
      </c>
      <c r="F33" s="7">
        <f t="shared" ref="F33:H33" si="20">F29/$L$2</f>
        <v>1.3474999999999999</v>
      </c>
      <c r="G33" s="7">
        <f t="shared" si="20"/>
        <v>1.5225</v>
      </c>
      <c r="H33" s="7">
        <f t="shared" si="20"/>
        <v>1.6975</v>
      </c>
    </row>
    <row r="34" spans="5:8" x14ac:dyDescent="0.25">
      <c r="E34" t="s">
        <v>20</v>
      </c>
      <c r="F34" s="7">
        <f t="shared" ref="F34:H34" si="21">F31/$L$4</f>
        <v>1.365</v>
      </c>
      <c r="G34" s="7">
        <f t="shared" si="21"/>
        <v>1.5575000000000001</v>
      </c>
      <c r="H34" s="7">
        <f t="shared" si="21"/>
        <v>1.75</v>
      </c>
    </row>
    <row r="35" spans="5:8" x14ac:dyDescent="0.25">
      <c r="E35" t="s">
        <v>21</v>
      </c>
      <c r="F35" s="8">
        <f>F34/F33-1</f>
        <v>1.2987012987013102E-2</v>
      </c>
      <c r="G35" s="8">
        <f>G34/G33-1</f>
        <v>2.2988505747126631E-2</v>
      </c>
      <c r="H35" s="8">
        <f>H34/H33-1</f>
        <v>3.0927835051546282E-2</v>
      </c>
    </row>
  </sheetData>
  <pageMargins left="0.7" right="0.7" top="0.75" bottom="0.75" header="0.3" footer="0.3"/>
  <pageSetup paperSize="9" scale="9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M57"/>
  <sheetViews>
    <sheetView zoomScale="94" zoomScaleNormal="115" workbookViewId="0">
      <selection activeCell="K55" sqref="K55"/>
    </sheetView>
  </sheetViews>
  <sheetFormatPr defaultRowHeight="12.5" x14ac:dyDescent="0.25"/>
  <cols>
    <col min="2" max="2" width="9.453125" customWidth="1"/>
    <col min="5" max="5" width="24.6328125" bestFit="1" customWidth="1"/>
    <col min="11" max="11" width="43" bestFit="1" customWidth="1"/>
    <col min="12" max="12" width="10.90625" customWidth="1"/>
  </cols>
  <sheetData>
    <row r="2" spans="2:12" ht="13" x14ac:dyDescent="0.3">
      <c r="F2" s="2">
        <f>'All debt financed'!F2</f>
        <v>2022</v>
      </c>
      <c r="G2" s="2">
        <f>F2+1</f>
        <v>2023</v>
      </c>
      <c r="H2" s="2">
        <f>G2+1</f>
        <v>2024</v>
      </c>
      <c r="K2" t="s">
        <v>27</v>
      </c>
      <c r="L2" s="5">
        <v>200</v>
      </c>
    </row>
    <row r="3" spans="2:12" ht="13.25" x14ac:dyDescent="0.25">
      <c r="K3" t="s">
        <v>28</v>
      </c>
      <c r="L3" s="5">
        <f>L34</f>
        <v>15.359649122807017</v>
      </c>
    </row>
    <row r="4" spans="2:12" ht="13.25" x14ac:dyDescent="0.25">
      <c r="E4" t="s">
        <v>0</v>
      </c>
      <c r="F4" s="4">
        <v>500</v>
      </c>
      <c r="G4" s="4">
        <v>550</v>
      </c>
      <c r="H4" s="4">
        <v>600</v>
      </c>
      <c r="K4" t="s">
        <v>29</v>
      </c>
      <c r="L4" s="5">
        <f>SUM(L2:L3)</f>
        <v>215.35964912280701</v>
      </c>
    </row>
    <row r="5" spans="2:12" ht="13.25" x14ac:dyDescent="0.25">
      <c r="B5" t="s">
        <v>56</v>
      </c>
      <c r="E5" t="s">
        <v>6</v>
      </c>
      <c r="F5" s="9">
        <v>50</v>
      </c>
      <c r="G5" s="9">
        <v>55</v>
      </c>
      <c r="H5" s="9">
        <v>60</v>
      </c>
    </row>
    <row r="6" spans="2:12" ht="13.25" x14ac:dyDescent="0.25">
      <c r="B6" t="s">
        <v>57</v>
      </c>
      <c r="C6" s="1">
        <v>0.2</v>
      </c>
      <c r="E6" t="s">
        <v>24</v>
      </c>
      <c r="F6" s="9">
        <v>12.406359649122837</v>
      </c>
      <c r="G6" s="9">
        <v>11.246271929824474</v>
      </c>
      <c r="H6" s="9">
        <v>30</v>
      </c>
      <c r="K6" t="s">
        <v>1</v>
      </c>
      <c r="L6" s="5">
        <v>1500</v>
      </c>
    </row>
    <row r="7" spans="2:12" ht="13" x14ac:dyDescent="0.3">
      <c r="B7" t="s">
        <v>58</v>
      </c>
      <c r="C7">
        <f>+F5/C6</f>
        <v>250</v>
      </c>
      <c r="E7" s="2" t="s">
        <v>7</v>
      </c>
      <c r="F7" s="6">
        <f t="shared" ref="F7:H7" si="0">SUM(F4:F6)</f>
        <v>562.40635964912281</v>
      </c>
      <c r="G7" s="6">
        <f t="shared" si="0"/>
        <v>616.2462719298245</v>
      </c>
      <c r="H7" s="6">
        <f t="shared" si="0"/>
        <v>690</v>
      </c>
      <c r="K7" t="s">
        <v>2</v>
      </c>
      <c r="L7" s="11">
        <v>0.04</v>
      </c>
    </row>
    <row r="8" spans="2:12" ht="13.25" x14ac:dyDescent="0.25">
      <c r="B8" t="s">
        <v>59</v>
      </c>
      <c r="C8" s="8">
        <f>+G6/C7</f>
        <v>4.4985087719297892E-2</v>
      </c>
    </row>
    <row r="9" spans="2:12" ht="13.25" x14ac:dyDescent="0.25">
      <c r="E9" t="s">
        <v>3</v>
      </c>
      <c r="F9" s="4">
        <v>-75</v>
      </c>
      <c r="G9" s="4">
        <v>-75</v>
      </c>
      <c r="H9" s="4">
        <v>-75</v>
      </c>
      <c r="K9" s="3" t="s">
        <v>26</v>
      </c>
    </row>
    <row r="10" spans="2:12" ht="13.25" x14ac:dyDescent="0.25">
      <c r="E10" t="s">
        <v>4</v>
      </c>
      <c r="F10" s="4">
        <v>-20</v>
      </c>
      <c r="G10" s="4">
        <v>-20</v>
      </c>
      <c r="H10" s="4">
        <v>-20</v>
      </c>
    </row>
    <row r="11" spans="2:12" ht="13.25" x14ac:dyDescent="0.25">
      <c r="E11" t="s">
        <v>5</v>
      </c>
      <c r="K11" t="s">
        <v>30</v>
      </c>
    </row>
    <row r="12" spans="2:12" ht="13.25" x14ac:dyDescent="0.25">
      <c r="K12" t="s">
        <v>32</v>
      </c>
      <c r="L12" s="12">
        <v>10</v>
      </c>
    </row>
    <row r="13" spans="2:12" ht="13.25" x14ac:dyDescent="0.25">
      <c r="E13" t="s">
        <v>8</v>
      </c>
      <c r="F13" s="5">
        <f>F4+F9</f>
        <v>425</v>
      </c>
      <c r="G13" s="5">
        <f>G4+G9</f>
        <v>475</v>
      </c>
      <c r="H13" s="5">
        <f>H4+H9</f>
        <v>525</v>
      </c>
      <c r="K13" t="s">
        <v>31</v>
      </c>
      <c r="L13">
        <f>L12*F5</f>
        <v>500</v>
      </c>
    </row>
    <row r="14" spans="2:12" ht="13.25" x14ac:dyDescent="0.25">
      <c r="E14" t="s">
        <v>9</v>
      </c>
      <c r="F14" s="5">
        <f>F5+F10+F6</f>
        <v>42.406359649122834</v>
      </c>
      <c r="G14" s="5">
        <f>G5+G10+G6</f>
        <v>46.246271929824474</v>
      </c>
      <c r="H14" s="5">
        <f>H5+H10+H6</f>
        <v>70</v>
      </c>
      <c r="K14" t="s">
        <v>33</v>
      </c>
      <c r="L14" s="4">
        <v>0</v>
      </c>
    </row>
    <row r="15" spans="2:12" ht="13" x14ac:dyDescent="0.3">
      <c r="E15" t="s">
        <v>10</v>
      </c>
      <c r="F15" s="6">
        <f t="shared" ref="F15:H15" si="1">SUM(F13:F14)</f>
        <v>467.40635964912281</v>
      </c>
      <c r="G15" s="6">
        <f t="shared" si="1"/>
        <v>521.2462719298245</v>
      </c>
      <c r="H15" s="6">
        <f t="shared" si="1"/>
        <v>595</v>
      </c>
      <c r="K15" t="s">
        <v>34</v>
      </c>
      <c r="L15" s="10">
        <f>L13+L14</f>
        <v>500</v>
      </c>
    </row>
    <row r="17" spans="5:13" ht="13.25" x14ac:dyDescent="0.25">
      <c r="E17" t="s">
        <v>11</v>
      </c>
      <c r="F17" s="5">
        <f>-$L$6*$L$7</f>
        <v>-60</v>
      </c>
      <c r="G17" s="5">
        <f>-$L$6*$L$7</f>
        <v>-60</v>
      </c>
      <c r="H17" s="5">
        <f>-$L$6*$L$7</f>
        <v>-60</v>
      </c>
      <c r="K17" t="s">
        <v>35</v>
      </c>
      <c r="L17" s="10">
        <f>M17</f>
        <v>287.5</v>
      </c>
      <c r="M17">
        <f>MIN(SUM(F4:F5)*L22-L6,L15)</f>
        <v>287.5</v>
      </c>
    </row>
    <row r="18" spans="5:13" ht="13.25" x14ac:dyDescent="0.25">
      <c r="E18" t="s">
        <v>13</v>
      </c>
      <c r="F18" s="5">
        <f t="shared" ref="F18:H18" si="2">-$L$17*$L$18</f>
        <v>-14.375</v>
      </c>
      <c r="G18" s="5">
        <f t="shared" si="2"/>
        <v>-14.375</v>
      </c>
      <c r="H18" s="5">
        <f t="shared" si="2"/>
        <v>-14.375</v>
      </c>
      <c r="K18" t="s">
        <v>2</v>
      </c>
      <c r="L18" s="11">
        <v>0.05</v>
      </c>
    </row>
    <row r="19" spans="5:13" ht="13" x14ac:dyDescent="0.3">
      <c r="E19" s="2" t="s">
        <v>12</v>
      </c>
      <c r="F19" s="6">
        <f t="shared" ref="F19:H19" si="3">SUM(F17:F18)</f>
        <v>-74.375</v>
      </c>
      <c r="G19" s="6">
        <f t="shared" si="3"/>
        <v>-74.375</v>
      </c>
      <c r="H19" s="6">
        <f t="shared" si="3"/>
        <v>-74.375</v>
      </c>
    </row>
    <row r="21" spans="5:13" ht="13.25" x14ac:dyDescent="0.25">
      <c r="E21" t="s">
        <v>14</v>
      </c>
      <c r="F21" s="5">
        <f t="shared" ref="F21:H22" si="4">F13+F17</f>
        <v>365</v>
      </c>
      <c r="G21" s="5">
        <f t="shared" si="4"/>
        <v>415</v>
      </c>
      <c r="H21" s="5">
        <f t="shared" si="4"/>
        <v>465</v>
      </c>
      <c r="K21" t="s">
        <v>36</v>
      </c>
      <c r="L21" s="18">
        <f>(L6+L17)/SUM(F4:F5)</f>
        <v>3.25</v>
      </c>
    </row>
    <row r="22" spans="5:13" ht="13.25" x14ac:dyDescent="0.25">
      <c r="E22" t="s">
        <v>15</v>
      </c>
      <c r="F22" s="5">
        <f t="shared" si="4"/>
        <v>28.031359649122834</v>
      </c>
      <c r="G22" s="5">
        <f t="shared" si="4"/>
        <v>31.871271929824474</v>
      </c>
      <c r="H22" s="5">
        <f t="shared" si="4"/>
        <v>55.625</v>
      </c>
      <c r="K22" t="s">
        <v>37</v>
      </c>
      <c r="L22" s="17">
        <v>3.25</v>
      </c>
    </row>
    <row r="23" spans="5:13" ht="13" x14ac:dyDescent="0.3">
      <c r="E23" t="s">
        <v>16</v>
      </c>
      <c r="F23" s="6">
        <f t="shared" ref="F23:H23" si="5">SUM(F21:F22)</f>
        <v>393.03135964912281</v>
      </c>
      <c r="G23" s="6">
        <f t="shared" si="5"/>
        <v>446.8712719298245</v>
      </c>
      <c r="H23" s="6">
        <f t="shared" si="5"/>
        <v>520.625</v>
      </c>
    </row>
    <row r="24" spans="5:13" x14ac:dyDescent="0.25">
      <c r="K24" t="s">
        <v>38</v>
      </c>
      <c r="L24" s="10">
        <f>L15-L17</f>
        <v>212.5</v>
      </c>
      <c r="M24" s="8">
        <f>L24/L29</f>
        <v>7.0833333333333331E-2</v>
      </c>
    </row>
    <row r="25" spans="5:13" x14ac:dyDescent="0.25">
      <c r="E25" t="s">
        <v>23</v>
      </c>
      <c r="F25" s="5">
        <f t="shared" ref="F25:H26" si="6">-F21*$E$27</f>
        <v>-109.5</v>
      </c>
      <c r="G25" s="5">
        <f t="shared" si="6"/>
        <v>-124.5</v>
      </c>
      <c r="H25" s="5">
        <f t="shared" si="6"/>
        <v>-139.5</v>
      </c>
    </row>
    <row r="26" spans="5:13" x14ac:dyDescent="0.25">
      <c r="E26" t="s">
        <v>22</v>
      </c>
      <c r="F26" s="5">
        <f t="shared" si="6"/>
        <v>-8.4094078947368498</v>
      </c>
      <c r="G26" s="5">
        <f t="shared" si="6"/>
        <v>-9.5613815789473424</v>
      </c>
      <c r="H26" s="5">
        <f t="shared" si="6"/>
        <v>-16.6875</v>
      </c>
      <c r="K26" t="s">
        <v>47</v>
      </c>
      <c r="L26" s="12">
        <v>9</v>
      </c>
    </row>
    <row r="27" spans="5:13" ht="13" x14ac:dyDescent="0.3">
      <c r="E27" s="1">
        <v>0.3</v>
      </c>
      <c r="F27" s="6">
        <f t="shared" ref="F27:H27" si="7">SUM(F25:F26)</f>
        <v>-117.90940789473684</v>
      </c>
      <c r="G27" s="6">
        <f t="shared" si="7"/>
        <v>-134.06138157894733</v>
      </c>
      <c r="H27" s="6">
        <f t="shared" si="7"/>
        <v>-156.1875</v>
      </c>
      <c r="K27" t="s">
        <v>39</v>
      </c>
      <c r="L27" s="10">
        <f>L26*F4</f>
        <v>4500</v>
      </c>
    </row>
    <row r="28" spans="5:13" x14ac:dyDescent="0.25">
      <c r="K28" t="s">
        <v>40</v>
      </c>
      <c r="L28" s="10">
        <f>-L6</f>
        <v>-1500</v>
      </c>
    </row>
    <row r="29" spans="5:13" x14ac:dyDescent="0.25">
      <c r="E29" t="s">
        <v>17</v>
      </c>
      <c r="F29" s="5">
        <f t="shared" ref="F29:H30" si="8">F21+F25</f>
        <v>255.5</v>
      </c>
      <c r="G29" s="5">
        <f t="shared" si="8"/>
        <v>290.5</v>
      </c>
      <c r="H29" s="5">
        <f t="shared" si="8"/>
        <v>325.5</v>
      </c>
      <c r="K29" t="s">
        <v>41</v>
      </c>
      <c r="L29" s="10">
        <f>SUM(L27:L28)</f>
        <v>3000</v>
      </c>
    </row>
    <row r="30" spans="5:13" x14ac:dyDescent="0.25">
      <c r="E30" t="s">
        <v>18</v>
      </c>
      <c r="F30" s="5">
        <f t="shared" si="8"/>
        <v>19.621951754385982</v>
      </c>
      <c r="G30" s="5">
        <f t="shared" si="8"/>
        <v>22.309890350877133</v>
      </c>
      <c r="H30" s="5">
        <f t="shared" si="8"/>
        <v>38.9375</v>
      </c>
      <c r="K30" t="s">
        <v>42</v>
      </c>
      <c r="L30" s="14">
        <f>L29/L2</f>
        <v>15</v>
      </c>
    </row>
    <row r="31" spans="5:13" ht="13" x14ac:dyDescent="0.3">
      <c r="E31" t="s">
        <v>25</v>
      </c>
      <c r="F31" s="6">
        <f t="shared" ref="F31:H31" si="9">SUM(F29:F30)</f>
        <v>275.12195175438598</v>
      </c>
      <c r="G31" s="6">
        <f t="shared" si="9"/>
        <v>312.80989035087714</v>
      </c>
      <c r="H31" s="6">
        <f t="shared" si="9"/>
        <v>364.4375</v>
      </c>
    </row>
    <row r="32" spans="5:13" x14ac:dyDescent="0.25">
      <c r="K32" t="s">
        <v>45</v>
      </c>
      <c r="L32" s="15">
        <v>-0.05</v>
      </c>
    </row>
    <row r="33" spans="5:12" x14ac:dyDescent="0.25">
      <c r="E33" t="s">
        <v>19</v>
      </c>
      <c r="F33" s="7">
        <f t="shared" ref="F33:H33" si="10">F29/$L$2</f>
        <v>1.2775000000000001</v>
      </c>
      <c r="G33" s="7">
        <f t="shared" si="10"/>
        <v>1.4524999999999999</v>
      </c>
      <c r="H33" s="7">
        <f t="shared" si="10"/>
        <v>1.6274999999999999</v>
      </c>
      <c r="K33" t="s">
        <v>46</v>
      </c>
      <c r="L33" s="15">
        <v>0.03</v>
      </c>
    </row>
    <row r="34" spans="5:12" x14ac:dyDescent="0.25">
      <c r="E34" t="s">
        <v>20</v>
      </c>
      <c r="F34" s="7">
        <f>F31/$L$4</f>
        <v>1.2775000000000001</v>
      </c>
      <c r="G34" s="7">
        <f t="shared" ref="G34:H34" si="11">G31/$L$4</f>
        <v>1.4524999999999997</v>
      </c>
      <c r="H34" s="7">
        <f t="shared" si="11"/>
        <v>1.6922274041790559</v>
      </c>
      <c r="K34" t="s">
        <v>43</v>
      </c>
      <c r="L34" s="7">
        <f>(L24*(1+L33))/(L30*(1+L32))</f>
        <v>15.359649122807017</v>
      </c>
    </row>
    <row r="35" spans="5:12" x14ac:dyDescent="0.25">
      <c r="E35" t="s">
        <v>21</v>
      </c>
      <c r="F35" s="8">
        <f>F34/F33-1</f>
        <v>0</v>
      </c>
      <c r="G35" s="8">
        <f>G34/G33-1</f>
        <v>0</v>
      </c>
      <c r="H35" s="8">
        <f>H34/H33-1</f>
        <v>3.9771062475610464E-2</v>
      </c>
      <c r="K35" t="s">
        <v>44</v>
      </c>
      <c r="L35" s="8">
        <f>L34/L2</f>
        <v>7.6798245614035088E-2</v>
      </c>
    </row>
    <row r="37" spans="5:12" x14ac:dyDescent="0.25">
      <c r="E37" t="s">
        <v>49</v>
      </c>
      <c r="F37" s="16" t="s">
        <v>50</v>
      </c>
    </row>
    <row r="38" spans="5:12" x14ac:dyDescent="0.25">
      <c r="E38" t="s">
        <v>48</v>
      </c>
      <c r="F38" s="16" t="s">
        <v>51</v>
      </c>
    </row>
    <row r="41" spans="5:12" x14ac:dyDescent="0.25">
      <c r="E41" t="s">
        <v>61</v>
      </c>
      <c r="F41" s="10">
        <f>+L6+M17</f>
        <v>1787.5</v>
      </c>
      <c r="G41" s="10">
        <f>+F43</f>
        <v>1553.7968201754386</v>
      </c>
      <c r="H41" s="10">
        <f>+G43</f>
        <v>1293.1736842105263</v>
      </c>
    </row>
    <row r="42" spans="5:12" x14ac:dyDescent="0.25">
      <c r="E42" t="s">
        <v>63</v>
      </c>
      <c r="F42" s="9">
        <f t="shared" ref="F42:H42" si="12">-50%*F15</f>
        <v>-233.7031798245614</v>
      </c>
      <c r="G42" s="9">
        <f t="shared" si="12"/>
        <v>-260.62313596491225</v>
      </c>
      <c r="H42" s="9">
        <f t="shared" si="12"/>
        <v>-297.5</v>
      </c>
      <c r="I42" t="s">
        <v>65</v>
      </c>
    </row>
    <row r="43" spans="5:12" x14ac:dyDescent="0.25">
      <c r="E43" t="s">
        <v>62</v>
      </c>
      <c r="F43" s="10">
        <f>+SUM(F41:F42)</f>
        <v>1553.7968201754386</v>
      </c>
      <c r="G43" s="10">
        <f>+SUM(G41:G42)</f>
        <v>1293.1736842105263</v>
      </c>
      <c r="H43" s="10">
        <f>+SUM(H41:H42)</f>
        <v>995.67368421052629</v>
      </c>
    </row>
    <row r="44" spans="5:12" x14ac:dyDescent="0.25">
      <c r="E44" t="s">
        <v>64</v>
      </c>
      <c r="F44" s="13">
        <f t="shared" ref="F44:H44" si="13">+F43/F7</f>
        <v>2.7627653804356513</v>
      </c>
      <c r="G44" s="13">
        <f t="shared" si="13"/>
        <v>2.0984689776067116</v>
      </c>
      <c r="H44" s="13">
        <f t="shared" si="13"/>
        <v>1.4430053394355453</v>
      </c>
    </row>
    <row r="47" spans="5:12" x14ac:dyDescent="0.25">
      <c r="E47" t="s">
        <v>66</v>
      </c>
      <c r="F47" t="s">
        <v>73</v>
      </c>
      <c r="G47" t="s">
        <v>72</v>
      </c>
      <c r="H47" t="s">
        <v>74</v>
      </c>
    </row>
    <row r="48" spans="5:12" x14ac:dyDescent="0.25">
      <c r="E48" t="s">
        <v>67</v>
      </c>
      <c r="F48" s="10">
        <f>+F4</f>
        <v>500</v>
      </c>
      <c r="G48" s="10">
        <f>+F5</f>
        <v>50</v>
      </c>
      <c r="H48" s="10">
        <f t="shared" ref="H48:H49" si="14">+SUM(F48:G48)</f>
        <v>550</v>
      </c>
    </row>
    <row r="49" spans="5:8" x14ac:dyDescent="0.25">
      <c r="E49" t="s">
        <v>69</v>
      </c>
      <c r="F49" s="19">
        <f>+L26</f>
        <v>9</v>
      </c>
      <c r="G49" s="21">
        <v>0</v>
      </c>
      <c r="H49" s="19">
        <f t="shared" si="14"/>
        <v>9</v>
      </c>
    </row>
    <row r="50" spans="5:8" x14ac:dyDescent="0.25">
      <c r="E50" t="s">
        <v>68</v>
      </c>
      <c r="F50" s="10">
        <f>+F48*F49</f>
        <v>4500</v>
      </c>
      <c r="H50" s="10">
        <f>+H48*H49</f>
        <v>4950</v>
      </c>
    </row>
    <row r="51" spans="5:8" x14ac:dyDescent="0.25">
      <c r="E51" t="s">
        <v>75</v>
      </c>
      <c r="F51" s="10"/>
      <c r="G51" s="4">
        <v>200</v>
      </c>
      <c r="H51" s="10">
        <f>+SUM(F51:G51)</f>
        <v>200</v>
      </c>
    </row>
    <row r="52" spans="5:8" x14ac:dyDescent="0.25">
      <c r="E52" t="s">
        <v>60</v>
      </c>
      <c r="F52" s="10">
        <f>+L28</f>
        <v>-1500</v>
      </c>
      <c r="G52" s="10">
        <f>-L17</f>
        <v>-287.5</v>
      </c>
      <c r="H52" s="10">
        <f>+SUM(F52:G52)</f>
        <v>-1787.5</v>
      </c>
    </row>
    <row r="53" spans="5:8" ht="13" x14ac:dyDescent="0.3">
      <c r="E53" s="2" t="s">
        <v>70</v>
      </c>
      <c r="F53" s="20">
        <f>+F50+F52</f>
        <v>3000</v>
      </c>
      <c r="H53" s="20">
        <f>+SUM(H50,H51,H52)</f>
        <v>3362.5</v>
      </c>
    </row>
    <row r="55" spans="5:8" x14ac:dyDescent="0.25">
      <c r="E55" t="s">
        <v>76</v>
      </c>
      <c r="F55" s="1">
        <v>1</v>
      </c>
      <c r="H55" s="8">
        <f>+L2/L4</f>
        <v>0.92867907620870838</v>
      </c>
    </row>
    <row r="56" spans="5:8" ht="13" x14ac:dyDescent="0.3">
      <c r="E56" t="s">
        <v>71</v>
      </c>
      <c r="F56" s="20">
        <f>+F53*F55</f>
        <v>3000</v>
      </c>
      <c r="H56" s="20">
        <f>+H55*H53</f>
        <v>3122.6833937517818</v>
      </c>
    </row>
    <row r="57" spans="5:8" x14ac:dyDescent="0.25">
      <c r="H57" s="22">
        <f>+H56/F56-1</f>
        <v>4.0894464583927315E-2</v>
      </c>
    </row>
  </sheetData>
  <pageMargins left="0.7" right="0.7" top="0.75" bottom="0.75" header="0.3" footer="0.3"/>
  <pageSetup paperSize="9" scale="6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debt financed</vt:lpstr>
      <vt:lpstr>Debt equity financed</vt:lpstr>
    </vt:vector>
  </TitlesOfParts>
  <Company>Evercore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Greg-Henri Bize</dc:creator>
  <cp:lastModifiedBy>greghenri.bize</cp:lastModifiedBy>
  <cp:lastPrinted>2021-03-24T11:12:40Z</cp:lastPrinted>
  <dcterms:created xsi:type="dcterms:W3CDTF">2015-09-11T12:26:52Z</dcterms:created>
  <dcterms:modified xsi:type="dcterms:W3CDTF">2021-11-03T11:51:27Z</dcterms:modified>
</cp:coreProperties>
</file>