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7c8d991461834e7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A1 - Projects\A1-18\A1-18019--Imperial Oil Kearl supplementary crusher spools\Flange Calculations\"/>
    </mc:Choice>
  </mc:AlternateContent>
  <xr:revisionPtr revIDLastSave="0" documentId="13_ncr:1_{CAAE4352-F418-4215-98C4-739F06841CC6}" xr6:coauthVersionLast="45" xr6:coauthVersionMax="45" xr10:uidLastSave="{00000000-0000-0000-0000-000000000000}"/>
  <bookViews>
    <workbookView xWindow="11925" yWindow="6855" windowWidth="21600" windowHeight="11385" activeTab="2" xr2:uid="{8FA267CA-581A-4A25-8090-A3048AF791BD}"/>
  </bookViews>
  <sheets>
    <sheet name="Data Sheet Template" sheetId="2" r:id="rId1"/>
    <sheet name="Calculations and Parameters" sheetId="1" r:id="rId2"/>
    <sheet name="Sheet1" sheetId="3" r:id="rId3"/>
  </sheets>
  <definedNames>
    <definedName name="_xlnm.Print_Area" localSheetId="1">'Calculations and Parameters'!$A$1:$AA$140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7" i="1" l="1"/>
  <c r="E11" i="1"/>
  <c r="E63" i="1" l="1"/>
  <c r="R8" i="2" l="1"/>
  <c r="R7" i="2"/>
  <c r="AC8" i="2"/>
  <c r="AC7" i="2"/>
  <c r="E18" i="1"/>
  <c r="E76" i="1" l="1"/>
  <c r="S18" i="2" s="1"/>
  <c r="E1" i="1" l="1"/>
  <c r="E3" i="2"/>
  <c r="F17" i="1" l="1"/>
  <c r="G5" i="2" l="1"/>
  <c r="AB14" i="2" l="1"/>
  <c r="E74" i="1"/>
  <c r="I18" i="2" l="1"/>
  <c r="E78" i="1"/>
  <c r="F15" i="2"/>
  <c r="F14" i="2"/>
  <c r="AC18" i="2" l="1"/>
  <c r="K10" i="1"/>
  <c r="R49" i="2"/>
  <c r="R50" i="2"/>
  <c r="R51" i="2"/>
  <c r="R52" i="2"/>
  <c r="R53" i="2"/>
  <c r="R54" i="2"/>
  <c r="R55" i="2"/>
  <c r="R56" i="2"/>
  <c r="R57" i="2"/>
  <c r="R48" i="2"/>
  <c r="R47" i="2"/>
  <c r="S50" i="1"/>
  <c r="Q48" i="1"/>
  <c r="Q41" i="1"/>
  <c r="S35" i="1"/>
  <c r="S34" i="1"/>
  <c r="Q22" i="1"/>
  <c r="Q21" i="1"/>
  <c r="Q20" i="1"/>
  <c r="Q19" i="1"/>
  <c r="Q18" i="1"/>
  <c r="Q17" i="1"/>
  <c r="Q16" i="1"/>
  <c r="Q15" i="1"/>
  <c r="Q14" i="1"/>
  <c r="Q13" i="1"/>
  <c r="Q11" i="1"/>
  <c r="Q10" i="1"/>
  <c r="Q9" i="1"/>
  <c r="Q8" i="1"/>
  <c r="Q12" i="1"/>
  <c r="K11" i="1"/>
  <c r="K12" i="1" s="1"/>
  <c r="AC54" i="2" s="1"/>
  <c r="K5" i="1"/>
  <c r="K9" i="1" s="1"/>
  <c r="AC51" i="2" s="1"/>
  <c r="E38" i="1" l="1"/>
  <c r="AC52" i="2"/>
  <c r="N6" i="1"/>
  <c r="R16" i="1" s="1"/>
  <c r="R58" i="2"/>
  <c r="AC53" i="2"/>
  <c r="AC47" i="2"/>
  <c r="N7" i="1"/>
  <c r="K8" i="1"/>
  <c r="AC50" i="2" s="1"/>
  <c r="K6" i="1"/>
  <c r="AC48" i="2" s="1"/>
  <c r="K7" i="1"/>
  <c r="AC49" i="2" l="1"/>
  <c r="E41" i="1"/>
  <c r="E54" i="1" s="1"/>
  <c r="F13" i="2"/>
  <c r="R18" i="1"/>
  <c r="N8" i="1"/>
  <c r="N9" i="1"/>
  <c r="R8" i="1"/>
  <c r="Y8" i="1" s="1"/>
  <c r="R17" i="1"/>
  <c r="N10" i="1"/>
  <c r="S21" i="1"/>
  <c r="R14" i="1"/>
  <c r="R10" i="1"/>
  <c r="Y10" i="1" s="1"/>
  <c r="R9" i="1"/>
  <c r="Y9" i="1" s="1"/>
  <c r="R12" i="1"/>
  <c r="R19" i="1"/>
  <c r="Q38" i="1"/>
  <c r="R11" i="1"/>
  <c r="R13" i="1"/>
  <c r="R15" i="1"/>
  <c r="T50" i="1"/>
  <c r="R20" i="1"/>
  <c r="R22" i="1"/>
  <c r="R21" i="1"/>
  <c r="N20" i="1"/>
  <c r="S13" i="1"/>
  <c r="Q37" i="1"/>
  <c r="Y37" i="1" s="1"/>
  <c r="Q36" i="1"/>
  <c r="Y36" i="1" s="1"/>
  <c r="N33" i="1"/>
  <c r="Q33" i="1"/>
  <c r="Y33" i="1" s="1"/>
  <c r="S12" i="1"/>
  <c r="S14" i="1"/>
  <c r="S19" i="1"/>
  <c r="S15" i="1"/>
  <c r="S11" i="1"/>
  <c r="S20" i="1"/>
  <c r="S16" i="1"/>
  <c r="Y16" i="1" s="1"/>
  <c r="S17" i="1"/>
  <c r="S22" i="1"/>
  <c r="S18" i="1"/>
  <c r="N18" i="1"/>
  <c r="N15" i="1"/>
  <c r="N22" i="1"/>
  <c r="N21" i="1"/>
  <c r="N14" i="1"/>
  <c r="N17" i="1"/>
  <c r="N16" i="1"/>
  <c r="N19" i="1"/>
  <c r="N37" i="1"/>
  <c r="N11" i="1"/>
  <c r="N36" i="1"/>
  <c r="N12" i="1"/>
  <c r="N13" i="1"/>
  <c r="Y18" i="1" l="1"/>
  <c r="AA18" i="1" s="1"/>
  <c r="Y14" i="1"/>
  <c r="AA14" i="1" s="1"/>
  <c r="F12" i="2"/>
  <c r="E49" i="1"/>
  <c r="Q13" i="2" s="1"/>
  <c r="T28" i="1"/>
  <c r="Y17" i="1"/>
  <c r="AA17" i="1" s="1"/>
  <c r="AA10" i="1"/>
  <c r="T27" i="1"/>
  <c r="AA8" i="1"/>
  <c r="V30" i="1"/>
  <c r="E45" i="1"/>
  <c r="E94" i="1"/>
  <c r="E104" i="1" s="1"/>
  <c r="AA9" i="1"/>
  <c r="V31" i="1"/>
  <c r="V32" i="1"/>
  <c r="Y21" i="1"/>
  <c r="AA21" i="1" s="1"/>
  <c r="Y15" i="1"/>
  <c r="AA15" i="1" s="1"/>
  <c r="Y13" i="1"/>
  <c r="AA13" i="1" s="1"/>
  <c r="Y11" i="1"/>
  <c r="AA11" i="1" s="1"/>
  <c r="Y20" i="1"/>
  <c r="AA20" i="1" s="1"/>
  <c r="Y19" i="1"/>
  <c r="AA19" i="1" s="1"/>
  <c r="Y22" i="1"/>
  <c r="AA22" i="1" s="1"/>
  <c r="Y12" i="1"/>
  <c r="AA12" i="1" s="1"/>
  <c r="AA33" i="1"/>
  <c r="Q12" i="2"/>
  <c r="E59" i="1"/>
  <c r="AA36" i="1"/>
  <c r="S27" i="1"/>
  <c r="AA37" i="1"/>
  <c r="S26" i="1"/>
  <c r="Q27" i="1"/>
  <c r="S24" i="1"/>
  <c r="R25" i="1"/>
  <c r="AA16" i="1"/>
  <c r="R23" i="1"/>
  <c r="T32" i="1"/>
  <c r="S31" i="1"/>
  <c r="R28" i="1"/>
  <c r="Q25" i="1"/>
  <c r="T25" i="1"/>
  <c r="U28" i="1"/>
  <c r="Q30" i="1"/>
  <c r="U29" i="1"/>
  <c r="T26" i="1"/>
  <c r="R32" i="1"/>
  <c r="S29" i="1"/>
  <c r="Q29" i="1"/>
  <c r="R27" i="1"/>
  <c r="Q24" i="1"/>
  <c r="S30" i="1"/>
  <c r="Q23" i="1"/>
  <c r="S32" i="1"/>
  <c r="R29" i="1"/>
  <c r="Q26" i="1"/>
  <c r="U31" i="1"/>
  <c r="U25" i="1"/>
  <c r="U30" i="1"/>
  <c r="U26" i="1"/>
  <c r="U24" i="1"/>
  <c r="U32" i="1"/>
  <c r="U23" i="1"/>
  <c r="R24" i="1"/>
  <c r="T31" i="1"/>
  <c r="S23" i="1"/>
  <c r="R31" i="1"/>
  <c r="S25" i="1"/>
  <c r="T23" i="1"/>
  <c r="U27" i="1"/>
  <c r="Q28" i="1"/>
  <c r="V25" i="1"/>
  <c r="V27" i="1"/>
  <c r="V26" i="1"/>
  <c r="V24" i="1"/>
  <c r="V28" i="1"/>
  <c r="V29" i="1"/>
  <c r="R26" i="1"/>
  <c r="T30" i="1"/>
  <c r="S28" i="1"/>
  <c r="T24" i="1"/>
  <c r="Q32" i="1"/>
  <c r="V23" i="1"/>
  <c r="R30" i="1"/>
  <c r="T29" i="1"/>
  <c r="Q31" i="1"/>
  <c r="N23" i="1"/>
  <c r="E50" i="1" l="1"/>
  <c r="Q15" i="2" s="1"/>
  <c r="Q14" i="2"/>
  <c r="E82" i="1"/>
  <c r="I19" i="2" s="1"/>
  <c r="S20" i="2"/>
  <c r="S22" i="2" s="1"/>
  <c r="E85" i="1"/>
  <c r="W26" i="1"/>
  <c r="Y26" i="1" s="1"/>
  <c r="W32" i="1"/>
  <c r="Y32" i="1" s="1"/>
  <c r="W31" i="1"/>
  <c r="Y31" i="1" s="1"/>
  <c r="W29" i="1"/>
  <c r="Y29" i="1" s="1"/>
  <c r="W24" i="1"/>
  <c r="Y24" i="1" s="1"/>
  <c r="W25" i="1"/>
  <c r="Y25" i="1" s="1"/>
  <c r="W30" i="1"/>
  <c r="Y30" i="1" s="1"/>
  <c r="W28" i="1"/>
  <c r="Y28" i="1" s="1"/>
  <c r="W27" i="1"/>
  <c r="Y27" i="1" s="1"/>
  <c r="N27" i="1"/>
  <c r="N29" i="1"/>
  <c r="Y23" i="1"/>
  <c r="AA23" i="1" s="1"/>
  <c r="N32" i="1"/>
  <c r="N25" i="1"/>
  <c r="N24" i="1"/>
  <c r="N30" i="1"/>
  <c r="N31" i="1"/>
  <c r="R47" i="1" s="1"/>
  <c r="N26" i="1"/>
  <c r="N28" i="1"/>
  <c r="S19" i="2" l="1"/>
  <c r="E87" i="1"/>
  <c r="E92" i="1"/>
  <c r="E57" i="1"/>
  <c r="AA25" i="1"/>
  <c r="AA29" i="1"/>
  <c r="AA27" i="1"/>
  <c r="AA28" i="1"/>
  <c r="AA30" i="1"/>
  <c r="N38" i="1"/>
  <c r="R38" i="1"/>
  <c r="Y38" i="1" s="1"/>
  <c r="T34" i="1"/>
  <c r="R34" i="1"/>
  <c r="N42" i="1"/>
  <c r="R45" i="1"/>
  <c r="R41" i="1"/>
  <c r="Q42" i="1"/>
  <c r="Y42" i="1" s="1"/>
  <c r="T41" i="1"/>
  <c r="AA32" i="1"/>
  <c r="S41" i="1"/>
  <c r="R46" i="1"/>
  <c r="Q35" i="1"/>
  <c r="N39" i="1"/>
  <c r="T35" i="1"/>
  <c r="R39" i="1"/>
  <c r="Y39" i="1" s="1"/>
  <c r="R35" i="1"/>
  <c r="AA26" i="1"/>
  <c r="Q34" i="1"/>
  <c r="AA31" i="1"/>
  <c r="AA24" i="1"/>
  <c r="N41" i="1"/>
  <c r="N34" i="1"/>
  <c r="N35" i="1"/>
  <c r="AC19" i="2" l="1"/>
  <c r="I20" i="2"/>
  <c r="E96" i="1"/>
  <c r="AC20" i="2" s="1"/>
  <c r="E60" i="1"/>
  <c r="E68" i="1" s="1"/>
  <c r="E102" i="1" s="1"/>
  <c r="AA42" i="1"/>
  <c r="AA38" i="1"/>
  <c r="R40" i="1"/>
  <c r="S40" i="1"/>
  <c r="Q43" i="1"/>
  <c r="U44" i="1"/>
  <c r="Q44" i="1"/>
  <c r="AA39" i="1"/>
  <c r="R44" i="1"/>
  <c r="T44" i="1"/>
  <c r="Q40" i="1"/>
  <c r="T40" i="1"/>
  <c r="R43" i="1"/>
  <c r="Y41" i="1"/>
  <c r="AA41" i="1" s="1"/>
  <c r="Y34" i="1"/>
  <c r="AA34" i="1" s="1"/>
  <c r="Y35" i="1"/>
  <c r="AA35" i="1" s="1"/>
  <c r="N40" i="1"/>
  <c r="N43" i="1" s="1"/>
  <c r="K17" i="1" s="1"/>
  <c r="E110" i="1" s="1"/>
  <c r="E98" i="1" l="1"/>
  <c r="AC21" i="2"/>
  <c r="E132" i="1" s="1"/>
  <c r="AB12" i="2"/>
  <c r="Y40" i="1"/>
  <c r="AA40" i="1" s="1"/>
  <c r="W43" i="1"/>
  <c r="Y43" i="1" s="1"/>
  <c r="W44" i="1"/>
  <c r="Y44" i="1" s="1"/>
  <c r="N44" i="1"/>
  <c r="AC25" i="2" l="1"/>
  <c r="V86" i="1"/>
  <c r="AB15" i="2"/>
  <c r="I22" i="2" s="1"/>
  <c r="AC22" i="2" s="1"/>
  <c r="V94" i="1" s="1"/>
  <c r="E106" i="1"/>
  <c r="S48" i="1"/>
  <c r="R50" i="1"/>
  <c r="Q46" i="1"/>
  <c r="Q45" i="1"/>
  <c r="Q47" i="1"/>
  <c r="AA44" i="1"/>
  <c r="R48" i="1"/>
  <c r="U50" i="1"/>
  <c r="S46" i="1"/>
  <c r="S45" i="1"/>
  <c r="S47" i="1"/>
  <c r="N46" i="1"/>
  <c r="AA43" i="1"/>
  <c r="N47" i="1"/>
  <c r="N45" i="1"/>
  <c r="E135" i="1" l="1"/>
  <c r="AC26" i="2" s="1"/>
  <c r="AC59" i="2"/>
  <c r="Y47" i="1"/>
  <c r="AA47" i="1" s="1"/>
  <c r="Y45" i="1"/>
  <c r="AA45" i="1" s="1"/>
  <c r="Q49" i="1"/>
  <c r="V48" i="1"/>
  <c r="S49" i="1"/>
  <c r="T48" i="1"/>
  <c r="R49" i="1"/>
  <c r="U48" i="1"/>
  <c r="Y46" i="1"/>
  <c r="AA46" i="1" s="1"/>
  <c r="N48" i="1"/>
  <c r="N49" i="1"/>
  <c r="Q50" i="1" s="1"/>
  <c r="Y50" i="1" s="1"/>
  <c r="Y48" i="1" l="1"/>
  <c r="AA48" i="1" s="1"/>
  <c r="Y49" i="1"/>
  <c r="AA49" i="1" s="1"/>
  <c r="N50" i="1"/>
  <c r="K14" i="1"/>
  <c r="K16" i="1" s="1"/>
  <c r="AA50" i="1" l="1"/>
  <c r="K13" i="1"/>
  <c r="K15" i="1" s="1"/>
  <c r="AC56" i="2"/>
  <c r="E119" i="1" l="1"/>
  <c r="E115" i="1"/>
  <c r="E123" i="1" s="1"/>
  <c r="AC58" i="2"/>
  <c r="E126" i="1"/>
  <c r="R25" i="2" s="1"/>
  <c r="V84" i="1"/>
  <c r="AC55" i="2"/>
  <c r="E129" i="1" l="1"/>
  <c r="V92" i="1"/>
  <c r="R92" i="1" s="1"/>
  <c r="AB43" i="2" s="1"/>
  <c r="AB44" i="2" s="1"/>
  <c r="R84" i="1"/>
  <c r="L43" i="2" s="1"/>
  <c r="L44" i="2" s="1"/>
  <c r="E118" i="1"/>
  <c r="AC57" i="2"/>
  <c r="E114" i="1"/>
  <c r="E122" i="1" s="1"/>
  <c r="R74" i="1" l="1"/>
  <c r="O36" i="2" s="1"/>
  <c r="R60" i="1"/>
  <c r="O29" i="2" s="1"/>
  <c r="R63" i="1"/>
  <c r="R71" i="1"/>
  <c r="O35" i="2" s="1"/>
  <c r="AE35" i="2" s="1"/>
  <c r="G25" i="2"/>
  <c r="AC24" i="2"/>
  <c r="R24" i="2"/>
  <c r="G24" i="2"/>
  <c r="R77" i="1" l="1"/>
  <c r="O37" i="2" s="1"/>
  <c r="AE29" i="2"/>
  <c r="O30" i="2"/>
  <c r="AE30" i="2" s="1"/>
  <c r="R66" i="1"/>
  <c r="O31" i="2" s="1"/>
  <c r="AE31" i="2" s="1"/>
  <c r="L32" i="2" l="1"/>
  <c r="AE37" i="2"/>
  <c r="L39" i="2"/>
  <c r="AE36" i="2"/>
  <c r="L38" i="2"/>
  <c r="L33" i="2"/>
  <c r="O32" i="2" l="1"/>
  <c r="AE32" i="2" s="1"/>
  <c r="O38" i="2"/>
  <c r="AE38" i="2" s="1"/>
</calcChain>
</file>

<file path=xl/sharedStrings.xml><?xml version="1.0" encoding="utf-8"?>
<sst xmlns="http://schemas.openxmlformats.org/spreadsheetml/2006/main" count="547" uniqueCount="338">
  <si>
    <t>Design Temperature</t>
  </si>
  <si>
    <t>Flange Material</t>
  </si>
  <si>
    <t>Bolting Material</t>
  </si>
  <si>
    <t>Corrosion Allowance</t>
  </si>
  <si>
    <t>Allowable Stresses</t>
  </si>
  <si>
    <t>Flange</t>
  </si>
  <si>
    <t>Bolting</t>
  </si>
  <si>
    <t>Flange Geometry</t>
  </si>
  <si>
    <t>Dimensional</t>
  </si>
  <si>
    <t>b</t>
  </si>
  <si>
    <t>A</t>
  </si>
  <si>
    <t>B</t>
  </si>
  <si>
    <t>C</t>
  </si>
  <si>
    <t>t</t>
  </si>
  <si>
    <t>h</t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</si>
  <si>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</si>
  <si>
    <r>
      <t>g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</si>
  <si>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t>R</t>
  </si>
  <si>
    <t>Gasket OD</t>
  </si>
  <si>
    <t>Gasket ID</t>
  </si>
  <si>
    <t>N</t>
  </si>
  <si>
    <r>
      <t>b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1"/>
        <color theme="1"/>
        <rFont val="Calibri"/>
        <family val="2"/>
        <scheme val="minor"/>
      </rPr>
      <t>= N/2</t>
    </r>
  </si>
  <si>
    <t>Flange &amp; Hub Factors</t>
  </si>
  <si>
    <t>K</t>
  </si>
  <si>
    <t>T</t>
  </si>
  <si>
    <t>U</t>
  </si>
  <si>
    <t>Y</t>
  </si>
  <si>
    <t>Z</t>
  </si>
  <si>
    <r>
      <t>g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/g</t>
    </r>
    <r>
      <rPr>
        <vertAlign val="subscript"/>
        <sz val="11"/>
        <color theme="1"/>
        <rFont val="Calibri"/>
        <family val="2"/>
        <scheme val="minor"/>
      </rPr>
      <t>0</t>
    </r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</si>
  <si>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= (Bg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1/2</t>
    </r>
  </si>
  <si>
    <r>
      <t>h/h</t>
    </r>
    <r>
      <rPr>
        <vertAlign val="subscript"/>
        <sz val="11"/>
        <color theme="1"/>
        <rFont val="Calibri"/>
        <family val="2"/>
        <scheme val="minor"/>
      </rPr>
      <t>0</t>
    </r>
  </si>
  <si>
    <t>F</t>
  </si>
  <si>
    <t>V</t>
  </si>
  <si>
    <t>Design Pressure, P</t>
  </si>
  <si>
    <t>Design Conditions</t>
  </si>
  <si>
    <t>in.</t>
  </si>
  <si>
    <t>in</t>
  </si>
  <si>
    <t>C36</t>
  </si>
  <si>
    <t>C37</t>
  </si>
  <si>
    <t>E5</t>
  </si>
  <si>
    <t>E6</t>
  </si>
  <si>
    <t>E4</t>
  </si>
  <si>
    <t>C28</t>
  </si>
  <si>
    <t>C29</t>
  </si>
  <si>
    <t>C32</t>
  </si>
  <si>
    <t>C34</t>
  </si>
  <si>
    <t>C35</t>
  </si>
  <si>
    <t>C33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</si>
  <si>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</si>
  <si>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</si>
  <si>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</si>
  <si>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</si>
  <si>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</si>
  <si>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</si>
  <si>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</si>
  <si>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</si>
  <si>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</si>
  <si>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C5</t>
  </si>
  <si>
    <t>C4</t>
  </si>
  <si>
    <t>C3</t>
  </si>
  <si>
    <t>C2</t>
  </si>
  <si>
    <t>C1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</si>
  <si>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</si>
  <si>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</si>
  <si>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</si>
  <si>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</si>
  <si>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</si>
  <si>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</si>
  <si>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</si>
  <si>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</si>
  <si>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</si>
  <si>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</si>
  <si>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</si>
  <si>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</si>
  <si>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</si>
  <si>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C30</t>
  </si>
  <si>
    <t>C31</t>
  </si>
  <si>
    <t>E1</t>
  </si>
  <si>
    <t>E2</t>
  </si>
  <si>
    <t>E3</t>
  </si>
  <si>
    <t>e</t>
  </si>
  <si>
    <t>d</t>
  </si>
  <si>
    <t>f</t>
  </si>
  <si>
    <t>Connection Description</t>
  </si>
  <si>
    <t>Gasket</t>
  </si>
  <si>
    <t>SA-105</t>
  </si>
  <si>
    <t>SA-193-B7</t>
  </si>
  <si>
    <t>psig</t>
  </si>
  <si>
    <t>deg F</t>
  </si>
  <si>
    <t>Gasket and Facing Details</t>
  </si>
  <si>
    <t>psi</t>
  </si>
  <si>
    <r>
      <t>@ Design Temp, S</t>
    </r>
    <r>
      <rPr>
        <vertAlign val="subscript"/>
        <sz val="8"/>
        <color theme="1"/>
        <rFont val="Calibri"/>
        <family val="2"/>
        <scheme val="minor"/>
      </rPr>
      <t>fo</t>
    </r>
  </si>
  <si>
    <r>
      <t>@ Design Temp, S</t>
    </r>
    <r>
      <rPr>
        <vertAlign val="subscript"/>
        <sz val="8"/>
        <color theme="1"/>
        <rFont val="Calibri"/>
        <family val="2"/>
        <scheme val="minor"/>
      </rPr>
      <t>b</t>
    </r>
  </si>
  <si>
    <r>
      <t>@ Atm Temp, S</t>
    </r>
    <r>
      <rPr>
        <vertAlign val="subscript"/>
        <sz val="8"/>
        <color theme="1"/>
        <rFont val="Calibri"/>
        <family val="2"/>
        <scheme val="minor"/>
      </rPr>
      <t>fa</t>
    </r>
  </si>
  <si>
    <r>
      <t>@ Atm Temp, S</t>
    </r>
    <r>
      <rPr>
        <vertAlign val="subscript"/>
        <sz val="8"/>
        <color theme="1"/>
        <rFont val="Calibri"/>
        <family val="2"/>
        <scheme val="minor"/>
      </rPr>
      <t>a</t>
    </r>
  </si>
  <si>
    <t xml:space="preserve">F </t>
  </si>
  <si>
    <r>
      <t>g</t>
    </r>
    <r>
      <rPr>
        <vertAlign val="subscript"/>
        <sz val="8"/>
        <color theme="1"/>
        <rFont val="Calibri"/>
        <family val="2"/>
        <scheme val="minor"/>
      </rPr>
      <t>0</t>
    </r>
  </si>
  <si>
    <r>
      <t>g</t>
    </r>
    <r>
      <rPr>
        <vertAlign val="subscript"/>
        <sz val="8"/>
        <color theme="1"/>
        <rFont val="Calibri"/>
        <family val="2"/>
        <scheme val="minor"/>
      </rPr>
      <t>1</t>
    </r>
  </si>
  <si>
    <r>
      <t>h</t>
    </r>
    <r>
      <rPr>
        <vertAlign val="subscript"/>
        <sz val="8"/>
        <color theme="1"/>
        <rFont val="Calibri"/>
        <family val="2"/>
        <scheme val="minor"/>
      </rPr>
      <t>0</t>
    </r>
  </si>
  <si>
    <r>
      <t>h/h</t>
    </r>
    <r>
      <rPr>
        <vertAlign val="subscript"/>
        <sz val="8"/>
        <color theme="1"/>
        <rFont val="Calibri"/>
        <family val="2"/>
        <scheme val="minor"/>
      </rPr>
      <t>0</t>
    </r>
  </si>
  <si>
    <r>
      <t>e = F/h</t>
    </r>
    <r>
      <rPr>
        <vertAlign val="subscript"/>
        <sz val="8"/>
        <color theme="1"/>
        <rFont val="Calibri"/>
        <family val="2"/>
        <scheme val="minor"/>
      </rPr>
      <t>0</t>
    </r>
  </si>
  <si>
    <t>Moment Calculations</t>
  </si>
  <si>
    <t>Stress Formula Factors</t>
  </si>
  <si>
    <t>Stress Calculations</t>
  </si>
  <si>
    <t>Flange Rigidity (Leakage)</t>
  </si>
  <si>
    <t>Moment Arm</t>
  </si>
  <si>
    <t>Moment</t>
  </si>
  <si>
    <t>Operating</t>
  </si>
  <si>
    <t>Seating</t>
  </si>
  <si>
    <t>Condition</t>
  </si>
  <si>
    <t>lb</t>
  </si>
  <si>
    <r>
      <t>M</t>
    </r>
    <r>
      <rPr>
        <vertAlign val="subscript"/>
        <sz val="8"/>
        <color theme="1"/>
        <rFont val="Calibri"/>
        <family val="2"/>
        <scheme val="minor"/>
      </rPr>
      <t>D</t>
    </r>
    <r>
      <rPr>
        <sz val="8"/>
        <color theme="1"/>
        <rFont val="Calibri"/>
        <family val="2"/>
        <scheme val="minor"/>
      </rPr>
      <t xml:space="preserve"> = H</t>
    </r>
    <r>
      <rPr>
        <vertAlign val="subscript"/>
        <sz val="8"/>
        <color theme="1"/>
        <rFont val="Calibri"/>
        <family val="2"/>
        <scheme val="minor"/>
      </rPr>
      <t>D</t>
    </r>
    <r>
      <rPr>
        <sz val="8"/>
        <color theme="1"/>
        <rFont val="Calibri"/>
        <family val="2"/>
        <scheme val="minor"/>
      </rPr>
      <t>h</t>
    </r>
    <r>
      <rPr>
        <vertAlign val="subscript"/>
        <sz val="8"/>
        <color theme="1"/>
        <rFont val="Calibri"/>
        <family val="2"/>
        <scheme val="minor"/>
      </rPr>
      <t>D</t>
    </r>
  </si>
  <si>
    <r>
      <t>M</t>
    </r>
    <r>
      <rPr>
        <vertAlign val="subscript"/>
        <sz val="8"/>
        <color theme="1"/>
        <rFont val="Calibri"/>
        <family val="2"/>
        <scheme val="minor"/>
      </rPr>
      <t>T</t>
    </r>
    <r>
      <rPr>
        <sz val="8"/>
        <color theme="1"/>
        <rFont val="Calibri"/>
        <family val="2"/>
        <scheme val="minor"/>
      </rPr>
      <t xml:space="preserve"> = H</t>
    </r>
    <r>
      <rPr>
        <vertAlign val="subscript"/>
        <sz val="8"/>
        <color theme="1"/>
        <rFont val="Calibri"/>
        <family val="2"/>
        <scheme val="minor"/>
      </rPr>
      <t>T</t>
    </r>
    <r>
      <rPr>
        <sz val="8"/>
        <color theme="1"/>
        <rFont val="Calibri"/>
        <family val="2"/>
        <scheme val="minor"/>
      </rPr>
      <t>h</t>
    </r>
    <r>
      <rPr>
        <vertAlign val="subscript"/>
        <sz val="8"/>
        <color theme="1"/>
        <rFont val="Calibri"/>
        <family val="2"/>
        <scheme val="minor"/>
      </rPr>
      <t>T</t>
    </r>
  </si>
  <si>
    <r>
      <t>M</t>
    </r>
    <r>
      <rPr>
        <vertAlign val="subscript"/>
        <sz val="8"/>
        <color theme="1"/>
        <rFont val="Calibri"/>
        <family val="2"/>
        <scheme val="minor"/>
      </rPr>
      <t>G</t>
    </r>
    <r>
      <rPr>
        <sz val="8"/>
        <color theme="1"/>
        <rFont val="Calibri"/>
        <family val="2"/>
        <scheme val="minor"/>
      </rPr>
      <t xml:space="preserve"> = H</t>
    </r>
    <r>
      <rPr>
        <vertAlign val="subscript"/>
        <sz val="8"/>
        <color theme="1"/>
        <rFont val="Calibri"/>
        <family val="2"/>
        <scheme val="minor"/>
      </rPr>
      <t>G</t>
    </r>
    <r>
      <rPr>
        <sz val="8"/>
        <color theme="1"/>
        <rFont val="Calibri"/>
        <family val="2"/>
        <scheme val="minor"/>
      </rPr>
      <t>h</t>
    </r>
    <r>
      <rPr>
        <vertAlign val="subscript"/>
        <sz val="8"/>
        <color theme="1"/>
        <rFont val="Calibri"/>
        <family val="2"/>
        <scheme val="minor"/>
      </rPr>
      <t>G</t>
    </r>
  </si>
  <si>
    <t>lb-in</t>
  </si>
  <si>
    <r>
      <t>M</t>
    </r>
    <r>
      <rPr>
        <vertAlign val="subscript"/>
        <sz val="8"/>
        <color theme="1"/>
        <rFont val="Calibri"/>
        <family val="2"/>
        <scheme val="minor"/>
      </rPr>
      <t>0</t>
    </r>
    <r>
      <rPr>
        <sz val="8"/>
        <color theme="1"/>
        <rFont val="Calibri"/>
        <family val="2"/>
        <scheme val="minor"/>
      </rPr>
      <t/>
    </r>
  </si>
  <si>
    <r>
      <t>M</t>
    </r>
    <r>
      <rPr>
        <vertAlign val="superscript"/>
        <sz val="8"/>
        <color theme="1"/>
        <rFont val="Calibri"/>
        <family val="2"/>
        <scheme val="minor"/>
      </rPr>
      <t>'</t>
    </r>
    <r>
      <rPr>
        <vertAlign val="subscript"/>
        <sz val="8"/>
        <color theme="1"/>
        <rFont val="Calibri"/>
        <family val="2"/>
        <scheme val="minor"/>
      </rPr>
      <t>0</t>
    </r>
  </si>
  <si>
    <t>Load</t>
  </si>
  <si>
    <t>γ = α/T</t>
  </si>
  <si>
    <t>λ = γ + δ</t>
  </si>
  <si>
    <t>G</t>
  </si>
  <si>
    <t>y</t>
  </si>
  <si>
    <t>m</t>
  </si>
  <si>
    <t>in2</t>
  </si>
  <si>
    <t>Load and Bolt Calculations</t>
  </si>
  <si>
    <t>Ratio</t>
  </si>
  <si>
    <t>Allowable Stress</t>
  </si>
  <si>
    <t>Operating Stress</t>
  </si>
  <si>
    <t>Seating Stress</t>
  </si>
  <si>
    <t>Tangential Flange</t>
  </si>
  <si>
    <t>Greater of</t>
  </si>
  <si>
    <t>Longitudinal Hub</t>
  </si>
  <si>
    <t>Radial Flange</t>
  </si>
  <si>
    <r>
      <t>S</t>
    </r>
    <r>
      <rPr>
        <i/>
        <vertAlign val="subscript"/>
        <sz val="9"/>
        <color theme="1"/>
        <rFont val="Calibri"/>
        <family val="2"/>
        <scheme val="minor"/>
      </rPr>
      <t>fo</t>
    </r>
  </si>
  <si>
    <r>
      <t>S</t>
    </r>
    <r>
      <rPr>
        <i/>
        <vertAlign val="subscript"/>
        <sz val="9"/>
        <color theme="1"/>
        <rFont val="Calibri"/>
        <family val="2"/>
        <scheme val="minor"/>
      </rPr>
      <t>H</t>
    </r>
    <r>
      <rPr>
        <i/>
        <sz val="9"/>
        <color theme="1"/>
        <rFont val="Calibri"/>
        <family val="2"/>
        <scheme val="minor"/>
      </rPr>
      <t xml:space="preserve"> = fm</t>
    </r>
    <r>
      <rPr>
        <i/>
        <vertAlign val="subscript"/>
        <sz val="9"/>
        <color theme="1"/>
        <rFont val="Calibri"/>
        <family val="2"/>
        <scheme val="minor"/>
      </rPr>
      <t>0</t>
    </r>
    <r>
      <rPr>
        <i/>
        <sz val="9"/>
        <color theme="1"/>
        <rFont val="Calibri"/>
        <family val="2"/>
        <scheme val="minor"/>
      </rPr>
      <t>/</t>
    </r>
    <r>
      <rPr>
        <i/>
        <sz val="9"/>
        <color theme="1"/>
        <rFont val="Calibri"/>
        <family val="2"/>
      </rPr>
      <t>λg</t>
    </r>
    <r>
      <rPr>
        <i/>
        <vertAlign val="subscript"/>
        <sz val="9"/>
        <color theme="1"/>
        <rFont val="Calibri"/>
        <family val="2"/>
      </rPr>
      <t>1</t>
    </r>
    <r>
      <rPr>
        <i/>
        <vertAlign val="superscript"/>
        <sz val="9"/>
        <color theme="1"/>
        <rFont val="Calibri"/>
        <family val="2"/>
      </rPr>
      <t>2</t>
    </r>
  </si>
  <si>
    <r>
      <t>S</t>
    </r>
    <r>
      <rPr>
        <i/>
        <vertAlign val="subscript"/>
        <sz val="9"/>
        <color theme="1"/>
        <rFont val="Calibri"/>
        <family val="2"/>
        <scheme val="minor"/>
      </rPr>
      <t>R</t>
    </r>
    <r>
      <rPr>
        <i/>
        <sz val="9"/>
        <color theme="1"/>
        <rFont val="Calibri"/>
        <family val="2"/>
        <scheme val="minor"/>
      </rPr>
      <t xml:space="preserve"> = </t>
    </r>
    <r>
      <rPr>
        <sz val="9"/>
        <color theme="1"/>
        <rFont val="Calibri"/>
        <family val="2"/>
      </rPr>
      <t>β</t>
    </r>
    <r>
      <rPr>
        <i/>
        <sz val="9"/>
        <color theme="1"/>
        <rFont val="Calibri"/>
        <family val="2"/>
      </rPr>
      <t>m</t>
    </r>
    <r>
      <rPr>
        <i/>
        <vertAlign val="subscript"/>
        <sz val="9"/>
        <color theme="1"/>
        <rFont val="Calibri"/>
        <family val="2"/>
      </rPr>
      <t>0</t>
    </r>
    <r>
      <rPr>
        <i/>
        <sz val="9"/>
        <color theme="1"/>
        <rFont val="Calibri"/>
        <family val="2"/>
      </rPr>
      <t>/</t>
    </r>
    <r>
      <rPr>
        <sz val="9"/>
        <color theme="1"/>
        <rFont val="Calibri"/>
        <family val="2"/>
      </rPr>
      <t>λ</t>
    </r>
    <r>
      <rPr>
        <i/>
        <sz val="9"/>
        <color theme="1"/>
        <rFont val="Calibri"/>
        <family val="2"/>
      </rPr>
      <t>t</t>
    </r>
    <r>
      <rPr>
        <i/>
        <vertAlign val="superscript"/>
        <sz val="9"/>
        <color theme="1"/>
        <rFont val="Calibri"/>
        <family val="2"/>
      </rPr>
      <t>2</t>
    </r>
  </si>
  <si>
    <r>
      <t>S</t>
    </r>
    <r>
      <rPr>
        <i/>
        <vertAlign val="subscript"/>
        <sz val="9"/>
        <color theme="1"/>
        <rFont val="Calibri"/>
        <family val="2"/>
        <scheme val="minor"/>
      </rPr>
      <t>T</t>
    </r>
    <r>
      <rPr>
        <i/>
        <sz val="9"/>
        <color theme="1"/>
        <rFont val="Calibri"/>
        <family val="2"/>
        <scheme val="minor"/>
      </rPr>
      <t xml:space="preserve"> = m</t>
    </r>
    <r>
      <rPr>
        <i/>
        <vertAlign val="subscript"/>
        <sz val="9"/>
        <color theme="1"/>
        <rFont val="Calibri"/>
        <family val="2"/>
        <scheme val="minor"/>
      </rPr>
      <t>0</t>
    </r>
    <r>
      <rPr>
        <sz val="9"/>
        <color theme="1"/>
        <rFont val="Calibri"/>
        <family val="2"/>
      </rPr>
      <t>γ</t>
    </r>
    <r>
      <rPr>
        <i/>
        <sz val="9"/>
        <color theme="1"/>
        <rFont val="Calibri"/>
        <family val="2"/>
      </rPr>
      <t>/t</t>
    </r>
    <r>
      <rPr>
        <i/>
        <vertAlign val="super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 - ZS</t>
    </r>
    <r>
      <rPr>
        <i/>
        <vertAlign val="subscript"/>
        <sz val="9"/>
        <color theme="1"/>
        <rFont val="Calibri"/>
        <family val="2"/>
      </rPr>
      <t>R</t>
    </r>
  </si>
  <si>
    <r>
      <t>δ = t</t>
    </r>
    <r>
      <rPr>
        <i/>
        <vertAlign val="superscript"/>
        <sz val="9"/>
        <color theme="1"/>
        <rFont val="Calibri"/>
        <family val="2"/>
      </rPr>
      <t>3</t>
    </r>
    <r>
      <rPr>
        <i/>
        <sz val="9"/>
        <color theme="1"/>
        <rFont val="Calibri"/>
        <family val="2"/>
      </rPr>
      <t>/d</t>
    </r>
  </si>
  <si>
    <r>
      <t>m</t>
    </r>
    <r>
      <rPr>
        <i/>
        <vertAlign val="subscript"/>
        <sz val="9"/>
        <color theme="1"/>
        <rFont val="Calibri"/>
        <family val="2"/>
        <scheme val="minor"/>
      </rPr>
      <t>0</t>
    </r>
    <r>
      <rPr>
        <i/>
        <sz val="9"/>
        <color theme="1"/>
        <rFont val="Calibri"/>
        <family val="2"/>
        <scheme val="minor"/>
      </rPr>
      <t xml:space="preserve"> = M</t>
    </r>
    <r>
      <rPr>
        <i/>
        <vertAlign val="subscript"/>
        <sz val="9"/>
        <color theme="1"/>
        <rFont val="Calibri"/>
        <family val="2"/>
        <scheme val="minor"/>
      </rPr>
      <t>0</t>
    </r>
    <r>
      <rPr>
        <i/>
        <sz val="9"/>
        <color theme="1"/>
        <rFont val="Calibri"/>
        <family val="2"/>
        <scheme val="minor"/>
      </rPr>
      <t>/B</t>
    </r>
  </si>
  <si>
    <r>
      <t>m</t>
    </r>
    <r>
      <rPr>
        <i/>
        <vertAlign val="subscript"/>
        <sz val="9"/>
        <color theme="1"/>
        <rFont val="Calibri"/>
        <family val="2"/>
        <scheme val="minor"/>
      </rPr>
      <t>G</t>
    </r>
    <r>
      <rPr>
        <i/>
        <sz val="9"/>
        <color theme="1"/>
        <rFont val="Calibri"/>
        <family val="2"/>
        <scheme val="minor"/>
      </rPr>
      <t xml:space="preserve"> = M'</t>
    </r>
    <r>
      <rPr>
        <i/>
        <vertAlign val="subscript"/>
        <sz val="9"/>
        <color theme="1"/>
        <rFont val="Calibri"/>
        <family val="2"/>
        <scheme val="minor"/>
      </rPr>
      <t>0</t>
    </r>
    <r>
      <rPr>
        <i/>
        <sz val="9"/>
        <color theme="1"/>
        <rFont val="Calibri"/>
        <family val="2"/>
        <scheme val="minor"/>
      </rPr>
      <t>/B</t>
    </r>
  </si>
  <si>
    <r>
      <t>H = G</t>
    </r>
    <r>
      <rPr>
        <i/>
        <vertAlign val="superscript"/>
        <sz val="8"/>
        <color theme="1"/>
        <rFont val="Calibri"/>
        <family val="2"/>
        <scheme val="minor"/>
      </rPr>
      <t>2</t>
    </r>
    <r>
      <rPr>
        <i/>
        <sz val="8"/>
        <color theme="1"/>
        <rFont val="Calibri"/>
        <family val="2"/>
        <scheme val="minor"/>
      </rPr>
      <t>πP/</t>
    </r>
    <r>
      <rPr>
        <sz val="8"/>
        <color theme="1"/>
        <rFont val="Calibri"/>
        <family val="2"/>
        <scheme val="minor"/>
      </rPr>
      <t>4</t>
    </r>
  </si>
  <si>
    <r>
      <t>h</t>
    </r>
    <r>
      <rPr>
        <i/>
        <vertAlign val="subscript"/>
        <sz val="8"/>
        <color theme="1"/>
        <rFont val="Calibri"/>
        <family val="2"/>
        <scheme val="minor"/>
      </rPr>
      <t>D</t>
    </r>
    <r>
      <rPr>
        <i/>
        <sz val="8"/>
        <color theme="1"/>
        <rFont val="Calibri"/>
        <family val="2"/>
        <scheme val="minor"/>
      </rPr>
      <t xml:space="preserve"> = R + </t>
    </r>
    <r>
      <rPr>
        <sz val="8"/>
        <color theme="1"/>
        <rFont val="Calibri"/>
        <family val="2"/>
        <scheme val="minor"/>
      </rPr>
      <t>0.5</t>
    </r>
    <r>
      <rPr>
        <i/>
        <sz val="8"/>
        <color theme="1"/>
        <rFont val="Calibri"/>
        <family val="2"/>
        <scheme val="minor"/>
      </rPr>
      <t>g</t>
    </r>
    <r>
      <rPr>
        <i/>
        <vertAlign val="subscript"/>
        <sz val="8"/>
        <color theme="1"/>
        <rFont val="Calibri"/>
        <family val="2"/>
        <scheme val="minor"/>
      </rPr>
      <t>1</t>
    </r>
  </si>
  <si>
    <r>
      <t>h</t>
    </r>
    <r>
      <rPr>
        <i/>
        <vertAlign val="subscript"/>
        <sz val="8"/>
        <color theme="1"/>
        <rFont val="Calibri"/>
        <family val="2"/>
        <scheme val="minor"/>
      </rPr>
      <t xml:space="preserve">T </t>
    </r>
    <r>
      <rPr>
        <i/>
        <sz val="8"/>
        <color theme="1"/>
        <rFont val="Calibri"/>
        <family val="2"/>
        <scheme val="minor"/>
      </rPr>
      <t xml:space="preserve">= </t>
    </r>
    <r>
      <rPr>
        <sz val="8"/>
        <color theme="1"/>
        <rFont val="Calibri"/>
        <family val="2"/>
        <scheme val="minor"/>
      </rPr>
      <t>0.5</t>
    </r>
    <r>
      <rPr>
        <i/>
        <sz val="8"/>
        <color theme="1"/>
        <rFont val="Calibri"/>
        <family val="2"/>
        <scheme val="minor"/>
      </rPr>
      <t>(R + g</t>
    </r>
    <r>
      <rPr>
        <i/>
        <vertAlign val="subscript"/>
        <sz val="8"/>
        <color theme="1"/>
        <rFont val="Calibri"/>
        <family val="2"/>
        <scheme val="minor"/>
      </rPr>
      <t>1</t>
    </r>
    <r>
      <rPr>
        <i/>
        <sz val="8"/>
        <color theme="1"/>
        <rFont val="Calibri"/>
        <family val="2"/>
        <scheme val="minor"/>
      </rPr>
      <t xml:space="preserve"> + h</t>
    </r>
    <r>
      <rPr>
        <i/>
        <vertAlign val="subscript"/>
        <sz val="8"/>
        <color theme="1"/>
        <rFont val="Calibri"/>
        <family val="2"/>
        <scheme val="minor"/>
      </rPr>
      <t>G</t>
    </r>
    <r>
      <rPr>
        <i/>
        <sz val="8"/>
        <color theme="1"/>
        <rFont val="Calibri"/>
        <family val="2"/>
        <scheme val="minor"/>
      </rPr>
      <t>)</t>
    </r>
  </si>
  <si>
    <r>
      <t>h</t>
    </r>
    <r>
      <rPr>
        <i/>
        <vertAlign val="subscript"/>
        <sz val="8"/>
        <color theme="1"/>
        <rFont val="Calibri"/>
        <family val="2"/>
        <scheme val="minor"/>
      </rPr>
      <t>G</t>
    </r>
    <r>
      <rPr>
        <i/>
        <sz val="8"/>
        <color theme="1"/>
        <rFont val="Calibri"/>
        <family val="2"/>
        <scheme val="minor"/>
      </rPr>
      <t xml:space="preserve"> = </t>
    </r>
    <r>
      <rPr>
        <sz val="8"/>
        <color theme="1"/>
        <rFont val="Calibri"/>
        <family val="2"/>
        <scheme val="minor"/>
      </rPr>
      <t>0.5</t>
    </r>
    <r>
      <rPr>
        <i/>
        <sz val="8"/>
        <color theme="1"/>
        <rFont val="Calibri"/>
        <family val="2"/>
        <scheme val="minor"/>
      </rPr>
      <t>(C - G)</t>
    </r>
  </si>
  <si>
    <r>
      <t>H</t>
    </r>
    <r>
      <rPr>
        <i/>
        <vertAlign val="subscript"/>
        <sz val="8"/>
        <color theme="1"/>
        <rFont val="Calibri"/>
        <family val="2"/>
        <scheme val="minor"/>
      </rPr>
      <t>T</t>
    </r>
    <r>
      <rPr>
        <i/>
        <sz val="8"/>
        <color theme="1"/>
        <rFont val="Calibri"/>
        <family val="2"/>
        <scheme val="minor"/>
      </rPr>
      <t xml:space="preserve"> = H - H</t>
    </r>
    <r>
      <rPr>
        <i/>
        <vertAlign val="subscript"/>
        <sz val="8"/>
        <color theme="1"/>
        <rFont val="Calibri"/>
        <family val="2"/>
        <scheme val="minor"/>
      </rPr>
      <t>D</t>
    </r>
  </si>
  <si>
    <r>
      <t>H</t>
    </r>
    <r>
      <rPr>
        <i/>
        <vertAlign val="subscript"/>
        <sz val="8"/>
        <color theme="1"/>
        <rFont val="Calibri"/>
        <family val="2"/>
        <scheme val="minor"/>
      </rPr>
      <t>G</t>
    </r>
    <r>
      <rPr>
        <i/>
        <sz val="8"/>
        <color theme="1"/>
        <rFont val="Calibri"/>
        <family val="2"/>
        <scheme val="minor"/>
      </rPr>
      <t xml:space="preserve"> = W</t>
    </r>
    <r>
      <rPr>
        <i/>
        <vertAlign val="subscript"/>
        <sz val="8"/>
        <color theme="1"/>
        <rFont val="Calibri"/>
        <family val="2"/>
        <scheme val="minor"/>
      </rPr>
      <t>m1</t>
    </r>
    <r>
      <rPr>
        <i/>
        <sz val="8"/>
        <color theme="1"/>
        <rFont val="Calibri"/>
        <family val="2"/>
        <scheme val="minor"/>
      </rPr>
      <t xml:space="preserve"> - H</t>
    </r>
  </si>
  <si>
    <r>
      <t>H</t>
    </r>
    <r>
      <rPr>
        <i/>
        <vertAlign val="subscript"/>
        <sz val="8"/>
        <color theme="1"/>
        <rFont val="Calibri"/>
        <family val="2"/>
        <scheme val="minor"/>
      </rPr>
      <t>G</t>
    </r>
    <r>
      <rPr>
        <i/>
        <sz val="8"/>
        <color theme="1"/>
        <rFont val="Calibri"/>
        <family val="2"/>
        <scheme val="minor"/>
      </rPr>
      <t xml:space="preserve"> = W</t>
    </r>
    <r>
      <rPr>
        <vertAlign val="subscript"/>
        <sz val="8"/>
        <color theme="1"/>
        <rFont val="Calibri"/>
        <family val="2"/>
        <scheme val="minor"/>
      </rPr>
      <t/>
    </r>
  </si>
  <si>
    <r>
      <t>H</t>
    </r>
    <r>
      <rPr>
        <i/>
        <vertAlign val="subscript"/>
        <sz val="8"/>
        <color theme="1"/>
        <rFont val="Calibri"/>
        <family val="2"/>
        <scheme val="minor"/>
      </rPr>
      <t>D</t>
    </r>
    <r>
      <rPr>
        <i/>
        <sz val="8"/>
        <color theme="1"/>
        <rFont val="Calibri"/>
        <family val="2"/>
        <scheme val="minor"/>
      </rPr>
      <t xml:space="preserve"> = πB</t>
    </r>
    <r>
      <rPr>
        <i/>
        <vertAlign val="superscript"/>
        <sz val="8"/>
        <color theme="1"/>
        <rFont val="Calibri"/>
        <family val="2"/>
        <scheme val="minor"/>
      </rPr>
      <t>2</t>
    </r>
    <r>
      <rPr>
        <i/>
        <sz val="8"/>
        <color theme="1"/>
        <rFont val="Calibri"/>
        <family val="2"/>
        <scheme val="minor"/>
      </rPr>
      <t>P/</t>
    </r>
    <r>
      <rPr>
        <sz val="8"/>
        <color theme="1"/>
        <rFont val="Calibri"/>
        <family val="2"/>
        <scheme val="minor"/>
      </rPr>
      <t>4</t>
    </r>
  </si>
  <si>
    <r>
      <rPr>
        <sz val="9"/>
        <color theme="1"/>
        <rFont val="Calibri"/>
        <family val="2"/>
        <scheme val="minor"/>
      </rPr>
      <t>0.5</t>
    </r>
    <r>
      <rPr>
        <i/>
        <sz val="9"/>
        <color theme="1"/>
        <rFont val="Calibri"/>
        <family val="2"/>
        <scheme val="minor"/>
      </rPr>
      <t>(S</t>
    </r>
    <r>
      <rPr>
        <i/>
        <vertAlign val="subscript"/>
        <sz val="9"/>
        <color theme="1"/>
        <rFont val="Calibri"/>
        <family val="2"/>
        <scheme val="minor"/>
      </rPr>
      <t>H</t>
    </r>
    <r>
      <rPr>
        <i/>
        <sz val="9"/>
        <color theme="1"/>
        <rFont val="Calibri"/>
        <family val="2"/>
        <scheme val="minor"/>
      </rPr>
      <t xml:space="preserve"> + S</t>
    </r>
    <r>
      <rPr>
        <i/>
        <vertAlign val="subscript"/>
        <sz val="9"/>
        <color theme="1"/>
        <rFont val="Calibri"/>
        <family val="2"/>
        <scheme val="minor"/>
      </rPr>
      <t>R</t>
    </r>
    <r>
      <rPr>
        <i/>
        <sz val="9"/>
        <color theme="1"/>
        <rFont val="Calibri"/>
        <family val="2"/>
        <scheme val="minor"/>
      </rPr>
      <t>)</t>
    </r>
  </si>
  <si>
    <r>
      <rPr>
        <sz val="9"/>
        <color theme="1"/>
        <rFont val="Calibri"/>
        <family val="2"/>
        <scheme val="minor"/>
      </rPr>
      <t>0.5</t>
    </r>
    <r>
      <rPr>
        <i/>
        <sz val="9"/>
        <color theme="1"/>
        <rFont val="Calibri"/>
        <family val="2"/>
        <scheme val="minor"/>
      </rPr>
      <t>(S</t>
    </r>
    <r>
      <rPr>
        <i/>
        <vertAlign val="subscript"/>
        <sz val="9"/>
        <color theme="1"/>
        <rFont val="Calibri"/>
        <family val="2"/>
        <scheme val="minor"/>
      </rPr>
      <t>H</t>
    </r>
    <r>
      <rPr>
        <i/>
        <sz val="9"/>
        <color theme="1"/>
        <rFont val="Calibri"/>
        <family val="2"/>
        <scheme val="minor"/>
      </rPr>
      <t xml:space="preserve"> +S</t>
    </r>
    <r>
      <rPr>
        <i/>
        <vertAlign val="subscript"/>
        <sz val="9"/>
        <color theme="1"/>
        <rFont val="Calibri"/>
        <family val="2"/>
        <scheme val="minor"/>
      </rPr>
      <t>T</t>
    </r>
    <r>
      <rPr>
        <i/>
        <sz val="9"/>
        <color theme="1"/>
        <rFont val="Calibri"/>
        <family val="2"/>
        <scheme val="minor"/>
      </rPr>
      <t>)</t>
    </r>
  </si>
  <si>
    <r>
      <rPr>
        <sz val="9"/>
        <color theme="1"/>
        <rFont val="Calibri"/>
        <family val="2"/>
        <scheme val="minor"/>
      </rPr>
      <t>1.5</t>
    </r>
    <r>
      <rPr>
        <i/>
        <sz val="9"/>
        <color theme="1"/>
        <rFont val="Calibri"/>
        <family val="2"/>
        <scheme val="minor"/>
      </rPr>
      <t>S</t>
    </r>
    <r>
      <rPr>
        <i/>
        <vertAlign val="subscript"/>
        <sz val="9"/>
        <color theme="1"/>
        <rFont val="Calibri"/>
        <family val="2"/>
        <scheme val="minor"/>
      </rPr>
      <t>fo</t>
    </r>
  </si>
  <si>
    <r>
      <t>W</t>
    </r>
    <r>
      <rPr>
        <i/>
        <vertAlign val="subscript"/>
        <sz val="8"/>
        <color theme="1"/>
        <rFont val="Calibri"/>
        <family val="2"/>
        <scheme val="minor"/>
      </rPr>
      <t>m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</t>
    </r>
    <r>
      <rPr>
        <i/>
        <sz val="8"/>
        <color theme="1"/>
        <rFont val="Calibri"/>
        <family val="2"/>
        <scheme val="minor"/>
      </rPr>
      <t>= bπGy</t>
    </r>
  </si>
  <si>
    <r>
      <t>W</t>
    </r>
    <r>
      <rPr>
        <i/>
        <vertAlign val="subscript"/>
        <sz val="8"/>
        <color theme="1"/>
        <rFont val="Calibri"/>
        <family val="2"/>
        <scheme val="minor"/>
      </rPr>
      <t>m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</t>
    </r>
    <r>
      <rPr>
        <i/>
        <sz val="8"/>
        <color theme="1"/>
        <rFont val="Calibri"/>
        <family val="2"/>
        <scheme val="minor"/>
      </rPr>
      <t>= H + H</t>
    </r>
    <r>
      <rPr>
        <i/>
        <vertAlign val="subscript"/>
        <sz val="8"/>
        <color theme="1"/>
        <rFont val="Calibri"/>
        <family val="2"/>
        <scheme val="minor"/>
      </rPr>
      <t>P</t>
    </r>
  </si>
  <si>
    <r>
      <t xml:space="preserve">α = te + </t>
    </r>
    <r>
      <rPr>
        <sz val="9"/>
        <color theme="1"/>
        <rFont val="Calibri"/>
        <family val="2"/>
      </rPr>
      <t>1</t>
    </r>
  </si>
  <si>
    <r>
      <t xml:space="preserve">β = </t>
    </r>
    <r>
      <rPr>
        <sz val="9"/>
        <color theme="1"/>
        <rFont val="Calibri"/>
        <family val="2"/>
      </rPr>
      <t>4/3</t>
    </r>
    <r>
      <rPr>
        <i/>
        <sz val="9"/>
        <color theme="1"/>
        <rFont val="Calibri"/>
        <family val="2"/>
      </rPr>
      <t xml:space="preserve"> te + </t>
    </r>
    <r>
      <rPr>
        <sz val="9"/>
        <color theme="1"/>
        <rFont val="Calibri"/>
        <family val="2"/>
      </rPr>
      <t>1</t>
    </r>
  </si>
  <si>
    <t>Calc 1</t>
  </si>
  <si>
    <t>Calc 2</t>
  </si>
  <si>
    <t>Calc Check</t>
  </si>
  <si>
    <r>
      <t>W</t>
    </r>
    <r>
      <rPr>
        <i/>
        <vertAlign val="subscript"/>
        <sz val="8"/>
        <color theme="1"/>
        <rFont val="Calibri"/>
        <family val="2"/>
        <scheme val="minor"/>
      </rPr>
      <t>m</t>
    </r>
    <r>
      <rPr>
        <vertAlign val="subscript"/>
        <sz val="8"/>
        <color theme="1"/>
        <rFont val="Calibri"/>
        <family val="2"/>
        <scheme val="minor"/>
      </rPr>
      <t>2</t>
    </r>
    <r>
      <rPr>
        <i/>
        <sz val="8"/>
        <color theme="1"/>
        <rFont val="Calibri"/>
        <family val="2"/>
        <scheme val="minor"/>
      </rPr>
      <t>/S</t>
    </r>
    <r>
      <rPr>
        <i/>
        <vertAlign val="subscript"/>
        <sz val="8"/>
        <color theme="1"/>
        <rFont val="Calibri"/>
        <family val="2"/>
        <scheme val="minor"/>
      </rPr>
      <t>a</t>
    </r>
    <r>
      <rPr>
        <i/>
        <sz val="8"/>
        <color theme="1"/>
        <rFont val="Calibri"/>
        <family val="2"/>
        <scheme val="minor"/>
      </rPr>
      <t xml:space="preserve"> or W</t>
    </r>
    <r>
      <rPr>
        <i/>
        <vertAlign val="subscript"/>
        <sz val="8"/>
        <color theme="1"/>
        <rFont val="Calibri"/>
        <family val="2"/>
        <scheme val="minor"/>
      </rPr>
      <t>m</t>
    </r>
    <r>
      <rPr>
        <vertAlign val="subscript"/>
        <sz val="8"/>
        <color theme="1"/>
        <rFont val="Calibri"/>
        <family val="2"/>
        <scheme val="minor"/>
      </rPr>
      <t>1</t>
    </r>
    <r>
      <rPr>
        <i/>
        <sz val="8"/>
        <color theme="1"/>
        <rFont val="Calibri"/>
        <family val="2"/>
        <scheme val="minor"/>
      </rPr>
      <t>/S</t>
    </r>
    <r>
      <rPr>
        <i/>
        <vertAlign val="subscript"/>
        <sz val="8"/>
        <color theme="1"/>
        <rFont val="Calibri"/>
        <family val="2"/>
        <scheme val="minor"/>
      </rPr>
      <t>b</t>
    </r>
  </si>
  <si>
    <r>
      <t xml:space="preserve">W = </t>
    </r>
    <r>
      <rPr>
        <sz val="8"/>
        <color theme="1"/>
        <rFont val="Calibri"/>
        <family val="2"/>
        <scheme val="minor"/>
      </rPr>
      <t>0.5</t>
    </r>
    <r>
      <rPr>
        <i/>
        <sz val="8"/>
        <color theme="1"/>
        <rFont val="Calibri"/>
        <family val="2"/>
        <scheme val="minor"/>
      </rPr>
      <t>(A</t>
    </r>
    <r>
      <rPr>
        <i/>
        <vertAlign val="subscript"/>
        <sz val="8"/>
        <color theme="1"/>
        <rFont val="Calibri"/>
        <family val="2"/>
        <scheme val="minor"/>
      </rPr>
      <t>m</t>
    </r>
    <r>
      <rPr>
        <i/>
        <sz val="8"/>
        <color theme="1"/>
        <rFont val="Calibri"/>
        <family val="2"/>
        <scheme val="minor"/>
      </rPr>
      <t xml:space="preserve"> + A</t>
    </r>
    <r>
      <rPr>
        <i/>
        <vertAlign val="subscript"/>
        <sz val="8"/>
        <color theme="1"/>
        <rFont val="Calibri"/>
        <family val="2"/>
        <scheme val="minor"/>
      </rPr>
      <t>b</t>
    </r>
    <r>
      <rPr>
        <i/>
        <sz val="8"/>
        <color theme="1"/>
        <rFont val="Calibri"/>
        <family val="2"/>
        <scheme val="minor"/>
      </rPr>
      <t>)S</t>
    </r>
    <r>
      <rPr>
        <i/>
        <vertAlign val="subscript"/>
        <sz val="8"/>
        <color theme="1"/>
        <rFont val="Calibri"/>
        <family val="2"/>
        <scheme val="minor"/>
      </rPr>
      <t>a</t>
    </r>
  </si>
  <si>
    <t>nil</t>
  </si>
  <si>
    <t>Operating Rigidity</t>
  </si>
  <si>
    <t>Gasket Seating Rigidity</t>
  </si>
  <si>
    <t>Rigidity Index Operating</t>
  </si>
  <si>
    <t>If above value is &lt; 1.0,  PASS</t>
  </si>
  <si>
    <t>Rev</t>
  </si>
  <si>
    <t>Document No.</t>
  </si>
  <si>
    <t>PPPPP-DS-XXX</t>
  </si>
  <si>
    <t>Date</t>
  </si>
  <si>
    <t>By</t>
  </si>
  <si>
    <t>Appd</t>
  </si>
  <si>
    <t>Chkd</t>
  </si>
  <si>
    <t>K = A/B</t>
  </si>
  <si>
    <r>
      <t>H</t>
    </r>
    <r>
      <rPr>
        <i/>
        <vertAlign val="subscript"/>
        <sz val="8"/>
        <color theme="1"/>
        <rFont val="Calibri"/>
        <family val="2"/>
        <scheme val="minor"/>
      </rPr>
      <t>P</t>
    </r>
    <r>
      <rPr>
        <i/>
        <sz val="8"/>
        <color theme="1"/>
        <rFont val="Calibri"/>
        <family val="2"/>
        <scheme val="minor"/>
      </rPr>
      <t xml:space="preserve"> =</t>
    </r>
    <r>
      <rPr>
        <sz val="8"/>
        <color theme="1"/>
        <rFont val="Calibri"/>
        <family val="2"/>
        <scheme val="minor"/>
      </rPr>
      <t xml:space="preserve"> 2</t>
    </r>
    <r>
      <rPr>
        <i/>
        <sz val="8"/>
        <color theme="1"/>
        <rFont val="Calibri"/>
        <family val="2"/>
        <scheme val="minor"/>
      </rPr>
      <t>bπGmP</t>
    </r>
  </si>
  <si>
    <t>Flange Factor Equations from VIII-1, Table 2-7.1</t>
  </si>
  <si>
    <t>Calculated Factors from Flange Factor Equations</t>
  </si>
  <si>
    <t>Flange Outside Diameter</t>
  </si>
  <si>
    <t>Flange Inside Diameter</t>
  </si>
  <si>
    <t>Flange Bolt Circle Diameter</t>
  </si>
  <si>
    <t>Flange Thickness</t>
  </si>
  <si>
    <t>Hub Length</t>
  </si>
  <si>
    <t>Hub Thickness at Small End</t>
  </si>
  <si>
    <t>Hub Thickness at Back of Flange</t>
  </si>
  <si>
    <r>
      <t>Calculated = (C - B)/2 - g</t>
    </r>
    <r>
      <rPr>
        <vertAlign val="subscript"/>
        <sz val="11"/>
        <color theme="1"/>
        <rFont val="Calibri"/>
        <family val="2"/>
        <scheme val="minor"/>
      </rPr>
      <t>1</t>
    </r>
  </si>
  <si>
    <t>Basic Gasket Seating Width</t>
  </si>
  <si>
    <t>Possible Contact Width of Gasket = (OD-ID)/2</t>
  </si>
  <si>
    <r>
      <t>g</t>
    </r>
    <r>
      <rPr>
        <vertAlign val="subscript"/>
        <sz val="8"/>
        <color theme="1"/>
        <rFont val="Calibri"/>
        <family val="2"/>
        <scheme val="minor"/>
      </rPr>
      <t>1</t>
    </r>
    <r>
      <rPr>
        <i/>
        <sz val="8"/>
        <color theme="1"/>
        <rFont val="Calibri"/>
        <family val="2"/>
        <scheme val="minor"/>
      </rPr>
      <t>/g</t>
    </r>
    <r>
      <rPr>
        <vertAlign val="subscript"/>
        <sz val="8"/>
        <color theme="1"/>
        <rFont val="Calibri"/>
        <family val="2"/>
        <scheme val="minor"/>
      </rPr>
      <t>0</t>
    </r>
  </si>
  <si>
    <r>
      <t>d = (U/V)h</t>
    </r>
    <r>
      <rPr>
        <vertAlign val="subscript"/>
        <sz val="8"/>
        <color theme="1"/>
        <rFont val="Calibri"/>
        <family val="2"/>
        <scheme val="minor"/>
      </rPr>
      <t>0</t>
    </r>
    <r>
      <rPr>
        <i/>
        <sz val="8"/>
        <color theme="1"/>
        <rFont val="Calibri"/>
        <family val="2"/>
        <scheme val="minor"/>
      </rPr>
      <t>g</t>
    </r>
    <r>
      <rPr>
        <vertAlign val="subscript"/>
        <sz val="8"/>
        <color theme="1"/>
        <rFont val="Calibri"/>
        <family val="2"/>
        <scheme val="minor"/>
      </rPr>
      <t>0</t>
    </r>
    <r>
      <rPr>
        <vertAlign val="superscript"/>
        <sz val="8"/>
        <color theme="1"/>
        <rFont val="Calibri"/>
        <family val="2"/>
        <scheme val="minor"/>
      </rPr>
      <t>2</t>
    </r>
  </si>
  <si>
    <r>
      <t>b</t>
    </r>
    <r>
      <rPr>
        <vertAlign val="subscript"/>
        <sz val="8"/>
        <color theme="1"/>
        <rFont val="Calibri"/>
        <family val="2"/>
        <scheme val="minor"/>
      </rPr>
      <t>0</t>
    </r>
    <r>
      <rPr>
        <i/>
        <vertAlign val="subscript"/>
        <sz val="8"/>
        <color theme="1"/>
        <rFont val="Calibri"/>
        <family val="2"/>
        <scheme val="minor"/>
      </rPr>
      <t xml:space="preserve"> </t>
    </r>
    <r>
      <rPr>
        <i/>
        <sz val="8"/>
        <color theme="1"/>
        <rFont val="Calibri"/>
        <family val="2"/>
        <scheme val="minor"/>
      </rPr>
      <t>= N/</t>
    </r>
    <r>
      <rPr>
        <sz val="8"/>
        <color theme="1"/>
        <rFont val="Calibri"/>
        <family val="2"/>
        <scheme val="minor"/>
      </rPr>
      <t>2</t>
    </r>
  </si>
  <si>
    <t>Sections 2-3 and 2-4</t>
  </si>
  <si>
    <t>Calculate 'b' (effective gasket seating width):</t>
  </si>
  <si>
    <t>Required Bolt Loads (VIII-1, 2-5(c)(1))</t>
  </si>
  <si>
    <r>
      <t>If 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 1/4", b = b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. If b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&gt; 1/4", b = 0.5(b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)</t>
    </r>
    <r>
      <rPr>
        <vertAlign val="superscript"/>
        <sz val="11"/>
        <color theme="1"/>
        <rFont val="Calibri"/>
        <family val="2"/>
      </rPr>
      <t>1/2</t>
    </r>
    <r>
      <rPr>
        <sz val="11"/>
        <color theme="1"/>
        <rFont val="Calibri"/>
        <family val="2"/>
      </rPr>
      <t>. Since b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= 0.265625, b = 0.5(0.265625)</t>
    </r>
    <r>
      <rPr>
        <vertAlign val="superscript"/>
        <sz val="11"/>
        <color theme="1"/>
        <rFont val="Calibri"/>
        <family val="2"/>
      </rPr>
      <t>1/2</t>
    </r>
  </si>
  <si>
    <t xml:space="preserve">b = </t>
  </si>
  <si>
    <t xml:space="preserve">Calculate 'G' (diameter at Gasket Load Reaction): </t>
  </si>
  <si>
    <t>Since b0 &gt; 1/4", G = Gasket OD - 2b.</t>
  </si>
  <si>
    <t xml:space="preserve">G = </t>
  </si>
  <si>
    <r>
      <t>h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</si>
  <si>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Bolt Sizing and Bolt Loadings</t>
  </si>
  <si>
    <r>
      <t>W</t>
    </r>
    <r>
      <rPr>
        <vertAlign val="subscript"/>
        <sz val="11"/>
        <color theme="1"/>
        <rFont val="Calibri"/>
        <family val="2"/>
        <scheme val="minor"/>
      </rPr>
      <t>m1</t>
    </r>
    <r>
      <rPr>
        <sz val="11"/>
        <color theme="1"/>
        <rFont val="Calibri"/>
        <family val="2"/>
        <scheme val="minor"/>
      </rPr>
      <t xml:space="preserve"> = </t>
    </r>
  </si>
  <si>
    <t xml:space="preserve">H = </t>
  </si>
  <si>
    <r>
      <t>A</t>
    </r>
    <r>
      <rPr>
        <vertAlign val="subscript"/>
        <sz val="8"/>
        <color theme="1"/>
        <rFont val="Calibri"/>
        <family val="2"/>
        <scheme val="minor"/>
      </rPr>
      <t>b</t>
    </r>
  </si>
  <si>
    <r>
      <t>A</t>
    </r>
    <r>
      <rPr>
        <i/>
        <vertAlign val="subscript"/>
        <sz val="8"/>
        <color theme="1"/>
        <rFont val="Calibri"/>
        <family val="2"/>
        <scheme val="minor"/>
      </rPr>
      <t>m</t>
    </r>
    <r>
      <rPr>
        <i/>
        <sz val="8"/>
        <color theme="1"/>
        <rFont val="Calibri"/>
        <family val="2"/>
        <scheme val="minor"/>
      </rPr>
      <t xml:space="preserve"> =  greater of</t>
    </r>
  </si>
  <si>
    <t>P</t>
  </si>
  <si>
    <t>Design Pressure</t>
  </si>
  <si>
    <r>
      <t>total hydrostatic end force = πG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P/4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</si>
  <si>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  </t>
    </r>
  </si>
  <si>
    <t>total joint-contact surface compression load = 2bπGmP</t>
  </si>
  <si>
    <t xml:space="preserve">m = </t>
  </si>
  <si>
    <t>gasket factor (Table 2-5.1)</t>
  </si>
  <si>
    <r>
      <t>Minimum required bolt load for operating condition (W</t>
    </r>
    <r>
      <rPr>
        <vertAlign val="subscript"/>
        <sz val="11"/>
        <color theme="1"/>
        <rFont val="Calibri"/>
        <family val="2"/>
        <scheme val="minor"/>
      </rPr>
      <t>m1</t>
    </r>
    <r>
      <rPr>
        <sz val="11"/>
        <color theme="1"/>
        <rFont val="Calibri"/>
        <family val="2"/>
        <scheme val="minor"/>
      </rPr>
      <t xml:space="preserve"> = H + 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):</t>
    </r>
  </si>
  <si>
    <t xml:space="preserve">y = </t>
  </si>
  <si>
    <t>gasket unit seating load (Table 2-5.1)</t>
  </si>
  <si>
    <r>
      <t>Minimum required bolt load for gasket seating (W</t>
    </r>
    <r>
      <rPr>
        <vertAlign val="subscript"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 xml:space="preserve"> = bπGy):</t>
    </r>
  </si>
  <si>
    <r>
      <t>Total Required cross-sectional bolt area (A</t>
    </r>
    <r>
      <rPr>
        <vertAlign val="subscript"/>
        <sz val="11"/>
        <color theme="1"/>
        <rFont val="Calibri"/>
        <family val="2"/>
        <scheme val="minor"/>
      </rPr>
      <t>m1</t>
    </r>
    <r>
      <rPr>
        <sz val="11"/>
        <color theme="1"/>
        <rFont val="Calibri"/>
        <family val="2"/>
        <scheme val="minor"/>
      </rPr>
      <t xml:space="preserve"> or A</t>
    </r>
    <r>
      <rPr>
        <vertAlign val="subscript"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>):</t>
    </r>
  </si>
  <si>
    <r>
      <t>A</t>
    </r>
    <r>
      <rPr>
        <vertAlign val="subscript"/>
        <sz val="11"/>
        <color theme="1"/>
        <rFont val="Calibri"/>
        <family val="2"/>
        <scheme val="minor"/>
      </rPr>
      <t>m1</t>
    </r>
    <r>
      <rPr>
        <sz val="11"/>
        <color theme="1"/>
        <rFont val="Calibri"/>
        <family val="2"/>
        <scheme val="minor"/>
      </rPr>
      <t xml:space="preserve"> =  </t>
    </r>
  </si>
  <si>
    <r>
      <t>A</t>
    </r>
    <r>
      <rPr>
        <vertAlign val="subscript"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 xml:space="preserve"> =   </t>
    </r>
  </si>
  <si>
    <r>
      <t>W</t>
    </r>
    <r>
      <rPr>
        <vertAlign val="subscript"/>
        <sz val="11"/>
        <color theme="1"/>
        <rFont val="Calibri"/>
        <family val="2"/>
        <scheme val="minor"/>
      </rPr>
      <t>m1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b</t>
    </r>
  </si>
  <si>
    <r>
      <t>W</t>
    </r>
    <r>
      <rPr>
        <vertAlign val="subscript"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a</t>
    </r>
  </si>
  <si>
    <r>
      <t>S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</si>
  <si>
    <r>
      <t>S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</t>
    </r>
  </si>
  <si>
    <t>Use Am1 = 2.537 in2</t>
  </si>
  <si>
    <r>
      <t>Actual bolt cross-sectional area (at minor diameter (d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)):</t>
    </r>
  </si>
  <si>
    <r>
      <t>πd</t>
    </r>
    <r>
      <rPr>
        <vertAlign val="subscript"/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/4 x no. of bolts</t>
    </r>
  </si>
  <si>
    <t>Flange Design Bolt Load (W):</t>
  </si>
  <si>
    <t xml:space="preserve">W = </t>
  </si>
  <si>
    <r>
      <t>A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</si>
  <si>
    <r>
      <t>0.5(A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+ A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)S</t>
    </r>
    <r>
      <rPr>
        <vertAlign val="subscript"/>
        <sz val="11"/>
        <color theme="1"/>
        <rFont val="Calibri"/>
        <family val="2"/>
        <scheme val="minor"/>
      </rPr>
      <t>a</t>
    </r>
  </si>
  <si>
    <r>
      <t>W</t>
    </r>
    <r>
      <rPr>
        <vertAlign val="subscript"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 xml:space="preserve"> = </t>
    </r>
  </si>
  <si>
    <r>
      <t>H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</si>
  <si>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 πB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P/4</t>
    </r>
  </si>
  <si>
    <t xml:space="preserve">No. of bolts: </t>
  </si>
  <si>
    <r>
      <t>Hydrostatic end force on area inside of flange (H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):</t>
    </r>
  </si>
  <si>
    <r>
      <t>Hydrostatic end force on flange edge (H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):</t>
    </r>
  </si>
  <si>
    <r>
      <t>H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</t>
    </r>
  </si>
  <si>
    <r>
      <t>H - H</t>
    </r>
    <r>
      <rPr>
        <vertAlign val="subscript"/>
        <sz val="11"/>
        <color theme="1"/>
        <rFont val="Calibri"/>
        <family val="2"/>
        <scheme val="minor"/>
      </rPr>
      <t>D</t>
    </r>
  </si>
  <si>
    <r>
      <t>h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</t>
    </r>
  </si>
  <si>
    <t>Radial distance from bolt circle to HT</t>
  </si>
  <si>
    <r>
      <t>0.5(R + g1 + h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</t>
    </r>
  </si>
  <si>
    <r>
      <t>Gasket load (H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):</t>
    </r>
  </si>
  <si>
    <r>
      <t>W</t>
    </r>
    <r>
      <rPr>
        <vertAlign val="subscript"/>
        <sz val="11"/>
        <color theme="1"/>
        <rFont val="Calibri"/>
        <family val="2"/>
        <scheme val="minor"/>
      </rPr>
      <t>m1</t>
    </r>
    <r>
      <rPr>
        <sz val="11"/>
        <color theme="1"/>
        <rFont val="Calibri"/>
        <family val="2"/>
        <scheme val="minor"/>
      </rPr>
      <t xml:space="preserve"> - H</t>
    </r>
  </si>
  <si>
    <t>JE</t>
  </si>
  <si>
    <t>Flange Calculation Data Sheet (Template)</t>
  </si>
  <si>
    <r>
      <t>C</t>
    </r>
    <r>
      <rPr>
        <vertAlign val="sub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/(1 + A)</t>
    </r>
  </si>
  <si>
    <t xml:space="preserve">α = </t>
  </si>
  <si>
    <t>te + 1</t>
  </si>
  <si>
    <t>Flange Factor Calculations from Table 2-7.1</t>
  </si>
  <si>
    <t>ASME VIII-1, Appendix 2 Calculations</t>
  </si>
  <si>
    <t xml:space="preserve">β = </t>
  </si>
  <si>
    <t>4/3 te + 1</t>
  </si>
  <si>
    <t xml:space="preserve">γ = </t>
  </si>
  <si>
    <t>α/T</t>
  </si>
  <si>
    <t xml:space="preserve">δ = </t>
  </si>
  <si>
    <r>
      <t>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</t>
    </r>
  </si>
  <si>
    <t xml:space="preserve">λ = </t>
  </si>
  <si>
    <t>γ + δ</t>
  </si>
  <si>
    <t>Stress Formula Factors 'α', 'β', 'γ', 'δ', 'λ' :</t>
  </si>
  <si>
    <r>
      <t>M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/B</t>
    </r>
  </si>
  <si>
    <r>
      <t>m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</t>
    </r>
  </si>
  <si>
    <r>
      <t>m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</si>
  <si>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r>
      <t>M'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/B</t>
    </r>
  </si>
  <si>
    <r>
      <t>S</t>
    </r>
    <r>
      <rPr>
        <i/>
        <vertAlign val="subscript"/>
        <sz val="9"/>
        <color theme="1"/>
        <rFont val="Calibri"/>
        <family val="2"/>
        <scheme val="minor"/>
      </rPr>
      <t>R</t>
    </r>
    <r>
      <rPr>
        <i/>
        <sz val="9"/>
        <color theme="1"/>
        <rFont val="Calibri"/>
        <family val="2"/>
        <scheme val="minor"/>
      </rPr>
      <t xml:space="preserve"> = </t>
    </r>
  </si>
  <si>
    <r>
      <t>S</t>
    </r>
    <r>
      <rPr>
        <i/>
        <vertAlign val="subscript"/>
        <sz val="9"/>
        <color theme="1"/>
        <rFont val="Calibri"/>
        <family val="2"/>
        <scheme val="minor"/>
      </rPr>
      <t>H</t>
    </r>
    <r>
      <rPr>
        <i/>
        <sz val="9"/>
        <color theme="1"/>
        <rFont val="Calibri"/>
        <family val="2"/>
        <scheme val="minor"/>
      </rPr>
      <t xml:space="preserve"> = </t>
    </r>
  </si>
  <si>
    <r>
      <t>fm</t>
    </r>
    <r>
      <rPr>
        <i/>
        <vertAlign val="subscript"/>
        <sz val="9"/>
        <color theme="1"/>
        <rFont val="Calibri"/>
        <family val="2"/>
        <scheme val="minor"/>
      </rPr>
      <t>0</t>
    </r>
    <r>
      <rPr>
        <i/>
        <sz val="9"/>
        <color theme="1"/>
        <rFont val="Calibri"/>
        <family val="2"/>
        <scheme val="minor"/>
      </rPr>
      <t>/λg</t>
    </r>
    <r>
      <rPr>
        <i/>
        <vertAlign val="subscript"/>
        <sz val="9"/>
        <color theme="1"/>
        <rFont val="Calibri"/>
        <family val="2"/>
        <scheme val="minor"/>
      </rPr>
      <t>1</t>
    </r>
    <r>
      <rPr>
        <i/>
        <vertAlign val="superscript"/>
        <sz val="9"/>
        <color theme="1"/>
        <rFont val="Calibri"/>
        <family val="2"/>
        <scheme val="minor"/>
      </rPr>
      <t>2</t>
    </r>
  </si>
  <si>
    <r>
      <t>βm</t>
    </r>
    <r>
      <rPr>
        <i/>
        <vertAlign val="subscript"/>
        <sz val="9"/>
        <color theme="1"/>
        <rFont val="Calibri"/>
        <family val="2"/>
        <scheme val="minor"/>
      </rPr>
      <t>0</t>
    </r>
    <r>
      <rPr>
        <i/>
        <sz val="9"/>
        <color theme="1"/>
        <rFont val="Calibri"/>
        <family val="2"/>
        <scheme val="minor"/>
      </rPr>
      <t>/λt</t>
    </r>
    <r>
      <rPr>
        <i/>
        <vertAlign val="superscript"/>
        <sz val="9"/>
        <color theme="1"/>
        <rFont val="Calibri"/>
        <family val="2"/>
        <scheme val="minor"/>
      </rPr>
      <t>2</t>
    </r>
  </si>
  <si>
    <r>
      <t>m</t>
    </r>
    <r>
      <rPr>
        <i/>
        <vertAlign val="subscript"/>
        <sz val="9"/>
        <color theme="1"/>
        <rFont val="Calibri"/>
        <family val="2"/>
        <scheme val="minor"/>
      </rPr>
      <t>0</t>
    </r>
    <r>
      <rPr>
        <i/>
        <sz val="9"/>
        <color theme="1"/>
        <rFont val="Calibri"/>
        <family val="2"/>
        <scheme val="minor"/>
      </rPr>
      <t>Y/t</t>
    </r>
    <r>
      <rPr>
        <i/>
        <vertAlign val="super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 xml:space="preserve"> - ZS</t>
    </r>
    <r>
      <rPr>
        <i/>
        <vertAlign val="subscript"/>
        <sz val="9"/>
        <color theme="1"/>
        <rFont val="Calibri"/>
        <family val="2"/>
        <scheme val="minor"/>
      </rPr>
      <t>R</t>
    </r>
  </si>
  <si>
    <r>
      <t>S</t>
    </r>
    <r>
      <rPr>
        <i/>
        <vertAlign val="subscript"/>
        <sz val="9"/>
        <color theme="1"/>
        <rFont val="Calibri"/>
        <family val="2"/>
        <scheme val="minor"/>
      </rPr>
      <t>T</t>
    </r>
    <r>
      <rPr>
        <i/>
        <sz val="9"/>
        <color theme="1"/>
        <rFont val="Calibri"/>
        <family val="2"/>
        <scheme val="minor"/>
      </rPr>
      <t xml:space="preserve"> = </t>
    </r>
  </si>
  <si>
    <t>5.1.1</t>
  </si>
  <si>
    <t>5.1.2</t>
  </si>
  <si>
    <t>5.1.3</t>
  </si>
  <si>
    <t>5.2.1</t>
  </si>
  <si>
    <t>5.2.2</t>
  </si>
  <si>
    <t>5.2.3</t>
  </si>
  <si>
    <t>Longitudinal Stress in Hub</t>
  </si>
  <si>
    <t>Radial Stress in Flange</t>
  </si>
  <si>
    <t>Tangential Stress in Flange</t>
  </si>
  <si>
    <r>
      <t>fm</t>
    </r>
    <r>
      <rPr>
        <i/>
        <vertAlign val="subscript"/>
        <sz val="9"/>
        <color theme="1"/>
        <rFont val="Calibri"/>
        <family val="2"/>
        <scheme val="minor"/>
      </rPr>
      <t>G</t>
    </r>
    <r>
      <rPr>
        <i/>
        <sz val="9"/>
        <color theme="1"/>
        <rFont val="Calibri"/>
        <family val="2"/>
        <scheme val="minor"/>
      </rPr>
      <t>/λg</t>
    </r>
    <r>
      <rPr>
        <i/>
        <vertAlign val="subscript"/>
        <sz val="9"/>
        <color theme="1"/>
        <rFont val="Calibri"/>
        <family val="2"/>
        <scheme val="minor"/>
      </rPr>
      <t>1</t>
    </r>
    <r>
      <rPr>
        <i/>
        <vertAlign val="superscript"/>
        <sz val="9"/>
        <color theme="1"/>
        <rFont val="Calibri"/>
        <family val="2"/>
        <scheme val="minor"/>
      </rPr>
      <t>2</t>
    </r>
  </si>
  <si>
    <r>
      <t>βm</t>
    </r>
    <r>
      <rPr>
        <i/>
        <vertAlign val="subscript"/>
        <sz val="9"/>
        <color theme="1"/>
        <rFont val="Calibri"/>
        <family val="2"/>
        <scheme val="minor"/>
      </rPr>
      <t>G</t>
    </r>
    <r>
      <rPr>
        <i/>
        <sz val="9"/>
        <color theme="1"/>
        <rFont val="Calibri"/>
        <family val="2"/>
        <scheme val="minor"/>
      </rPr>
      <t>/λt</t>
    </r>
    <r>
      <rPr>
        <i/>
        <vertAlign val="superscript"/>
        <sz val="9"/>
        <color theme="1"/>
        <rFont val="Calibri"/>
        <family val="2"/>
        <scheme val="minor"/>
      </rPr>
      <t>2</t>
    </r>
  </si>
  <si>
    <r>
      <t>m</t>
    </r>
    <r>
      <rPr>
        <i/>
        <vertAlign val="subscript"/>
        <sz val="9"/>
        <color theme="1"/>
        <rFont val="Calibri"/>
        <family val="2"/>
        <scheme val="minor"/>
      </rPr>
      <t>G</t>
    </r>
    <r>
      <rPr>
        <i/>
        <sz val="9"/>
        <color theme="1"/>
        <rFont val="Calibri"/>
        <family val="2"/>
        <scheme val="minor"/>
      </rPr>
      <t>Y/t</t>
    </r>
    <r>
      <rPr>
        <i/>
        <vertAlign val="super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 xml:space="preserve"> - ZSR</t>
    </r>
  </si>
  <si>
    <r>
      <t>Hub Stress Correction Factor (</t>
    </r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):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</si>
  <si>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 </t>
    </r>
  </si>
  <si>
    <t>Dec 30, 2019</t>
  </si>
  <si>
    <t>Rigidity Factor for Integral Flange (App 2, para 2-14)</t>
  </si>
  <si>
    <t>Flange Rigidity Index (J)</t>
  </si>
  <si>
    <t xml:space="preserve">Rigidity Index =  </t>
  </si>
  <si>
    <r>
      <t>(52.14</t>
    </r>
    <r>
      <rPr>
        <i/>
        <sz val="11"/>
        <color theme="1"/>
        <rFont val="Calibri"/>
        <family val="2"/>
        <scheme val="minor"/>
      </rPr>
      <t>VM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i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/(</t>
    </r>
    <r>
      <rPr>
        <i/>
        <sz val="11"/>
        <color theme="1"/>
        <rFont val="Calibri"/>
        <family val="2"/>
        <scheme val="minor"/>
      </rPr>
      <t>LEg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K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h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i/>
        <sz val="11"/>
        <color theme="1"/>
        <rFont val="Calibri"/>
        <family val="2"/>
        <scheme val="minor"/>
      </rPr>
      <t>)</t>
    </r>
  </si>
  <si>
    <t xml:space="preserve">L =  </t>
  </si>
  <si>
    <t>(te + 1)/T + t3/d</t>
  </si>
  <si>
    <t xml:space="preserve">E =  </t>
  </si>
  <si>
    <r>
      <t>K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 </t>
    </r>
  </si>
  <si>
    <r>
      <t>M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 </t>
    </r>
  </si>
  <si>
    <t>Rigidity Index Seating</t>
  </si>
  <si>
    <t>Seating Rigidity</t>
  </si>
  <si>
    <r>
      <t>M'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 </t>
    </r>
  </si>
  <si>
    <r>
      <t>(52.14</t>
    </r>
    <r>
      <rPr>
        <i/>
        <sz val="11"/>
        <color theme="1"/>
        <rFont val="Calibri"/>
        <family val="2"/>
        <scheme val="minor"/>
      </rPr>
      <t>VM'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i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/(</t>
    </r>
    <r>
      <rPr>
        <i/>
        <sz val="11"/>
        <color theme="1"/>
        <rFont val="Calibri"/>
        <family val="2"/>
        <scheme val="minor"/>
      </rPr>
      <t>LEg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K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h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i/>
        <sz val="11"/>
        <color theme="1"/>
        <rFont val="Calibri"/>
        <family val="2"/>
        <scheme val="minor"/>
      </rPr>
      <t>)</t>
    </r>
  </si>
  <si>
    <t>(SUM)</t>
  </si>
  <si>
    <t>Inputs from Flange &amp; Gasket Dimensions (PI Eng'g)</t>
  </si>
  <si>
    <t>Issued for Internal Review</t>
  </si>
  <si>
    <r>
      <t>d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</t>
    </r>
  </si>
  <si>
    <t>Number of bolts</t>
  </si>
  <si>
    <t>Issued for Use</t>
  </si>
  <si>
    <t>BM</t>
  </si>
  <si>
    <r>
      <t>d</t>
    </r>
    <r>
      <rPr>
        <vertAlign val="subscript"/>
        <sz val="11"/>
        <color theme="1"/>
        <rFont val="Calibri"/>
        <family val="2"/>
        <scheme val="minor"/>
      </rPr>
      <t>B</t>
    </r>
  </si>
  <si>
    <t>Nominal Bolt Diameter</t>
  </si>
  <si>
    <t>Am=</t>
  </si>
  <si>
    <t>Bolt Allowable Design Temp</t>
  </si>
  <si>
    <t>Bolt Allowable Atm Temp</t>
  </si>
  <si>
    <r>
      <t>S</t>
    </r>
    <r>
      <rPr>
        <vertAlign val="subscript"/>
        <sz val="11"/>
        <color theme="1"/>
        <rFont val="Calibri"/>
        <family val="2"/>
        <scheme val="minor"/>
      </rPr>
      <t>fa</t>
    </r>
    <r>
      <rPr>
        <sz val="11"/>
        <color theme="1"/>
        <rFont val="Calibri"/>
        <family val="2"/>
        <scheme val="minor"/>
      </rPr>
      <t>=</t>
    </r>
  </si>
  <si>
    <r>
      <t>S</t>
    </r>
    <r>
      <rPr>
        <vertAlign val="subscript"/>
        <sz val="11"/>
        <color theme="1"/>
        <rFont val="Calibri"/>
        <family val="2"/>
        <scheme val="minor"/>
      </rPr>
      <t>fo</t>
    </r>
    <r>
      <rPr>
        <sz val="11"/>
        <color theme="1"/>
        <rFont val="Calibri"/>
        <family val="2"/>
        <scheme val="minor"/>
      </rPr>
      <t>=</t>
    </r>
  </si>
  <si>
    <t>Flange Allowable Design Temp</t>
  </si>
  <si>
    <t>Flange Allowable Atmospheric Temp</t>
  </si>
  <si>
    <t>OPERATING</t>
  </si>
  <si>
    <t>SEATING</t>
  </si>
  <si>
    <t>W</t>
  </si>
  <si>
    <r>
      <t>H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=</t>
    </r>
  </si>
  <si>
    <r>
      <t>R + 0.5g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</si>
  <si>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</si>
  <si>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t>H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</si>
  <si>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r>
      <t>H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D</t>
    </r>
  </si>
  <si>
    <r>
      <t>M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</si>
  <si>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t>H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T</t>
    </r>
  </si>
  <si>
    <r>
      <t>M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</t>
    </r>
  </si>
  <si>
    <r>
      <t>M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</si>
  <si>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r>
      <t>H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G</t>
    </r>
  </si>
  <si>
    <r>
      <t>h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=</t>
    </r>
  </si>
  <si>
    <t>0.5(C - G):</t>
  </si>
  <si>
    <r>
      <t>M'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</si>
  <si>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</t>
    </r>
  </si>
  <si>
    <t>Sun of MD MT and MG</t>
  </si>
  <si>
    <r>
      <t>M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+M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+M</t>
    </r>
    <r>
      <rPr>
        <vertAlign val="subscript"/>
        <sz val="11"/>
        <color theme="1"/>
        <rFont val="Calibri"/>
        <family val="2"/>
        <scheme val="minor"/>
      </rPr>
      <t>G</t>
    </r>
  </si>
  <si>
    <t>UNR Minor Diam (Min Value) Machinery Handbook</t>
  </si>
  <si>
    <t>(using Figure 2-7.6 and Table 2-7.1) Minimum Value of 1</t>
  </si>
  <si>
    <t>Modulus of Elasticity of Flange Material (Rigidity)</t>
  </si>
  <si>
    <t>Rigidity Factor for integral flanges</t>
  </si>
  <si>
    <t>Notes:</t>
  </si>
  <si>
    <t>for carbon steel</t>
  </si>
  <si>
    <t>A1-18019-190-02 34in CL300 FF Custom 33 1/4" BORE</t>
  </si>
  <si>
    <t>Added Notes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</si>
</sst>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00000"/>
    <numFmt numFmtId="165" formatCode="0.000"/>
    <numFmt numFmtId="166" formatCode="0.000000"/>
    <numFmt numFmtId="167" formatCode="0.00000"/>
    <numFmt numFmtId="168" formatCode="0.0"/>
    <numFmt numFmtId="169" formatCode="0.0000"/>
    <numFmt numFmtId="170" formatCode="#,##0.0"/>
    <numFmt numFmtId="171" formatCode="#,##0.000"/>
  </numFmts>
  <fonts count="30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vertAlign val="subscript"/>
      <sz val="8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i/>
      <vertAlign val="subscript"/>
      <sz val="9"/>
      <color theme="1"/>
      <name val="Calibri"/>
      <family val="2"/>
      <scheme val="minor"/>
    </font>
    <font>
      <i/>
      <sz val="9"/>
      <color theme="1"/>
      <name val="Calibri"/>
      <family val="2"/>
    </font>
    <font>
      <i/>
      <vertAlign val="subscript"/>
      <sz val="9"/>
      <color theme="1"/>
      <name val="Calibri"/>
      <family val="2"/>
    </font>
    <font>
      <i/>
      <vertAlign val="superscript"/>
      <sz val="9"/>
      <color theme="1"/>
      <name val="Calibri"/>
      <family val="2"/>
    </font>
    <font>
      <i/>
      <vertAlign val="superscript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vertAlign val="superscript"/>
      <sz val="9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0" fontId="0" fillId="0" borderId="8" xfId="0" applyBorder="1"/>
    <xf numFmtId="0" fontId="0" fillId="0" borderId="30" xfId="0" applyBorder="1"/>
    <xf numFmtId="0" fontId="0" fillId="0" borderId="0" xfId="0" applyBorder="1"/>
    <xf numFmtId="0" fontId="7" fillId="0" borderId="0" xfId="0" applyFont="1"/>
    <xf numFmtId="0" fontId="0" fillId="0" borderId="24" xfId="0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4" borderId="14" xfId="0" applyFill="1" applyBorder="1"/>
    <xf numFmtId="0" fontId="0" fillId="5" borderId="14" xfId="0" applyFill="1" applyBorder="1" applyAlignment="1">
      <alignment horizontal="center"/>
    </xf>
    <xf numFmtId="166" fontId="0" fillId="0" borderId="0" xfId="0" applyNumberFormat="1" applyAlignment="1">
      <alignment horizontal="left"/>
    </xf>
    <xf numFmtId="168" fontId="0" fillId="0" borderId="0" xfId="0" applyNumberFormat="1"/>
    <xf numFmtId="0" fontId="21" fillId="0" borderId="0" xfId="0" applyFont="1"/>
    <xf numFmtId="0" fontId="25" fillId="0" borderId="0" xfId="0" applyFont="1"/>
    <xf numFmtId="0" fontId="25" fillId="0" borderId="0" xfId="0" applyFont="1" applyAlignment="1">
      <alignment horizontal="right"/>
    </xf>
    <xf numFmtId="0" fontId="0" fillId="0" borderId="0" xfId="0" applyFill="1" applyBorder="1" applyAlignment="1">
      <alignment horizontal="center"/>
    </xf>
    <xf numFmtId="3" fontId="0" fillId="0" borderId="0" xfId="0" applyNumberFormat="1"/>
    <xf numFmtId="0" fontId="0" fillId="0" borderId="0" xfId="0" quotePrefix="1"/>
    <xf numFmtId="0" fontId="25" fillId="0" borderId="0" xfId="0" applyFont="1" applyAlignment="1">
      <alignment horizontal="left"/>
    </xf>
    <xf numFmtId="0" fontId="0" fillId="0" borderId="0" xfId="0" applyFill="1" applyBorder="1" applyAlignment="1">
      <alignment horizontal="right"/>
    </xf>
    <xf numFmtId="0" fontId="15" fillId="0" borderId="0" xfId="0" applyFont="1" applyBorder="1" applyAlignme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0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4" fillId="6" borderId="68" xfId="0" applyFont="1" applyFill="1" applyBorder="1" applyAlignment="1">
      <alignment horizontal="center"/>
    </xf>
    <xf numFmtId="0" fontId="0" fillId="6" borderId="68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3" fontId="8" fillId="0" borderId="0" xfId="0" applyNumberFormat="1" applyFont="1"/>
    <xf numFmtId="0" fontId="26" fillId="0" borderId="0" xfId="0" applyFont="1" applyAlignment="1">
      <alignment horizontal="center"/>
    </xf>
    <xf numFmtId="0" fontId="0" fillId="7" borderId="20" xfId="0" applyFill="1" applyBorder="1" applyAlignment="1">
      <alignment horizontal="right"/>
    </xf>
    <xf numFmtId="0" fontId="0" fillId="4" borderId="69" xfId="0" applyFill="1" applyBorder="1"/>
    <xf numFmtId="0" fontId="0" fillId="4" borderId="70" xfId="0" applyFill="1" applyBorder="1"/>
    <xf numFmtId="0" fontId="0" fillId="4" borderId="37" xfId="0" applyFill="1" applyBorder="1"/>
    <xf numFmtId="166" fontId="0" fillId="6" borderId="68" xfId="0" applyNumberFormat="1" applyFill="1" applyBorder="1"/>
    <xf numFmtId="3" fontId="0" fillId="0" borderId="0" xfId="0" applyNumberFormat="1" applyAlignment="1"/>
    <xf numFmtId="171" fontId="0" fillId="0" borderId="0" xfId="0" applyNumberFormat="1" applyAlignment="1">
      <alignment horizontal="left"/>
    </xf>
    <xf numFmtId="168" fontId="0" fillId="8" borderId="0" xfId="0" applyNumberFormat="1" applyFill="1" applyAlignment="1">
      <alignment horizontal="left"/>
    </xf>
    <xf numFmtId="0" fontId="0" fillId="3" borderId="14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3" borderId="70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8" borderId="0" xfId="0" applyFill="1" applyAlignment="1">
      <alignment horizontal="left"/>
    </xf>
    <xf numFmtId="3" fontId="0" fillId="8" borderId="0" xfId="0" applyNumberFormat="1" applyFill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quotePrefix="1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170" fontId="0" fillId="0" borderId="0" xfId="0" applyNumberForma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7" borderId="13" xfId="0" applyFill="1" applyBorder="1" applyAlignment="1">
      <alignment horizontal="left"/>
    </xf>
    <xf numFmtId="2" fontId="0" fillId="0" borderId="0" xfId="0" applyNumberFormat="1" applyFont="1"/>
    <xf numFmtId="2" fontId="0" fillId="3" borderId="14" xfId="0" applyNumberFormat="1" applyFill="1" applyBorder="1" applyAlignment="1">
      <alignment horizontal="left"/>
    </xf>
    <xf numFmtId="0" fontId="6" fillId="0" borderId="5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6" fillId="8" borderId="21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3" fontId="8" fillId="0" borderId="19" xfId="0" applyNumberFormat="1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57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8" fillId="0" borderId="55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28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4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6" fillId="0" borderId="3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14" xfId="0" quotePrefix="1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60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169" fontId="6" fillId="0" borderId="44" xfId="0" applyNumberFormat="1" applyFont="1" applyBorder="1" applyAlignment="1">
      <alignment horizontal="center"/>
    </xf>
    <xf numFmtId="165" fontId="6" fillId="0" borderId="39" xfId="0" applyNumberFormat="1" applyFont="1" applyBorder="1" applyAlignment="1">
      <alignment horizontal="center"/>
    </xf>
    <xf numFmtId="165" fontId="6" fillId="0" borderId="44" xfId="0" applyNumberFormat="1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8" fillId="0" borderId="50" xfId="0" applyFont="1" applyBorder="1" applyAlignment="1">
      <alignment horizontal="center"/>
    </xf>
    <xf numFmtId="166" fontId="6" fillId="0" borderId="44" xfId="0" applyNumberFormat="1" applyFont="1" applyBorder="1" applyAlignment="1">
      <alignment horizontal="center"/>
    </xf>
    <xf numFmtId="3" fontId="8" fillId="0" borderId="49" xfId="0" applyNumberFormat="1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166" fontId="6" fillId="0" borderId="47" xfId="0" applyNumberFormat="1" applyFont="1" applyBorder="1" applyAlignment="1">
      <alignment horizontal="center"/>
    </xf>
    <xf numFmtId="166" fontId="6" fillId="0" borderId="62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166" fontId="6" fillId="0" borderId="42" xfId="0" applyNumberFormat="1" applyFont="1" applyBorder="1" applyAlignment="1">
      <alignment horizontal="center"/>
    </xf>
    <xf numFmtId="166" fontId="6" fillId="0" borderId="39" xfId="0" applyNumberFormat="1" applyFont="1" applyBorder="1" applyAlignment="1">
      <alignment horizontal="center"/>
    </xf>
    <xf numFmtId="166" fontId="6" fillId="0" borderId="61" xfId="0" applyNumberFormat="1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166" fontId="6" fillId="0" borderId="64" xfId="0" applyNumberFormat="1" applyFont="1" applyBorder="1" applyAlignment="1">
      <alignment horizontal="center"/>
    </xf>
    <xf numFmtId="166" fontId="6" fillId="0" borderId="49" xfId="0" applyNumberFormat="1" applyFont="1" applyBorder="1" applyAlignment="1">
      <alignment horizontal="center"/>
    </xf>
    <xf numFmtId="166" fontId="6" fillId="0" borderId="63" xfId="0" applyNumberFormat="1" applyFont="1" applyBorder="1" applyAlignment="1">
      <alignment horizontal="center"/>
    </xf>
    <xf numFmtId="0" fontId="8" fillId="0" borderId="59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6" fontId="8" fillId="0" borderId="20" xfId="0" applyNumberFormat="1" applyFont="1" applyBorder="1" applyAlignment="1">
      <alignment horizontal="right"/>
    </xf>
    <xf numFmtId="166" fontId="8" fillId="0" borderId="19" xfId="0" applyNumberFormat="1" applyFont="1" applyBorder="1" applyAlignment="1">
      <alignment horizontal="right"/>
    </xf>
    <xf numFmtId="0" fontId="8" fillId="0" borderId="14" xfId="0" applyFont="1" applyBorder="1" applyAlignment="1">
      <alignment horizontal="center"/>
    </xf>
    <xf numFmtId="170" fontId="8" fillId="0" borderId="20" xfId="0" applyNumberFormat="1" applyFont="1" applyBorder="1" applyAlignment="1">
      <alignment horizontal="right"/>
    </xf>
    <xf numFmtId="170" fontId="8" fillId="0" borderId="19" xfId="0" applyNumberFormat="1" applyFont="1" applyBorder="1" applyAlignment="1">
      <alignment horizontal="right"/>
    </xf>
    <xf numFmtId="0" fontId="12" fillId="0" borderId="14" xfId="0" applyFont="1" applyBorder="1" applyAlignment="1">
      <alignment horizontal="center"/>
    </xf>
    <xf numFmtId="168" fontId="8" fillId="0" borderId="20" xfId="0" applyNumberFormat="1" applyFont="1" applyBorder="1" applyAlignment="1">
      <alignment horizontal="right"/>
    </xf>
    <xf numFmtId="168" fontId="8" fillId="0" borderId="19" xfId="0" applyNumberFormat="1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66" fontId="12" fillId="0" borderId="19" xfId="0" applyNumberFormat="1" applyFont="1" applyBorder="1" applyAlignment="1">
      <alignment horizontal="center"/>
    </xf>
    <xf numFmtId="166" fontId="12" fillId="0" borderId="13" xfId="0" applyNumberFormat="1" applyFont="1" applyBorder="1" applyAlignment="1">
      <alignment horizontal="center"/>
    </xf>
    <xf numFmtId="170" fontId="12" fillId="0" borderId="6" xfId="0" applyNumberFormat="1" applyFont="1" applyBorder="1" applyAlignment="1">
      <alignment horizontal="center"/>
    </xf>
    <xf numFmtId="170" fontId="12" fillId="0" borderId="23" xfId="0" applyNumberFormat="1" applyFont="1" applyBorder="1" applyAlignment="1">
      <alignment horizontal="center"/>
    </xf>
    <xf numFmtId="170" fontId="12" fillId="0" borderId="19" xfId="0" applyNumberFormat="1" applyFont="1" applyBorder="1" applyAlignment="1">
      <alignment horizontal="center"/>
    </xf>
    <xf numFmtId="170" fontId="12" fillId="0" borderId="22" xfId="0" applyNumberFormat="1" applyFont="1" applyBorder="1" applyAlignment="1">
      <alignment horizontal="center"/>
    </xf>
    <xf numFmtId="166" fontId="12" fillId="0" borderId="2" xfId="0" applyNumberFormat="1" applyFont="1" applyBorder="1" applyAlignment="1">
      <alignment horizontal="center"/>
    </xf>
    <xf numFmtId="166" fontId="12" fillId="0" borderId="21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3" fontId="8" fillId="0" borderId="19" xfId="0" applyNumberFormat="1" applyFont="1" applyBorder="1" applyAlignment="1">
      <alignment horizontal="right"/>
    </xf>
    <xf numFmtId="167" fontId="8" fillId="0" borderId="19" xfId="0" applyNumberFormat="1" applyFont="1" applyBorder="1" applyAlignment="1">
      <alignment horizontal="right"/>
    </xf>
    <xf numFmtId="0" fontId="8" fillId="0" borderId="5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65" fontId="8" fillId="0" borderId="53" xfId="0" applyNumberFormat="1" applyFont="1" applyBorder="1" applyAlignment="1">
      <alignment horizontal="right" vertical="center"/>
    </xf>
    <xf numFmtId="165" fontId="8" fillId="0" borderId="24" xfId="0" applyNumberFormat="1" applyFont="1" applyBorder="1" applyAlignment="1">
      <alignment horizontal="right" vertical="center"/>
    </xf>
    <xf numFmtId="0" fontId="12" fillId="0" borderId="1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166" fontId="12" fillId="0" borderId="3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169" fontId="8" fillId="0" borderId="19" xfId="0" applyNumberFormat="1" applyFont="1" applyBorder="1" applyAlignment="1">
      <alignment horizontal="right"/>
    </xf>
    <xf numFmtId="0" fontId="9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54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right"/>
    </xf>
    <xf numFmtId="0" fontId="6" fillId="0" borderId="5" xfId="0" applyFont="1" applyBorder="1" applyAlignment="1">
      <alignment horizontal="center"/>
    </xf>
    <xf numFmtId="9" fontId="8" fillId="0" borderId="14" xfId="0" applyNumberFormat="1" applyFont="1" applyBorder="1" applyAlignment="1">
      <alignment horizontal="center"/>
    </xf>
    <xf numFmtId="9" fontId="8" fillId="0" borderId="15" xfId="0" applyNumberFormat="1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170" fontId="8" fillId="0" borderId="19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3" fontId="8" fillId="0" borderId="19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9" fontId="8" fillId="0" borderId="14" xfId="0" applyNumberFormat="1" applyFont="1" applyBorder="1" applyAlignment="1">
      <alignment horizontal="center" vertical="center"/>
    </xf>
    <xf numFmtId="9" fontId="8" fillId="0" borderId="15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8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9" fontId="9" fillId="0" borderId="11" xfId="0" applyNumberFormat="1" applyFont="1" applyBorder="1" applyAlignment="1">
      <alignment horizontal="center"/>
    </xf>
    <xf numFmtId="9" fontId="9" fillId="0" borderId="12" xfId="0" applyNumberFormat="1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0" fontId="8" fillId="0" borderId="14" xfId="0" applyNumberFormat="1" applyFont="1" applyBorder="1" applyAlignment="1">
      <alignment horizontal="center"/>
    </xf>
    <xf numFmtId="0" fontId="8" fillId="0" borderId="55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70" fontId="8" fillId="0" borderId="19" xfId="0" applyNumberFormat="1" applyFont="1" applyBorder="1" applyAlignment="1">
      <alignment horizontal="center" vertical="center"/>
    </xf>
    <xf numFmtId="170" fontId="8" fillId="0" borderId="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/>
    </xf>
    <xf numFmtId="170" fontId="8" fillId="0" borderId="17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5" fontId="6" fillId="0" borderId="20" xfId="0" applyNumberFormat="1" applyFont="1" applyBorder="1" applyAlignment="1">
      <alignment horizontal="center"/>
    </xf>
    <xf numFmtId="15" fontId="6" fillId="0" borderId="14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3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165" fontId="8" fillId="0" borderId="14" xfId="0" applyNumberFormat="1" applyFont="1" applyBorder="1" applyAlignment="1">
      <alignment horizontal="center"/>
    </xf>
    <xf numFmtId="165" fontId="8" fillId="0" borderId="15" xfId="0" applyNumberFormat="1" applyFont="1" applyBorder="1" applyAlignment="1">
      <alignment horizontal="center"/>
    </xf>
    <xf numFmtId="0" fontId="8" fillId="0" borderId="17" xfId="0" applyFont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21" fillId="0" borderId="67" xfId="0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6" fillId="0" borderId="5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9" fillId="0" borderId="59" xfId="0" applyFont="1" applyBorder="1" applyAlignment="1">
      <alignment horizontal="left" vertical="top" wrapText="1"/>
    </xf>
    <xf numFmtId="0" fontId="8" fillId="0" borderId="53" xfId="0" applyFont="1" applyBorder="1" applyAlignment="1">
      <alignment horizontal="left" vertical="top" wrapText="1"/>
    </xf>
    <xf numFmtId="0" fontId="8" fillId="0" borderId="58" xfId="0" applyFont="1" applyBorder="1" applyAlignment="1">
      <alignment horizontal="left" vertical="top" wrapText="1"/>
    </xf>
    <xf numFmtId="0" fontId="8" fillId="0" borderId="57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8" fillId="0" borderId="26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49" fontId="8" fillId="0" borderId="17" xfId="0" applyNumberFormat="1" applyFont="1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190502</xdr:colOff>
      <xdr:row>45</xdr:row>
      <xdr:rowOff>53770</xdr:rowOff>
    </xdr:from>
    <xdr:to>
      <xdr:col>12</xdr:col>
      <xdr:colOff>19050</xdr:colOff>
      <xdr:row>58</xdr:row>
      <xdr:rowOff>140916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A29EED-99CA-4984-99D3-4D67D82D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2" y="7940470"/>
          <a:ext cx="2343148" cy="23540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422449</xdr:colOff>
      <xdr:row>0</xdr:row>
      <xdr:rowOff>38100</xdr:rowOff>
    </xdr:from>
    <xdr:to>
      <xdr:col>10</xdr:col>
      <xdr:colOff>170473</xdr:colOff>
      <xdr:row>33</xdr:row>
      <xdr:rowOff>8478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7E35AC-2E56-4FAA-A63A-41C78F5D6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449" y="38100"/>
          <a:ext cx="5844024" cy="6256878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28</xdr:row>
      <xdr:rowOff>180975</xdr:rowOff>
    </xdr:from>
    <xdr:to>
      <xdr:col>22</xdr:col>
      <xdr:colOff>37159</xdr:colOff>
      <xdr:row>68</xdr:row>
      <xdr:rowOff>75261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4342CD-1DC6-43E8-A07D-2567EBCCB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550" y="5514975"/>
          <a:ext cx="7523809" cy="7514286"/>
        </a:xfrm>
        <a:prstGeom prst="rect">
          <a:avLst/>
        </a:prstGeom>
      </xdr:spPr>
    </xdr:pic>
    <xdr:clientData/>
  </xdr:twoCellAnchor>
  <xdr:twoCellAnchor editAs="oneCell">
    <xdr:from>
      <xdr:col>20</xdr:col>
      <xdr:colOff>485775</xdr:colOff>
      <xdr:row>29</xdr:row>
      <xdr:rowOff>85725</xdr:rowOff>
    </xdr:from>
    <xdr:to>
      <xdr:col>32</xdr:col>
      <xdr:colOff>84861</xdr:colOff>
      <xdr:row>63</xdr:row>
      <xdr:rowOff>180154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8FFFC5-0D78-4238-B228-55896D7F4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5610225"/>
          <a:ext cx="6914286" cy="6571429"/>
        </a:xfrm>
        <a:prstGeom prst="rect">
          <a:avLst/>
        </a:prstGeom>
      </xdr:spPr>
    </xdr:pic>
    <xdr:clientData/>
  </xdr:twoCellAnchor>
  <xdr:twoCellAnchor editAs="oneCell">
    <xdr:from>
      <xdr:col>11</xdr:col>
      <xdr:colOff>413951</xdr:colOff>
      <xdr:row>0</xdr:row>
      <xdr:rowOff>84449</xdr:rowOff>
    </xdr:from>
    <xdr:to>
      <xdr:col>22</xdr:col>
      <xdr:colOff>79326</xdr:colOff>
      <xdr:row>28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D3815DD-702E-4A48-BC7B-8944B659C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9551" y="84449"/>
          <a:ext cx="6370975" cy="5392426"/>
        </a:xfrm>
        <a:prstGeom prst="rect">
          <a:avLst/>
        </a:prstGeom>
      </xdr:spPr>
    </xdr:pic>
    <xdr:clientData/>
  </xdr:twoCellAnchor>
  <xdr:twoCellAnchor editAs="oneCell">
    <xdr:from>
      <xdr:col>22</xdr:col>
      <xdr:colOff>113453</xdr:colOff>
      <xdr:row>0</xdr:row>
      <xdr:rowOff>95250</xdr:rowOff>
    </xdr:from>
    <xdr:to>
      <xdr:col>32</xdr:col>
      <xdr:colOff>131087</xdr:colOff>
      <xdr:row>28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CED940-83B1-4601-AC34-EAA9AD03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24653" y="95250"/>
          <a:ext cx="6113634" cy="53340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67</xdr:row>
      <xdr:rowOff>28575</xdr:rowOff>
    </xdr:from>
    <xdr:to>
      <xdr:col>19</xdr:col>
      <xdr:colOff>65443</xdr:colOff>
      <xdr:row>91</xdr:row>
      <xdr:rowOff>56575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D9223C-0E4E-4972-A501-212A1C494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90700" y="12792075"/>
          <a:ext cx="9857143" cy="460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66</xdr:row>
      <xdr:rowOff>123825</xdr:rowOff>
    </xdr:from>
    <xdr:to>
      <xdr:col>35</xdr:col>
      <xdr:colOff>179740</xdr:colOff>
      <xdr:row>89</xdr:row>
      <xdr:rowOff>85182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4AEC986-99E0-4D59-8835-B5CCDEA9B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639550" y="12696825"/>
          <a:ext cx="9876190" cy="4342857"/>
        </a:xfrm>
        <a:prstGeom prst="rect">
          <a:avLst/>
        </a:prstGeom>
      </xdr:spPr>
    </xdr:pic>
    <xdr:clientData/>
  </xdr:twoCellAnchor>
  <xdr:twoCellAnchor>
    <xdr:from>
      <xdr:col>21</xdr:col>
      <xdr:colOff>447675</xdr:colOff>
      <xdr:row>16</xdr:row>
      <xdr:rowOff>171450</xdr:rowOff>
    </xdr:from>
    <xdr:to>
      <xdr:col>32</xdr:col>
      <xdr:colOff>419100</xdr:colOff>
      <xdr:row>16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A5BE9D-EEBF-4322-B5C8-415C28853593}"/>
            </a:ext>
          </a:extLst>
        </xdr:cNvPr>
        <xdr:cNvCxnSpPr/>
      </xdr:nvCxnSpPr>
      <xdr:spPr>
        <a:xfrm>
          <a:off x="13249275" y="3219450"/>
          <a:ext cx="667702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419100</xdr:colOff>
      <xdr:row>55</xdr:row>
      <xdr:rowOff>9525</xdr:rowOff>
    </xdr:from>
    <xdr:to>
      <xdr:col>31</xdr:col>
      <xdr:colOff>390525</xdr:colOff>
      <xdr:row>55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2839F05-965D-4756-99DC-2E2839516305}"/>
            </a:ext>
          </a:extLst>
        </xdr:cNvPr>
        <xdr:cNvCxnSpPr/>
      </xdr:nvCxnSpPr>
      <xdr:spPr>
        <a:xfrm>
          <a:off x="12611100" y="10487025"/>
          <a:ext cx="667702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238125</xdr:colOff>
      <xdr:row>76</xdr:row>
      <xdr:rowOff>19050</xdr:rowOff>
    </xdr:from>
    <xdr:to>
      <xdr:col>34</xdr:col>
      <xdr:colOff>38100</xdr:colOff>
      <xdr:row>76</xdr:row>
      <xdr:rowOff>19050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A95042C-54B5-4A39-8483-C914534EF1A9}"/>
            </a:ext>
          </a:extLst>
        </xdr:cNvPr>
        <xdr:cNvCxnSpPr/>
      </xdr:nvCxnSpPr>
      <xdr:spPr>
        <a:xfrm>
          <a:off x="11820525" y="14497050"/>
          <a:ext cx="89439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80</xdr:row>
      <xdr:rowOff>85725</xdr:rowOff>
    </xdr:from>
    <xdr:to>
      <xdr:col>17</xdr:col>
      <xdr:colOff>600075</xdr:colOff>
      <xdr:row>80</xdr:row>
      <xdr:rowOff>85725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676028FD-5225-4603-B42C-62016FF2A4E3}"/>
            </a:ext>
          </a:extLst>
        </xdr:cNvPr>
        <xdr:cNvCxnSpPr/>
      </xdr:nvCxnSpPr>
      <xdr:spPr>
        <a:xfrm>
          <a:off x="2019300" y="15325725"/>
          <a:ext cx="89439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6739-8B4B-4DC1-A2C9-971DDB785418}">
  <sheetPr>
    <pageSetUpPr fitToPage="1"/>
  </sheetPr>
  <dimension ref="A1:AG63"/>
  <sheetViews>
    <sheetView workbookViewId="0">
      <selection sqref="A1:AG1"/>
    </sheetView>
  </sheetViews>
  <sheetFormatPr defaultRowHeight="15" x14ac:dyDescent="0.25"/>
  <cols>
    <col min="1" max="53" width="3.140625" customWidth="1"/>
  </cols>
  <sheetData>
    <row r="1" spans="1:33" ht="15" customHeight="1" thickBot="1" x14ac:dyDescent="0.3">
      <c r="A1" s="63" t="s">
        <v>83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5"/>
    </row>
    <row r="2" spans="1:33" ht="15" customHeight="1" x14ac:dyDescent="0.25">
      <c r="A2" s="104" t="s">
        <v>5</v>
      </c>
      <c r="B2" s="105"/>
      <c r="C2" s="105"/>
      <c r="D2" s="105"/>
      <c r="E2" s="66" t="s">
        <v>336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8"/>
    </row>
    <row r="3" spans="1:33" ht="15" customHeight="1" thickBot="1" x14ac:dyDescent="0.3">
      <c r="A3" s="61" t="s">
        <v>84</v>
      </c>
      <c r="B3" s="62"/>
      <c r="C3" s="62"/>
      <c r="D3" s="62"/>
      <c r="E3" s="69" t="str">
        <f>CONCATENATE("Spiral wound metal, fibre filled, stainless steel, ",'Calculations and Parameters'!E15,"in O.D. ",'Calculations and Parameters'!E16,"in I.D.")</f>
        <v>Spiral wound metal, fibre filled, stainless steel, 31in O.D. 29in I.D.</v>
      </c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1"/>
    </row>
    <row r="4" spans="1:33" ht="15" customHeight="1" thickBot="1" x14ac:dyDescent="0.3">
      <c r="A4" s="63" t="s">
        <v>34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5"/>
    </row>
    <row r="5" spans="1:33" ht="14.1" customHeight="1" x14ac:dyDescent="0.25">
      <c r="A5" s="91" t="s">
        <v>33</v>
      </c>
      <c r="B5" s="92"/>
      <c r="C5" s="92"/>
      <c r="D5" s="92"/>
      <c r="E5" s="92"/>
      <c r="F5" s="93"/>
      <c r="G5" s="100">
        <f>'Calculations and Parameters'!E22</f>
        <v>645</v>
      </c>
      <c r="H5" s="101"/>
      <c r="I5" s="101"/>
      <c r="J5" s="84" t="s">
        <v>87</v>
      </c>
      <c r="K5" s="85"/>
      <c r="L5" s="75" t="s">
        <v>4</v>
      </c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7"/>
    </row>
    <row r="6" spans="1:33" ht="14.1" customHeight="1" x14ac:dyDescent="0.25">
      <c r="A6" s="94" t="s">
        <v>0</v>
      </c>
      <c r="B6" s="95"/>
      <c r="C6" s="95"/>
      <c r="D6" s="95"/>
      <c r="E6" s="95"/>
      <c r="F6" s="96"/>
      <c r="G6" s="102">
        <v>150</v>
      </c>
      <c r="H6" s="103"/>
      <c r="I6" s="103"/>
      <c r="J6" s="86" t="s">
        <v>88</v>
      </c>
      <c r="K6" s="87"/>
      <c r="L6" s="78" t="s">
        <v>5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 t="s">
        <v>6</v>
      </c>
      <c r="X6" s="78"/>
      <c r="Y6" s="78"/>
      <c r="Z6" s="78"/>
      <c r="AA6" s="78"/>
      <c r="AB6" s="78"/>
      <c r="AC6" s="78"/>
      <c r="AD6" s="78"/>
      <c r="AE6" s="78"/>
      <c r="AF6" s="78"/>
      <c r="AG6" s="79"/>
    </row>
    <row r="7" spans="1:33" ht="14.1" customHeight="1" x14ac:dyDescent="0.25">
      <c r="A7" s="94" t="s">
        <v>1</v>
      </c>
      <c r="B7" s="95"/>
      <c r="C7" s="95"/>
      <c r="D7" s="95"/>
      <c r="E7" s="95"/>
      <c r="F7" s="96"/>
      <c r="G7" s="90" t="s">
        <v>85</v>
      </c>
      <c r="H7" s="86"/>
      <c r="I7" s="86"/>
      <c r="J7" s="86"/>
      <c r="K7" s="87"/>
      <c r="L7" s="110" t="s">
        <v>91</v>
      </c>
      <c r="M7" s="110"/>
      <c r="N7" s="110"/>
      <c r="O7" s="110"/>
      <c r="P7" s="110"/>
      <c r="Q7" s="110"/>
      <c r="R7" s="80">
        <f>'Calculations and Parameters'!E28</f>
        <v>20000</v>
      </c>
      <c r="S7" s="81"/>
      <c r="T7" s="81"/>
      <c r="U7" s="86" t="s">
        <v>90</v>
      </c>
      <c r="V7" s="87"/>
      <c r="W7" s="110" t="s">
        <v>92</v>
      </c>
      <c r="X7" s="110"/>
      <c r="Y7" s="110"/>
      <c r="Z7" s="110"/>
      <c r="AA7" s="110"/>
      <c r="AB7" s="110"/>
      <c r="AC7" s="80">
        <f>'Calculations and Parameters'!E30</f>
        <v>25000</v>
      </c>
      <c r="AD7" s="81"/>
      <c r="AE7" s="81"/>
      <c r="AF7" s="86" t="s">
        <v>90</v>
      </c>
      <c r="AG7" s="116"/>
    </row>
    <row r="8" spans="1:33" ht="14.1" customHeight="1" x14ac:dyDescent="0.25">
      <c r="A8" s="94" t="s">
        <v>2</v>
      </c>
      <c r="B8" s="95"/>
      <c r="C8" s="95"/>
      <c r="D8" s="95"/>
      <c r="E8" s="95"/>
      <c r="F8" s="96"/>
      <c r="G8" s="90" t="s">
        <v>86</v>
      </c>
      <c r="H8" s="86"/>
      <c r="I8" s="86"/>
      <c r="J8" s="86"/>
      <c r="K8" s="87"/>
      <c r="L8" s="110" t="s">
        <v>93</v>
      </c>
      <c r="M8" s="110"/>
      <c r="N8" s="110"/>
      <c r="O8" s="110"/>
      <c r="P8" s="110"/>
      <c r="Q8" s="110"/>
      <c r="R8" s="80">
        <f>'Calculations and Parameters'!E29</f>
        <v>20000</v>
      </c>
      <c r="S8" s="81"/>
      <c r="T8" s="81"/>
      <c r="U8" s="86" t="s">
        <v>90</v>
      </c>
      <c r="V8" s="87"/>
      <c r="W8" s="110" t="s">
        <v>94</v>
      </c>
      <c r="X8" s="110"/>
      <c r="Y8" s="110"/>
      <c r="Z8" s="110"/>
      <c r="AA8" s="110"/>
      <c r="AB8" s="110"/>
      <c r="AC8" s="80">
        <f>'Calculations and Parameters'!E31</f>
        <v>25000</v>
      </c>
      <c r="AD8" s="81"/>
      <c r="AE8" s="81"/>
      <c r="AF8" s="86" t="s">
        <v>90</v>
      </c>
      <c r="AG8" s="116"/>
    </row>
    <row r="9" spans="1:33" ht="14.1" customHeight="1" thickBot="1" x14ac:dyDescent="0.3">
      <c r="A9" s="97" t="s">
        <v>3</v>
      </c>
      <c r="B9" s="98"/>
      <c r="C9" s="98"/>
      <c r="D9" s="98"/>
      <c r="E9" s="98"/>
      <c r="F9" s="99"/>
      <c r="G9" s="82" t="s">
        <v>160</v>
      </c>
      <c r="H9" s="83"/>
      <c r="I9" s="83"/>
      <c r="J9" s="88" t="s">
        <v>35</v>
      </c>
      <c r="K9" s="89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2"/>
    </row>
    <row r="10" spans="1:33" ht="15" customHeight="1" thickBot="1" x14ac:dyDescent="0.3">
      <c r="A10" s="72" t="s">
        <v>89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4"/>
    </row>
    <row r="11" spans="1:33" ht="14.1" customHeight="1" x14ac:dyDescent="0.25">
      <c r="A11" s="192" t="s">
        <v>189</v>
      </c>
      <c r="B11" s="76"/>
      <c r="C11" s="76"/>
      <c r="D11" s="76"/>
      <c r="E11" s="76"/>
      <c r="F11" s="76"/>
      <c r="G11" s="76"/>
      <c r="H11" s="76"/>
      <c r="I11" s="76"/>
      <c r="J11" s="76"/>
      <c r="K11" s="154"/>
      <c r="L11" s="75" t="s">
        <v>124</v>
      </c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7"/>
    </row>
    <row r="12" spans="1:33" ht="14.1" customHeight="1" x14ac:dyDescent="0.25">
      <c r="A12" s="198" t="s">
        <v>120</v>
      </c>
      <c r="B12" s="199"/>
      <c r="C12" s="199"/>
      <c r="D12" s="199"/>
      <c r="E12" s="199"/>
      <c r="F12" s="180">
        <f>'Calculations and Parameters'!E41</f>
        <v>30.292893218813454</v>
      </c>
      <c r="G12" s="180"/>
      <c r="H12" s="180"/>
      <c r="I12" s="180"/>
      <c r="J12" s="87" t="s">
        <v>36</v>
      </c>
      <c r="K12" s="157"/>
      <c r="L12" s="160" t="s">
        <v>151</v>
      </c>
      <c r="M12" s="160"/>
      <c r="N12" s="160"/>
      <c r="O12" s="160"/>
      <c r="P12" s="190"/>
      <c r="Q12" s="179">
        <f>'Calculations and Parameters'!E54</f>
        <v>336469.44607329892</v>
      </c>
      <c r="R12" s="103"/>
      <c r="S12" s="103"/>
      <c r="T12" s="103"/>
      <c r="U12" s="87" t="s">
        <v>110</v>
      </c>
      <c r="V12" s="157"/>
      <c r="W12" s="200" t="s">
        <v>202</v>
      </c>
      <c r="X12" s="201"/>
      <c r="Y12" s="201"/>
      <c r="Z12" s="201"/>
      <c r="AA12" s="201"/>
      <c r="AB12" s="183">
        <f>'Calculations and Parameters'!E60</f>
        <v>22.935238030812275</v>
      </c>
      <c r="AC12" s="183"/>
      <c r="AD12" s="183"/>
      <c r="AE12" s="183"/>
      <c r="AF12" s="144" t="s">
        <v>123</v>
      </c>
      <c r="AG12" s="181"/>
    </row>
    <row r="13" spans="1:33" ht="14.1" customHeight="1" x14ac:dyDescent="0.25">
      <c r="A13" s="198" t="s">
        <v>9</v>
      </c>
      <c r="B13" s="199"/>
      <c r="C13" s="199"/>
      <c r="D13" s="199"/>
      <c r="E13" s="199"/>
      <c r="F13" s="180">
        <f>'Calculations and Parameters'!E38</f>
        <v>0.35355339059327379</v>
      </c>
      <c r="G13" s="180"/>
      <c r="H13" s="180"/>
      <c r="I13" s="180"/>
      <c r="J13" s="87" t="s">
        <v>36</v>
      </c>
      <c r="K13" s="157"/>
      <c r="L13" s="160" t="s">
        <v>173</v>
      </c>
      <c r="M13" s="160"/>
      <c r="N13" s="160"/>
      <c r="O13" s="160"/>
      <c r="P13" s="190"/>
      <c r="Q13" s="179">
        <f>'Calculations and Parameters'!E49</f>
        <v>108511.3963586389</v>
      </c>
      <c r="R13" s="103"/>
      <c r="S13" s="103"/>
      <c r="T13" s="103"/>
      <c r="U13" s="87" t="s">
        <v>110</v>
      </c>
      <c r="V13" s="157"/>
      <c r="W13" s="202" t="s">
        <v>158</v>
      </c>
      <c r="X13" s="203"/>
      <c r="Y13" s="203"/>
      <c r="Z13" s="203"/>
      <c r="AA13" s="203"/>
      <c r="AB13" s="184"/>
      <c r="AC13" s="184"/>
      <c r="AD13" s="184"/>
      <c r="AE13" s="184"/>
      <c r="AF13" s="150"/>
      <c r="AG13" s="182"/>
    </row>
    <row r="14" spans="1:33" ht="14.1" customHeight="1" x14ac:dyDescent="0.25">
      <c r="A14" s="198" t="s">
        <v>121</v>
      </c>
      <c r="B14" s="199"/>
      <c r="C14" s="199"/>
      <c r="D14" s="199"/>
      <c r="E14" s="199"/>
      <c r="F14" s="179">
        <f>'Calculations and Parameters'!E53</f>
        <v>10000</v>
      </c>
      <c r="G14" s="103"/>
      <c r="H14" s="103"/>
      <c r="I14" s="103"/>
      <c r="J14" s="87" t="s">
        <v>90</v>
      </c>
      <c r="K14" s="157"/>
      <c r="L14" s="160" t="s">
        <v>140</v>
      </c>
      <c r="M14" s="160"/>
      <c r="N14" s="160"/>
      <c r="O14" s="160"/>
      <c r="P14" s="190"/>
      <c r="Q14" s="179">
        <f>'Calculations and Parameters'!E45</f>
        <v>464869.55441166792</v>
      </c>
      <c r="R14" s="103"/>
      <c r="S14" s="103"/>
      <c r="T14" s="103"/>
      <c r="U14" s="87" t="s">
        <v>110</v>
      </c>
      <c r="V14" s="157"/>
      <c r="W14" s="157" t="s">
        <v>201</v>
      </c>
      <c r="X14" s="157"/>
      <c r="Y14" s="157"/>
      <c r="Z14" s="157"/>
      <c r="AA14" s="90"/>
      <c r="AB14" s="191">
        <f>'Calculations and Parameters'!E63</f>
        <v>44.611914509625834</v>
      </c>
      <c r="AC14" s="191"/>
      <c r="AD14" s="191"/>
      <c r="AE14" s="191"/>
      <c r="AF14" s="86" t="s">
        <v>123</v>
      </c>
      <c r="AG14" s="116"/>
    </row>
    <row r="15" spans="1:33" ht="14.1" customHeight="1" thickBot="1" x14ac:dyDescent="0.3">
      <c r="A15" s="196" t="s">
        <v>122</v>
      </c>
      <c r="B15" s="197"/>
      <c r="C15" s="197"/>
      <c r="D15" s="197"/>
      <c r="E15" s="197"/>
      <c r="F15" s="83">
        <f>'Calculations and Parameters'!F48</f>
        <v>2.5</v>
      </c>
      <c r="G15" s="83"/>
      <c r="H15" s="83"/>
      <c r="I15" s="83"/>
      <c r="J15" s="89"/>
      <c r="K15" s="111"/>
      <c r="L15" s="185" t="s">
        <v>152</v>
      </c>
      <c r="M15" s="185"/>
      <c r="N15" s="185"/>
      <c r="O15" s="185"/>
      <c r="P15" s="186"/>
      <c r="Q15" s="204">
        <f>'Calculations and Parameters'!E50</f>
        <v>573380.95077030687</v>
      </c>
      <c r="R15" s="83"/>
      <c r="S15" s="83"/>
      <c r="T15" s="83"/>
      <c r="U15" s="89" t="s">
        <v>110</v>
      </c>
      <c r="V15" s="111"/>
      <c r="W15" s="185" t="s">
        <v>159</v>
      </c>
      <c r="X15" s="185"/>
      <c r="Y15" s="185"/>
      <c r="Z15" s="185"/>
      <c r="AA15" s="186"/>
      <c r="AB15" s="204">
        <f>'Calculations and Parameters'!E68</f>
        <v>844339.40675547638</v>
      </c>
      <c r="AC15" s="204"/>
      <c r="AD15" s="204"/>
      <c r="AE15" s="204"/>
      <c r="AF15" s="88" t="s">
        <v>114</v>
      </c>
      <c r="AG15" s="189"/>
    </row>
    <row r="16" spans="1:33" ht="15" customHeight="1" thickBot="1" x14ac:dyDescent="0.3">
      <c r="A16" s="63" t="s">
        <v>101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5"/>
    </row>
    <row r="17" spans="1:33" ht="14.1" customHeight="1" x14ac:dyDescent="0.25">
      <c r="A17" s="152" t="s">
        <v>109</v>
      </c>
      <c r="B17" s="153"/>
      <c r="C17" s="153"/>
      <c r="D17" s="75" t="s">
        <v>117</v>
      </c>
      <c r="E17" s="76"/>
      <c r="F17" s="76"/>
      <c r="G17" s="76"/>
      <c r="H17" s="76"/>
      <c r="I17" s="76"/>
      <c r="J17" s="76"/>
      <c r="K17" s="76"/>
      <c r="L17" s="76"/>
      <c r="M17" s="154"/>
      <c r="N17" s="75" t="s">
        <v>105</v>
      </c>
      <c r="O17" s="76"/>
      <c r="P17" s="76"/>
      <c r="Q17" s="76"/>
      <c r="R17" s="76"/>
      <c r="S17" s="76"/>
      <c r="T17" s="76"/>
      <c r="U17" s="76"/>
      <c r="V17" s="76"/>
      <c r="W17" s="154"/>
      <c r="X17" s="75" t="s">
        <v>106</v>
      </c>
      <c r="Y17" s="76"/>
      <c r="Z17" s="76"/>
      <c r="AA17" s="76"/>
      <c r="AB17" s="76"/>
      <c r="AC17" s="76"/>
      <c r="AD17" s="76"/>
      <c r="AE17" s="76"/>
      <c r="AF17" s="76"/>
      <c r="AG17" s="77"/>
    </row>
    <row r="18" spans="1:33" ht="14.1" customHeight="1" x14ac:dyDescent="0.25">
      <c r="A18" s="143" t="s">
        <v>107</v>
      </c>
      <c r="B18" s="144"/>
      <c r="C18" s="145"/>
      <c r="D18" s="160" t="s">
        <v>147</v>
      </c>
      <c r="E18" s="160"/>
      <c r="F18" s="160"/>
      <c r="G18" s="160"/>
      <c r="H18" s="160"/>
      <c r="I18" s="158">
        <f>'Calculations and Parameters'!E74</f>
        <v>433412.40443076543</v>
      </c>
      <c r="J18" s="159"/>
      <c r="K18" s="159"/>
      <c r="L18" s="86" t="s">
        <v>110</v>
      </c>
      <c r="M18" s="87"/>
      <c r="N18" s="160" t="s">
        <v>141</v>
      </c>
      <c r="O18" s="160"/>
      <c r="P18" s="160"/>
      <c r="Q18" s="160"/>
      <c r="R18" s="160"/>
      <c r="S18" s="155">
        <f>'Calculations and Parameters'!E76</f>
        <v>2.7800000000000002</v>
      </c>
      <c r="T18" s="156"/>
      <c r="U18" s="156"/>
      <c r="V18" s="86" t="s">
        <v>35</v>
      </c>
      <c r="W18" s="87"/>
      <c r="X18" s="157" t="s">
        <v>111</v>
      </c>
      <c r="Y18" s="157"/>
      <c r="Z18" s="157"/>
      <c r="AA18" s="157"/>
      <c r="AB18" s="157"/>
      <c r="AC18" s="158">
        <f>'Calculations and Parameters'!E78</f>
        <v>1204886.4843175281</v>
      </c>
      <c r="AD18" s="159"/>
      <c r="AE18" s="159"/>
      <c r="AF18" s="86" t="s">
        <v>114</v>
      </c>
      <c r="AG18" s="116"/>
    </row>
    <row r="19" spans="1:33" ht="14.1" customHeight="1" x14ac:dyDescent="0.25">
      <c r="A19" s="146"/>
      <c r="B19" s="147"/>
      <c r="C19" s="148"/>
      <c r="D19" s="160" t="s">
        <v>144</v>
      </c>
      <c r="E19" s="160"/>
      <c r="F19" s="160"/>
      <c r="G19" s="160"/>
      <c r="H19" s="160"/>
      <c r="I19" s="161">
        <f>'Calculations and Parameters'!E82</f>
        <v>31457.149980902497</v>
      </c>
      <c r="J19" s="162"/>
      <c r="K19" s="162"/>
      <c r="L19" s="86" t="s">
        <v>110</v>
      </c>
      <c r="M19" s="87"/>
      <c r="N19" s="160" t="s">
        <v>142</v>
      </c>
      <c r="O19" s="160"/>
      <c r="P19" s="160"/>
      <c r="Q19" s="160"/>
      <c r="R19" s="160"/>
      <c r="S19" s="155">
        <f>'Calculations and Parameters'!E85</f>
        <v>3.6142766952966365</v>
      </c>
      <c r="T19" s="156"/>
      <c r="U19" s="156"/>
      <c r="V19" s="86" t="s">
        <v>35</v>
      </c>
      <c r="W19" s="87"/>
      <c r="X19" s="157" t="s">
        <v>112</v>
      </c>
      <c r="Y19" s="157"/>
      <c r="Z19" s="157"/>
      <c r="AA19" s="157"/>
      <c r="AB19" s="157"/>
      <c r="AC19" s="158">
        <f>'Calculations and Parameters'!E87</f>
        <v>113694.84407642693</v>
      </c>
      <c r="AD19" s="159"/>
      <c r="AE19" s="159"/>
      <c r="AF19" s="86" t="s">
        <v>114</v>
      </c>
      <c r="AG19" s="116"/>
    </row>
    <row r="20" spans="1:33" ht="14.1" customHeight="1" x14ac:dyDescent="0.25">
      <c r="A20" s="146"/>
      <c r="B20" s="147"/>
      <c r="C20" s="148"/>
      <c r="D20" s="160" t="s">
        <v>145</v>
      </c>
      <c r="E20" s="160"/>
      <c r="F20" s="160"/>
      <c r="G20" s="160"/>
      <c r="H20" s="160"/>
      <c r="I20" s="158">
        <f>'Calculations and Parameters'!E92</f>
        <v>108511.39635863894</v>
      </c>
      <c r="J20" s="159"/>
      <c r="K20" s="159"/>
      <c r="L20" s="86" t="s">
        <v>110</v>
      </c>
      <c r="M20" s="87"/>
      <c r="N20" s="160" t="s">
        <v>143</v>
      </c>
      <c r="O20" s="160"/>
      <c r="P20" s="160"/>
      <c r="Q20" s="160"/>
      <c r="R20" s="160"/>
      <c r="S20" s="155">
        <f>'Calculations and Parameters'!E94</f>
        <v>3.3535533905932731</v>
      </c>
      <c r="T20" s="156"/>
      <c r="U20" s="156"/>
      <c r="V20" s="86" t="s">
        <v>35</v>
      </c>
      <c r="W20" s="87"/>
      <c r="X20" s="157" t="s">
        <v>113</v>
      </c>
      <c r="Y20" s="157"/>
      <c r="Z20" s="157"/>
      <c r="AA20" s="157"/>
      <c r="AB20" s="157"/>
      <c r="AC20" s="158">
        <f>'Calculations and Parameters'!E96</f>
        <v>363898.76117652416</v>
      </c>
      <c r="AD20" s="159"/>
      <c r="AE20" s="159"/>
      <c r="AF20" s="86" t="s">
        <v>114</v>
      </c>
      <c r="AG20" s="116"/>
    </row>
    <row r="21" spans="1:33" ht="14.1" customHeight="1" x14ac:dyDescent="0.25">
      <c r="A21" s="149"/>
      <c r="B21" s="150"/>
      <c r="C21" s="151"/>
      <c r="D21" s="90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7"/>
      <c r="X21" s="157" t="s">
        <v>115</v>
      </c>
      <c r="Y21" s="157"/>
      <c r="Z21" s="157"/>
      <c r="AA21" s="157"/>
      <c r="AB21" s="157"/>
      <c r="AC21" s="158">
        <f>SUM(AC18:AE20)</f>
        <v>1682480.0895704792</v>
      </c>
      <c r="AD21" s="159"/>
      <c r="AE21" s="159"/>
      <c r="AF21" s="86" t="s">
        <v>114</v>
      </c>
      <c r="AG21" s="116"/>
    </row>
    <row r="22" spans="1:33" ht="14.1" customHeight="1" thickBot="1" x14ac:dyDescent="0.3">
      <c r="A22" s="143" t="s">
        <v>108</v>
      </c>
      <c r="B22" s="144"/>
      <c r="C22" s="145"/>
      <c r="D22" s="160" t="s">
        <v>146</v>
      </c>
      <c r="E22" s="160"/>
      <c r="F22" s="160"/>
      <c r="G22" s="160"/>
      <c r="H22" s="160"/>
      <c r="I22" s="158">
        <f>AB15</f>
        <v>844339.40675547638</v>
      </c>
      <c r="J22" s="159"/>
      <c r="K22" s="159"/>
      <c r="L22" s="86" t="s">
        <v>110</v>
      </c>
      <c r="M22" s="87"/>
      <c r="N22" s="160" t="s">
        <v>143</v>
      </c>
      <c r="O22" s="160"/>
      <c r="P22" s="160"/>
      <c r="Q22" s="160"/>
      <c r="R22" s="160"/>
      <c r="S22" s="155">
        <f>S20</f>
        <v>3.3535533905932731</v>
      </c>
      <c r="T22" s="103"/>
      <c r="U22" s="103"/>
      <c r="V22" s="86" t="s">
        <v>35</v>
      </c>
      <c r="W22" s="87"/>
      <c r="X22" s="157" t="s">
        <v>116</v>
      </c>
      <c r="Y22" s="157"/>
      <c r="Z22" s="157"/>
      <c r="AA22" s="157"/>
      <c r="AB22" s="157"/>
      <c r="AC22" s="158">
        <f>I22*S22</f>
        <v>2831537.2803363404</v>
      </c>
      <c r="AD22" s="159"/>
      <c r="AE22" s="159"/>
      <c r="AF22" s="86" t="s">
        <v>114</v>
      </c>
      <c r="AG22" s="116"/>
    </row>
    <row r="23" spans="1:33" s="9" customFormat="1" ht="15" customHeight="1" thickBot="1" x14ac:dyDescent="0.25">
      <c r="A23" s="63" t="s">
        <v>102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5"/>
    </row>
    <row r="24" spans="1:33" ht="14.1" customHeight="1" x14ac:dyDescent="0.25">
      <c r="A24" s="195" t="s">
        <v>153</v>
      </c>
      <c r="B24" s="178"/>
      <c r="C24" s="178"/>
      <c r="D24" s="178"/>
      <c r="E24" s="178"/>
      <c r="F24" s="178"/>
      <c r="G24" s="171">
        <f>'Calculations and Parameters'!E114</f>
        <v>1.6341765884610717</v>
      </c>
      <c r="H24" s="171"/>
      <c r="I24" s="171"/>
      <c r="J24" s="171"/>
      <c r="K24" s="187"/>
      <c r="L24" s="177" t="s">
        <v>118</v>
      </c>
      <c r="M24" s="178"/>
      <c r="N24" s="178"/>
      <c r="O24" s="178"/>
      <c r="P24" s="178"/>
      <c r="Q24" s="178"/>
      <c r="R24" s="171">
        <f>'Calculations and Parameters'!E122</f>
        <v>0.92998947328286075</v>
      </c>
      <c r="S24" s="171"/>
      <c r="T24" s="171"/>
      <c r="U24" s="171"/>
      <c r="V24" s="187"/>
      <c r="W24" s="177" t="s">
        <v>119</v>
      </c>
      <c r="X24" s="178"/>
      <c r="Y24" s="178"/>
      <c r="Z24" s="178"/>
      <c r="AA24" s="178"/>
      <c r="AB24" s="178"/>
      <c r="AC24" s="171">
        <f>'Calculations and Parameters'!E129</f>
        <v>1.5284090080718742</v>
      </c>
      <c r="AD24" s="171"/>
      <c r="AE24" s="171"/>
      <c r="AF24" s="171"/>
      <c r="AG24" s="172"/>
    </row>
    <row r="25" spans="1:33" ht="14.1" customHeight="1" x14ac:dyDescent="0.25">
      <c r="A25" s="194" t="s">
        <v>154</v>
      </c>
      <c r="B25" s="176"/>
      <c r="C25" s="176"/>
      <c r="D25" s="176"/>
      <c r="E25" s="176"/>
      <c r="F25" s="176"/>
      <c r="G25" s="165">
        <f>'Calculations and Parameters'!E118</f>
        <v>1.8455687846147621</v>
      </c>
      <c r="H25" s="165"/>
      <c r="I25" s="165"/>
      <c r="J25" s="165"/>
      <c r="K25" s="166"/>
      <c r="L25" s="188" t="s">
        <v>137</v>
      </c>
      <c r="M25" s="176"/>
      <c r="N25" s="176"/>
      <c r="O25" s="176"/>
      <c r="P25" s="176"/>
      <c r="Q25" s="176"/>
      <c r="R25" s="165">
        <f>'Calculations and Parameters'!E126</f>
        <v>0.59841953478901333</v>
      </c>
      <c r="S25" s="165"/>
      <c r="T25" s="165"/>
      <c r="U25" s="165"/>
      <c r="V25" s="166"/>
      <c r="W25" s="175" t="s">
        <v>138</v>
      </c>
      <c r="X25" s="176"/>
      <c r="Y25" s="176"/>
      <c r="Z25" s="176"/>
      <c r="AA25" s="176"/>
      <c r="AB25" s="176"/>
      <c r="AC25" s="169">
        <f>'Calculations and Parameters'!E132</f>
        <v>57520.686822922369</v>
      </c>
      <c r="AD25" s="169"/>
      <c r="AE25" s="169"/>
      <c r="AF25" s="169"/>
      <c r="AG25" s="170"/>
    </row>
    <row r="26" spans="1:33" ht="14.1" customHeight="1" thickBot="1" x14ac:dyDescent="0.3">
      <c r="A26" s="193"/>
      <c r="B26" s="163"/>
      <c r="C26" s="163"/>
      <c r="D26" s="163"/>
      <c r="E26" s="163"/>
      <c r="F26" s="163"/>
      <c r="G26" s="163"/>
      <c r="H26" s="163"/>
      <c r="I26" s="163"/>
      <c r="J26" s="163"/>
      <c r="K26" s="164"/>
      <c r="L26" s="205"/>
      <c r="M26" s="163"/>
      <c r="N26" s="163"/>
      <c r="O26" s="163"/>
      <c r="P26" s="163"/>
      <c r="Q26" s="163"/>
      <c r="R26" s="163"/>
      <c r="S26" s="163"/>
      <c r="T26" s="163"/>
      <c r="U26" s="163"/>
      <c r="V26" s="164"/>
      <c r="W26" s="173" t="s">
        <v>139</v>
      </c>
      <c r="X26" s="174"/>
      <c r="Y26" s="174"/>
      <c r="Z26" s="174"/>
      <c r="AA26" s="174"/>
      <c r="AB26" s="174"/>
      <c r="AC26" s="167">
        <f>'Calculations and Parameters'!E135</f>
        <v>96804.693344832151</v>
      </c>
      <c r="AD26" s="167"/>
      <c r="AE26" s="167"/>
      <c r="AF26" s="167"/>
      <c r="AG26" s="168"/>
    </row>
    <row r="27" spans="1:33" ht="14.1" customHeight="1" thickBot="1" x14ac:dyDescent="0.3">
      <c r="A27" s="63" t="s">
        <v>103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5"/>
    </row>
    <row r="28" spans="1:33" ht="14.1" customHeight="1" x14ac:dyDescent="0.25">
      <c r="A28" s="152" t="s">
        <v>127</v>
      </c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 t="s">
        <v>126</v>
      </c>
      <c r="W28" s="153"/>
      <c r="X28" s="153"/>
      <c r="Y28" s="153"/>
      <c r="Z28" s="153"/>
      <c r="AA28" s="153"/>
      <c r="AB28" s="153"/>
      <c r="AC28" s="153"/>
      <c r="AD28" s="153"/>
      <c r="AE28" s="153" t="s">
        <v>125</v>
      </c>
      <c r="AF28" s="153"/>
      <c r="AG28" s="211"/>
    </row>
    <row r="29" spans="1:33" ht="14.1" customHeight="1" x14ac:dyDescent="0.25">
      <c r="A29" s="208" t="s">
        <v>131</v>
      </c>
      <c r="B29" s="86"/>
      <c r="C29" s="86"/>
      <c r="D29" s="86"/>
      <c r="E29" s="86"/>
      <c r="F29" s="86"/>
      <c r="G29" s="86"/>
      <c r="H29" s="175" t="s">
        <v>134</v>
      </c>
      <c r="I29" s="176"/>
      <c r="J29" s="176"/>
      <c r="K29" s="176"/>
      <c r="L29" s="176"/>
      <c r="M29" s="176"/>
      <c r="N29" s="209"/>
      <c r="O29" s="210">
        <f>'Calculations and Parameters'!R60</f>
        <v>37912.122128346018</v>
      </c>
      <c r="P29" s="210"/>
      <c r="Q29" s="210"/>
      <c r="R29" s="210"/>
      <c r="S29" s="87" t="s">
        <v>90</v>
      </c>
      <c r="T29" s="157"/>
      <c r="U29" s="157"/>
      <c r="V29" s="175" t="s">
        <v>150</v>
      </c>
      <c r="W29" s="176"/>
      <c r="X29" s="176"/>
      <c r="Y29" s="81">
        <v>30000</v>
      </c>
      <c r="Z29" s="81"/>
      <c r="AA29" s="81"/>
      <c r="AB29" s="81"/>
      <c r="AC29" s="87" t="s">
        <v>90</v>
      </c>
      <c r="AD29" s="157"/>
      <c r="AE29" s="206">
        <f>O29/Y29</f>
        <v>1.2637374042782006</v>
      </c>
      <c r="AF29" s="206"/>
      <c r="AG29" s="207"/>
    </row>
    <row r="30" spans="1:33" ht="14.1" customHeight="1" x14ac:dyDescent="0.25">
      <c r="A30" s="208" t="s">
        <v>132</v>
      </c>
      <c r="B30" s="86"/>
      <c r="C30" s="86"/>
      <c r="D30" s="86"/>
      <c r="E30" s="86"/>
      <c r="F30" s="86"/>
      <c r="G30" s="86"/>
      <c r="H30" s="175" t="s">
        <v>135</v>
      </c>
      <c r="I30" s="176"/>
      <c r="J30" s="176"/>
      <c r="K30" s="176"/>
      <c r="L30" s="176"/>
      <c r="M30" s="176"/>
      <c r="N30" s="209"/>
      <c r="O30" s="210">
        <f>'Calculations and Parameters'!R63</f>
        <v>6079.6882433960291</v>
      </c>
      <c r="P30" s="210"/>
      <c r="Q30" s="210"/>
      <c r="R30" s="210"/>
      <c r="S30" s="87" t="s">
        <v>90</v>
      </c>
      <c r="T30" s="157"/>
      <c r="U30" s="157"/>
      <c r="V30" s="175" t="s">
        <v>133</v>
      </c>
      <c r="W30" s="176"/>
      <c r="X30" s="176"/>
      <c r="Y30" s="81">
        <v>20000</v>
      </c>
      <c r="Z30" s="81"/>
      <c r="AA30" s="81"/>
      <c r="AB30" s="81"/>
      <c r="AC30" s="87" t="s">
        <v>90</v>
      </c>
      <c r="AD30" s="157"/>
      <c r="AE30" s="206">
        <f t="shared" ref="AE30:AE31" si="0">O30/Y30</f>
        <v>0.30398441216980143</v>
      </c>
      <c r="AF30" s="206"/>
      <c r="AG30" s="207"/>
    </row>
    <row r="31" spans="1:33" ht="14.1" customHeight="1" x14ac:dyDescent="0.25">
      <c r="A31" s="208" t="s">
        <v>129</v>
      </c>
      <c r="B31" s="86"/>
      <c r="C31" s="86"/>
      <c r="D31" s="86"/>
      <c r="E31" s="86"/>
      <c r="F31" s="86"/>
      <c r="G31" s="86"/>
      <c r="H31" s="175" t="s">
        <v>136</v>
      </c>
      <c r="I31" s="176"/>
      <c r="J31" s="176"/>
      <c r="K31" s="176"/>
      <c r="L31" s="176"/>
      <c r="M31" s="176"/>
      <c r="N31" s="209"/>
      <c r="O31" s="210">
        <f>'Calculations and Parameters'!R66</f>
        <v>11304.823024632227</v>
      </c>
      <c r="P31" s="210"/>
      <c r="Q31" s="210"/>
      <c r="R31" s="210"/>
      <c r="S31" s="87" t="s">
        <v>90</v>
      </c>
      <c r="T31" s="157"/>
      <c r="U31" s="157"/>
      <c r="V31" s="175" t="s">
        <v>133</v>
      </c>
      <c r="W31" s="176"/>
      <c r="X31" s="176"/>
      <c r="Y31" s="81">
        <v>20000</v>
      </c>
      <c r="Z31" s="81"/>
      <c r="AA31" s="81"/>
      <c r="AB31" s="81"/>
      <c r="AC31" s="87" t="s">
        <v>90</v>
      </c>
      <c r="AD31" s="157"/>
      <c r="AE31" s="206">
        <f t="shared" si="0"/>
        <v>0.56524115123161134</v>
      </c>
      <c r="AF31" s="206"/>
      <c r="AG31" s="207"/>
    </row>
    <row r="32" spans="1:33" ht="14.1" customHeight="1" x14ac:dyDescent="0.25">
      <c r="A32" s="230" t="s">
        <v>130</v>
      </c>
      <c r="B32" s="231"/>
      <c r="C32" s="231"/>
      <c r="D32" s="231"/>
      <c r="E32" s="231"/>
      <c r="F32" s="231"/>
      <c r="G32" s="231"/>
      <c r="H32" s="228" t="s">
        <v>148</v>
      </c>
      <c r="I32" s="228"/>
      <c r="J32" s="228"/>
      <c r="K32" s="228"/>
      <c r="L32" s="229">
        <f>0.5*(O29+O30)</f>
        <v>21995.905185871023</v>
      </c>
      <c r="M32" s="229"/>
      <c r="N32" s="229"/>
      <c r="O32" s="234">
        <f>IF(L32&gt;L33,L32,L33)</f>
        <v>24608.472576489123</v>
      </c>
      <c r="P32" s="234"/>
      <c r="Q32" s="234"/>
      <c r="R32" s="234"/>
      <c r="S32" s="222" t="s">
        <v>90</v>
      </c>
      <c r="T32" s="223"/>
      <c r="U32" s="223"/>
      <c r="V32" s="214" t="s">
        <v>133</v>
      </c>
      <c r="W32" s="215"/>
      <c r="X32" s="215"/>
      <c r="Y32" s="212">
        <v>20000</v>
      </c>
      <c r="Z32" s="212"/>
      <c r="AA32" s="212"/>
      <c r="AB32" s="212"/>
      <c r="AC32" s="222" t="s">
        <v>90</v>
      </c>
      <c r="AD32" s="223"/>
      <c r="AE32" s="218">
        <f>O32/Y32</f>
        <v>1.2304236288244561</v>
      </c>
      <c r="AF32" s="218"/>
      <c r="AG32" s="219"/>
    </row>
    <row r="33" spans="1:33" ht="14.1" customHeight="1" thickBot="1" x14ac:dyDescent="0.3">
      <c r="A33" s="232"/>
      <c r="B33" s="233"/>
      <c r="C33" s="233"/>
      <c r="D33" s="233"/>
      <c r="E33" s="233"/>
      <c r="F33" s="233"/>
      <c r="G33" s="233"/>
      <c r="H33" s="228" t="s">
        <v>149</v>
      </c>
      <c r="I33" s="228"/>
      <c r="J33" s="228"/>
      <c r="K33" s="228"/>
      <c r="L33" s="229">
        <f>0.5*(O29+O31)</f>
        <v>24608.472576489123</v>
      </c>
      <c r="M33" s="229"/>
      <c r="N33" s="229"/>
      <c r="O33" s="235"/>
      <c r="P33" s="235"/>
      <c r="Q33" s="235"/>
      <c r="R33" s="235"/>
      <c r="S33" s="224"/>
      <c r="T33" s="225"/>
      <c r="U33" s="225"/>
      <c r="V33" s="216"/>
      <c r="W33" s="217"/>
      <c r="X33" s="217"/>
      <c r="Y33" s="213"/>
      <c r="Z33" s="213"/>
      <c r="AA33" s="213"/>
      <c r="AB33" s="213"/>
      <c r="AC33" s="224"/>
      <c r="AD33" s="225"/>
      <c r="AE33" s="220"/>
      <c r="AF33" s="220"/>
      <c r="AG33" s="221"/>
    </row>
    <row r="34" spans="1:33" ht="14.1" customHeight="1" x14ac:dyDescent="0.25">
      <c r="A34" s="152" t="s">
        <v>128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 t="s">
        <v>126</v>
      </c>
      <c r="W34" s="153"/>
      <c r="X34" s="153"/>
      <c r="Y34" s="153"/>
      <c r="Z34" s="153"/>
      <c r="AA34" s="153"/>
      <c r="AB34" s="153"/>
      <c r="AC34" s="153"/>
      <c r="AD34" s="153"/>
      <c r="AE34" s="226" t="s">
        <v>125</v>
      </c>
      <c r="AF34" s="226"/>
      <c r="AG34" s="227"/>
    </row>
    <row r="35" spans="1:33" ht="14.1" customHeight="1" x14ac:dyDescent="0.25">
      <c r="A35" s="208" t="s">
        <v>131</v>
      </c>
      <c r="B35" s="86"/>
      <c r="C35" s="86"/>
      <c r="D35" s="86"/>
      <c r="E35" s="86"/>
      <c r="F35" s="86"/>
      <c r="G35" s="86"/>
      <c r="H35" s="175" t="s">
        <v>134</v>
      </c>
      <c r="I35" s="176"/>
      <c r="J35" s="176"/>
      <c r="K35" s="176"/>
      <c r="L35" s="176"/>
      <c r="M35" s="176"/>
      <c r="N35" s="209"/>
      <c r="O35" s="210">
        <f>'Calculations and Parameters'!R71</f>
        <v>63804.372989924283</v>
      </c>
      <c r="P35" s="210"/>
      <c r="Q35" s="210"/>
      <c r="R35" s="210"/>
      <c r="S35" s="87" t="s">
        <v>90</v>
      </c>
      <c r="T35" s="157"/>
      <c r="U35" s="157"/>
      <c r="V35" s="175" t="s">
        <v>150</v>
      </c>
      <c r="W35" s="176"/>
      <c r="X35" s="176"/>
      <c r="Y35" s="81">
        <v>30000</v>
      </c>
      <c r="Z35" s="81"/>
      <c r="AA35" s="81"/>
      <c r="AB35" s="81"/>
      <c r="AC35" s="87" t="s">
        <v>90</v>
      </c>
      <c r="AD35" s="157"/>
      <c r="AE35" s="206">
        <f>O35/Y35</f>
        <v>2.1268124329974762</v>
      </c>
      <c r="AF35" s="206"/>
      <c r="AG35" s="207"/>
    </row>
    <row r="36" spans="1:33" ht="14.1" customHeight="1" x14ac:dyDescent="0.25">
      <c r="A36" s="208" t="s">
        <v>132</v>
      </c>
      <c r="B36" s="86"/>
      <c r="C36" s="86"/>
      <c r="D36" s="86"/>
      <c r="E36" s="86"/>
      <c r="F36" s="86"/>
      <c r="G36" s="86"/>
      <c r="H36" s="175" t="s">
        <v>135</v>
      </c>
      <c r="I36" s="176"/>
      <c r="J36" s="176"/>
      <c r="K36" s="176"/>
      <c r="L36" s="176"/>
      <c r="M36" s="176"/>
      <c r="N36" s="209"/>
      <c r="O36" s="210">
        <f>'Calculations and Parameters'!R74</f>
        <v>10231.838118448821</v>
      </c>
      <c r="P36" s="210"/>
      <c r="Q36" s="210"/>
      <c r="R36" s="210"/>
      <c r="S36" s="87" t="s">
        <v>90</v>
      </c>
      <c r="T36" s="157"/>
      <c r="U36" s="157"/>
      <c r="V36" s="175" t="s">
        <v>133</v>
      </c>
      <c r="W36" s="176"/>
      <c r="X36" s="176"/>
      <c r="Y36" s="81">
        <v>20000</v>
      </c>
      <c r="Z36" s="81"/>
      <c r="AA36" s="81"/>
      <c r="AB36" s="81"/>
      <c r="AC36" s="87" t="s">
        <v>90</v>
      </c>
      <c r="AD36" s="157"/>
      <c r="AE36" s="206">
        <f t="shared" ref="AE36:AE37" si="1">O36/Y36</f>
        <v>0.51159190592244108</v>
      </c>
      <c r="AF36" s="206"/>
      <c r="AG36" s="207"/>
    </row>
    <row r="37" spans="1:33" ht="14.1" customHeight="1" x14ac:dyDescent="0.25">
      <c r="A37" s="208" t="s">
        <v>129</v>
      </c>
      <c r="B37" s="86"/>
      <c r="C37" s="86"/>
      <c r="D37" s="86"/>
      <c r="E37" s="86"/>
      <c r="F37" s="86"/>
      <c r="G37" s="86"/>
      <c r="H37" s="175" t="s">
        <v>136</v>
      </c>
      <c r="I37" s="176"/>
      <c r="J37" s="176"/>
      <c r="K37" s="176"/>
      <c r="L37" s="176"/>
      <c r="M37" s="176"/>
      <c r="N37" s="209"/>
      <c r="O37" s="210">
        <f>'Calculations and Parameters'!R77</f>
        <v>19025.50172229535</v>
      </c>
      <c r="P37" s="210"/>
      <c r="Q37" s="210"/>
      <c r="R37" s="210"/>
      <c r="S37" s="87" t="s">
        <v>90</v>
      </c>
      <c r="T37" s="157"/>
      <c r="U37" s="157"/>
      <c r="V37" s="175" t="s">
        <v>133</v>
      </c>
      <c r="W37" s="176"/>
      <c r="X37" s="176"/>
      <c r="Y37" s="81">
        <v>20000</v>
      </c>
      <c r="Z37" s="81"/>
      <c r="AA37" s="81"/>
      <c r="AB37" s="81"/>
      <c r="AC37" s="87" t="s">
        <v>90</v>
      </c>
      <c r="AD37" s="157"/>
      <c r="AE37" s="206">
        <f t="shared" si="1"/>
        <v>0.95127508611476752</v>
      </c>
      <c r="AF37" s="206"/>
      <c r="AG37" s="207"/>
    </row>
    <row r="38" spans="1:33" ht="14.1" customHeight="1" x14ac:dyDescent="0.25">
      <c r="A38" s="230" t="s">
        <v>130</v>
      </c>
      <c r="B38" s="231"/>
      <c r="C38" s="231"/>
      <c r="D38" s="231"/>
      <c r="E38" s="231"/>
      <c r="F38" s="231"/>
      <c r="G38" s="231"/>
      <c r="H38" s="228" t="s">
        <v>148</v>
      </c>
      <c r="I38" s="228"/>
      <c r="J38" s="228"/>
      <c r="K38" s="228"/>
      <c r="L38" s="229">
        <f>0.5*(O35+O36)</f>
        <v>37018.10555418655</v>
      </c>
      <c r="M38" s="229"/>
      <c r="N38" s="229"/>
      <c r="O38" s="234">
        <f>IF(L38&gt;L39,L38,L39)</f>
        <v>41414.937356109818</v>
      </c>
      <c r="P38" s="234"/>
      <c r="Q38" s="234"/>
      <c r="R38" s="234"/>
      <c r="S38" s="222" t="s">
        <v>90</v>
      </c>
      <c r="T38" s="223"/>
      <c r="U38" s="223"/>
      <c r="V38" s="214" t="s">
        <v>133</v>
      </c>
      <c r="W38" s="215"/>
      <c r="X38" s="215"/>
      <c r="Y38" s="212">
        <v>20000</v>
      </c>
      <c r="Z38" s="212"/>
      <c r="AA38" s="212"/>
      <c r="AB38" s="212"/>
      <c r="AC38" s="222" t="s">
        <v>90</v>
      </c>
      <c r="AD38" s="223"/>
      <c r="AE38" s="218">
        <f>O38/Y38</f>
        <v>2.0707468678054908</v>
      </c>
      <c r="AF38" s="218"/>
      <c r="AG38" s="219"/>
    </row>
    <row r="39" spans="1:33" ht="14.1" customHeight="1" thickBot="1" x14ac:dyDescent="0.3">
      <c r="A39" s="232"/>
      <c r="B39" s="233"/>
      <c r="C39" s="233"/>
      <c r="D39" s="233"/>
      <c r="E39" s="233"/>
      <c r="F39" s="233"/>
      <c r="G39" s="233"/>
      <c r="H39" s="236" t="s">
        <v>149</v>
      </c>
      <c r="I39" s="236"/>
      <c r="J39" s="236"/>
      <c r="K39" s="236"/>
      <c r="L39" s="237">
        <f>0.5*(O35+O37)</f>
        <v>41414.937356109818</v>
      </c>
      <c r="M39" s="237"/>
      <c r="N39" s="237"/>
      <c r="O39" s="235"/>
      <c r="P39" s="235"/>
      <c r="Q39" s="235"/>
      <c r="R39" s="235"/>
      <c r="S39" s="224"/>
      <c r="T39" s="225"/>
      <c r="U39" s="225"/>
      <c r="V39" s="216"/>
      <c r="W39" s="217"/>
      <c r="X39" s="217"/>
      <c r="Y39" s="213"/>
      <c r="Z39" s="213"/>
      <c r="AA39" s="213"/>
      <c r="AB39" s="213"/>
      <c r="AC39" s="224"/>
      <c r="AD39" s="225"/>
      <c r="AE39" s="220"/>
      <c r="AF39" s="220"/>
      <c r="AG39" s="221"/>
    </row>
    <row r="40" spans="1:33" ht="15" customHeight="1" thickBot="1" x14ac:dyDescent="0.3">
      <c r="A40" s="63" t="s">
        <v>104</v>
      </c>
      <c r="B40" s="64"/>
      <c r="C40" s="64"/>
      <c r="D40" s="64"/>
      <c r="E40" s="64"/>
      <c r="F40" s="64"/>
      <c r="G40" s="64"/>
      <c r="H40" s="73"/>
      <c r="I40" s="73"/>
      <c r="J40" s="73"/>
      <c r="K40" s="73"/>
      <c r="L40" s="73"/>
      <c r="M40" s="73"/>
      <c r="N40" s="73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5"/>
    </row>
    <row r="41" spans="1:33" ht="14.1" customHeight="1" x14ac:dyDescent="0.25">
      <c r="A41" s="152" t="s">
        <v>161</v>
      </c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 t="s">
        <v>162</v>
      </c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211"/>
    </row>
    <row r="42" spans="1:33" ht="14.1" customHeight="1" x14ac:dyDescent="0.25">
      <c r="A42" s="94" t="s">
        <v>282</v>
      </c>
      <c r="B42" s="95"/>
      <c r="C42" s="95"/>
      <c r="D42" s="95"/>
      <c r="E42" s="95"/>
      <c r="F42" s="95"/>
      <c r="G42" s="95"/>
      <c r="H42" s="95"/>
      <c r="I42" s="95"/>
      <c r="J42" s="95"/>
      <c r="K42" s="96"/>
      <c r="L42" s="157">
        <v>0.3</v>
      </c>
      <c r="M42" s="157"/>
      <c r="N42" s="157"/>
      <c r="O42" s="157"/>
      <c r="P42" s="157"/>
      <c r="Q42" s="95" t="s">
        <v>282</v>
      </c>
      <c r="R42" s="95"/>
      <c r="S42" s="95"/>
      <c r="T42" s="95"/>
      <c r="U42" s="95"/>
      <c r="V42" s="95"/>
      <c r="W42" s="95"/>
      <c r="X42" s="95"/>
      <c r="Y42" s="95"/>
      <c r="Z42" s="95"/>
      <c r="AA42" s="96"/>
      <c r="AB42" s="157">
        <v>0.3</v>
      </c>
      <c r="AC42" s="157"/>
      <c r="AD42" s="157"/>
      <c r="AE42" s="157"/>
      <c r="AF42" s="157"/>
      <c r="AG42" s="252"/>
    </row>
    <row r="43" spans="1:33" ht="14.1" customHeight="1" x14ac:dyDescent="0.25">
      <c r="A43" s="247" t="s">
        <v>163</v>
      </c>
      <c r="B43" s="248"/>
      <c r="C43" s="248"/>
      <c r="D43" s="248"/>
      <c r="E43" s="248"/>
      <c r="F43" s="248"/>
      <c r="G43" s="248"/>
      <c r="H43" s="248"/>
      <c r="I43" s="248"/>
      <c r="J43" s="248"/>
      <c r="K43" s="248"/>
      <c r="L43" s="249">
        <f>'Calculations and Parameters'!R84</f>
        <v>0.6762957637357454</v>
      </c>
      <c r="M43" s="249"/>
      <c r="N43" s="249"/>
      <c r="O43" s="249"/>
      <c r="P43" s="249"/>
      <c r="Q43" s="248" t="s">
        <v>291</v>
      </c>
      <c r="R43" s="248"/>
      <c r="S43" s="248"/>
      <c r="T43" s="248"/>
      <c r="U43" s="248"/>
      <c r="V43" s="248"/>
      <c r="W43" s="248"/>
      <c r="X43" s="248"/>
      <c r="Y43" s="248"/>
      <c r="Z43" s="248"/>
      <c r="AA43" s="248"/>
      <c r="AB43" s="249">
        <f>'Calculations and Parameters'!R92</f>
        <v>1.1381749355739303</v>
      </c>
      <c r="AC43" s="249"/>
      <c r="AD43" s="249"/>
      <c r="AE43" s="249"/>
      <c r="AF43" s="249"/>
      <c r="AG43" s="250"/>
    </row>
    <row r="44" spans="1:33" ht="14.1" customHeight="1" thickBot="1" x14ac:dyDescent="0.3">
      <c r="A44" s="247" t="s">
        <v>164</v>
      </c>
      <c r="B44" s="248"/>
      <c r="C44" s="248"/>
      <c r="D44" s="248"/>
      <c r="E44" s="248"/>
      <c r="F44" s="248"/>
      <c r="G44" s="248"/>
      <c r="H44" s="248"/>
      <c r="I44" s="248"/>
      <c r="J44" s="248"/>
      <c r="K44" s="248"/>
      <c r="L44" s="111" t="str">
        <f>IF(L43&lt;1,"PASS","FAIL")</f>
        <v>PASS</v>
      </c>
      <c r="M44" s="111"/>
      <c r="N44" s="111"/>
      <c r="O44" s="111"/>
      <c r="P44" s="111"/>
      <c r="Q44" s="251" t="s">
        <v>164</v>
      </c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157" t="str">
        <f>IF(AB43&lt;1,"PASS","FAIL")</f>
        <v>FAIL</v>
      </c>
      <c r="AC44" s="157"/>
      <c r="AD44" s="157"/>
      <c r="AE44" s="157"/>
      <c r="AF44" s="157"/>
      <c r="AG44" s="252"/>
    </row>
    <row r="45" spans="1:33" ht="15" customHeight="1" thickBot="1" x14ac:dyDescent="0.3">
      <c r="A45" s="63" t="s">
        <v>7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5"/>
    </row>
    <row r="46" spans="1:33" ht="14.1" customHeight="1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113" t="s">
        <v>8</v>
      </c>
      <c r="O46" s="114"/>
      <c r="P46" s="114"/>
      <c r="Q46" s="114"/>
      <c r="R46" s="114"/>
      <c r="S46" s="114"/>
      <c r="T46" s="114"/>
      <c r="U46" s="114"/>
      <c r="V46" s="114"/>
      <c r="W46" s="114"/>
      <c r="X46" s="114" t="s">
        <v>22</v>
      </c>
      <c r="Y46" s="114"/>
      <c r="Z46" s="114"/>
      <c r="AA46" s="114"/>
      <c r="AB46" s="114"/>
      <c r="AC46" s="114"/>
      <c r="AD46" s="114"/>
      <c r="AE46" s="114"/>
      <c r="AF46" s="114"/>
      <c r="AG46" s="115"/>
    </row>
    <row r="47" spans="1:33" ht="14.1" customHeight="1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17" t="s">
        <v>10</v>
      </c>
      <c r="O47" s="118"/>
      <c r="P47" s="118"/>
      <c r="Q47" s="108"/>
      <c r="R47" s="122">
        <f>'Calculations and Parameters'!E4</f>
        <v>40.75</v>
      </c>
      <c r="S47" s="122"/>
      <c r="T47" s="122"/>
      <c r="U47" s="122"/>
      <c r="V47" s="108" t="s">
        <v>35</v>
      </c>
      <c r="W47" s="109"/>
      <c r="X47" s="109" t="s">
        <v>172</v>
      </c>
      <c r="Y47" s="109"/>
      <c r="Z47" s="109"/>
      <c r="AA47" s="109"/>
      <c r="AB47" s="109"/>
      <c r="AC47" s="136">
        <f>'Calculations and Parameters'!K5</f>
        <v>1.3931623931623931</v>
      </c>
      <c r="AD47" s="137"/>
      <c r="AE47" s="137"/>
      <c r="AF47" s="137"/>
      <c r="AG47" s="138"/>
    </row>
    <row r="48" spans="1:33" ht="14.1" customHeight="1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119" t="s">
        <v>11</v>
      </c>
      <c r="O48" s="120"/>
      <c r="P48" s="120"/>
      <c r="Q48" s="106"/>
      <c r="R48" s="123">
        <f>'Calculations and Parameters'!E5</f>
        <v>29.25</v>
      </c>
      <c r="S48" s="123"/>
      <c r="T48" s="123"/>
      <c r="U48" s="123"/>
      <c r="V48" s="106" t="s">
        <v>35</v>
      </c>
      <c r="W48" s="107"/>
      <c r="X48" s="107" t="s">
        <v>24</v>
      </c>
      <c r="Y48" s="107"/>
      <c r="Z48" s="107"/>
      <c r="AA48" s="107"/>
      <c r="AB48" s="107"/>
      <c r="AC48" s="133">
        <f>'Calculations and Parameters'!K6</f>
        <v>1.75719901720224</v>
      </c>
      <c r="AD48" s="130"/>
      <c r="AE48" s="130"/>
      <c r="AF48" s="130"/>
      <c r="AG48" s="134"/>
    </row>
    <row r="49" spans="1:33" ht="14.1" customHeight="1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119" t="s">
        <v>12</v>
      </c>
      <c r="O49" s="120"/>
      <c r="P49" s="120"/>
      <c r="Q49" s="106"/>
      <c r="R49" s="123">
        <f>'Calculations and Parameters'!E6</f>
        <v>37</v>
      </c>
      <c r="S49" s="123"/>
      <c r="T49" s="123"/>
      <c r="U49" s="123"/>
      <c r="V49" s="106" t="s">
        <v>35</v>
      </c>
      <c r="W49" s="107"/>
      <c r="X49" s="107" t="s">
        <v>25</v>
      </c>
      <c r="Y49" s="107"/>
      <c r="Z49" s="107"/>
      <c r="AA49" s="107"/>
      <c r="AB49" s="107"/>
      <c r="AC49" s="133">
        <f>'Calculations and Parameters'!K7</f>
        <v>6.6148330350315048</v>
      </c>
      <c r="AD49" s="130"/>
      <c r="AE49" s="130"/>
      <c r="AF49" s="130"/>
      <c r="AG49" s="134"/>
    </row>
    <row r="50" spans="1:33" ht="14.1" customHeight="1" x14ac:dyDescent="0.25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119" t="s">
        <v>13</v>
      </c>
      <c r="O50" s="120"/>
      <c r="P50" s="120"/>
      <c r="Q50" s="106"/>
      <c r="R50" s="123">
        <f>'Calculations and Parameters'!E7</f>
        <v>3.38</v>
      </c>
      <c r="S50" s="123"/>
      <c r="T50" s="123"/>
      <c r="U50" s="123"/>
      <c r="V50" s="106" t="s">
        <v>35</v>
      </c>
      <c r="W50" s="107"/>
      <c r="X50" s="107" t="s">
        <v>26</v>
      </c>
      <c r="Y50" s="107"/>
      <c r="Z50" s="107"/>
      <c r="AA50" s="107"/>
      <c r="AB50" s="107"/>
      <c r="AC50" s="133">
        <f>'Calculations and Parameters'!K8</f>
        <v>6.0195114149393634</v>
      </c>
      <c r="AD50" s="130"/>
      <c r="AE50" s="130"/>
      <c r="AF50" s="130"/>
      <c r="AG50" s="134"/>
    </row>
    <row r="51" spans="1:33" ht="14.1" customHeight="1" x14ac:dyDescent="0.2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19" t="s">
        <v>14</v>
      </c>
      <c r="O51" s="120"/>
      <c r="P51" s="120"/>
      <c r="Q51" s="106"/>
      <c r="R51" s="123">
        <f>'Calculations and Parameters'!E8</f>
        <v>1.25</v>
      </c>
      <c r="S51" s="123"/>
      <c r="T51" s="123"/>
      <c r="U51" s="123"/>
      <c r="V51" s="106" t="s">
        <v>35</v>
      </c>
      <c r="W51" s="107"/>
      <c r="X51" s="107" t="s">
        <v>27</v>
      </c>
      <c r="Y51" s="107"/>
      <c r="Z51" s="107"/>
      <c r="AA51" s="107"/>
      <c r="AB51" s="107"/>
      <c r="AC51" s="133">
        <f>'Calculations and Parameters'!K9</f>
        <v>3.1256211180124227</v>
      </c>
      <c r="AD51" s="130"/>
      <c r="AE51" s="130"/>
      <c r="AF51" s="130"/>
      <c r="AG51" s="134"/>
    </row>
    <row r="52" spans="1:33" ht="14.1" customHeight="1" x14ac:dyDescent="0.2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19" t="s">
        <v>96</v>
      </c>
      <c r="O52" s="120"/>
      <c r="P52" s="120"/>
      <c r="Q52" s="106"/>
      <c r="R52" s="123">
        <f>'Calculations and Parameters'!E9</f>
        <v>0.75</v>
      </c>
      <c r="S52" s="123"/>
      <c r="T52" s="123"/>
      <c r="U52" s="123"/>
      <c r="V52" s="106" t="s">
        <v>35</v>
      </c>
      <c r="W52" s="107"/>
      <c r="X52" s="135" t="s">
        <v>186</v>
      </c>
      <c r="Y52" s="135"/>
      <c r="Z52" s="135"/>
      <c r="AA52" s="135"/>
      <c r="AB52" s="135"/>
      <c r="AC52" s="133">
        <f>'Calculations and Parameters'!K10</f>
        <v>2.92</v>
      </c>
      <c r="AD52" s="130"/>
      <c r="AE52" s="130"/>
      <c r="AF52" s="130"/>
      <c r="AG52" s="134"/>
    </row>
    <row r="53" spans="1:33" ht="14.1" customHeight="1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19" t="s">
        <v>97</v>
      </c>
      <c r="O53" s="120"/>
      <c r="P53" s="120"/>
      <c r="Q53" s="106"/>
      <c r="R53" s="123">
        <f>'Calculations and Parameters'!E10</f>
        <v>2.19</v>
      </c>
      <c r="S53" s="123"/>
      <c r="T53" s="123"/>
      <c r="U53" s="123"/>
      <c r="V53" s="106" t="s">
        <v>35</v>
      </c>
      <c r="W53" s="107"/>
      <c r="X53" s="135" t="s">
        <v>98</v>
      </c>
      <c r="Y53" s="135"/>
      <c r="Z53" s="135"/>
      <c r="AA53" s="135"/>
      <c r="AB53" s="135"/>
      <c r="AC53" s="133">
        <f>'Calculations and Parameters'!K11</f>
        <v>4.6837484987987983</v>
      </c>
      <c r="AD53" s="130"/>
      <c r="AE53" s="130"/>
      <c r="AF53" s="130"/>
      <c r="AG53" s="134"/>
    </row>
    <row r="54" spans="1:33" ht="14.1" customHeight="1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19" t="s">
        <v>17</v>
      </c>
      <c r="O54" s="120"/>
      <c r="P54" s="120"/>
      <c r="Q54" s="106"/>
      <c r="R54" s="121">
        <f>'Calculations and Parameters'!E11</f>
        <v>1.6850000000000001</v>
      </c>
      <c r="S54" s="121"/>
      <c r="T54" s="121"/>
      <c r="U54" s="121"/>
      <c r="V54" s="106" t="s">
        <v>35</v>
      </c>
      <c r="W54" s="107"/>
      <c r="X54" s="135" t="s">
        <v>99</v>
      </c>
      <c r="Y54" s="135"/>
      <c r="Z54" s="135"/>
      <c r="AA54" s="135"/>
      <c r="AB54" s="135"/>
      <c r="AC54" s="133">
        <f>'Calculations and Parameters'!K12</f>
        <v>0.26688025634181189</v>
      </c>
      <c r="AD54" s="130"/>
      <c r="AE54" s="130"/>
      <c r="AF54" s="130"/>
      <c r="AG54" s="134"/>
    </row>
    <row r="55" spans="1:33" ht="14.1" customHeight="1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19" t="s">
        <v>18</v>
      </c>
      <c r="O55" s="120"/>
      <c r="P55" s="120"/>
      <c r="Q55" s="106"/>
      <c r="R55" s="123">
        <f>'Calculations and Parameters'!E15</f>
        <v>31</v>
      </c>
      <c r="S55" s="123"/>
      <c r="T55" s="123"/>
      <c r="U55" s="123"/>
      <c r="V55" s="106" t="s">
        <v>35</v>
      </c>
      <c r="W55" s="107"/>
      <c r="X55" s="135" t="s">
        <v>95</v>
      </c>
      <c r="Y55" s="135"/>
      <c r="Z55" s="135"/>
      <c r="AA55" s="135"/>
      <c r="AB55" s="135"/>
      <c r="AC55" s="133">
        <f>'Calculations and Parameters'!K13</f>
        <v>0.87879397756742261</v>
      </c>
      <c r="AD55" s="130"/>
      <c r="AE55" s="130"/>
      <c r="AF55" s="130"/>
      <c r="AG55" s="134"/>
    </row>
    <row r="56" spans="1:33" ht="14.1" customHeight="1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119" t="s">
        <v>19</v>
      </c>
      <c r="O56" s="120"/>
      <c r="P56" s="120"/>
      <c r="Q56" s="106"/>
      <c r="R56" s="123">
        <f>'Calculations and Parameters'!E16</f>
        <v>29</v>
      </c>
      <c r="S56" s="123"/>
      <c r="T56" s="123"/>
      <c r="U56" s="123"/>
      <c r="V56" s="106" t="s">
        <v>35</v>
      </c>
      <c r="W56" s="107"/>
      <c r="X56" s="135" t="s">
        <v>32</v>
      </c>
      <c r="Y56" s="135"/>
      <c r="Z56" s="135"/>
      <c r="AA56" s="135"/>
      <c r="AB56" s="135"/>
      <c r="AC56" s="133">
        <f>'Calculations and Parameters'!K14</f>
        <v>0.2700788910186806</v>
      </c>
      <c r="AD56" s="130"/>
      <c r="AE56" s="130"/>
      <c r="AF56" s="130"/>
      <c r="AG56" s="134"/>
    </row>
    <row r="57" spans="1:33" x14ac:dyDescent="0.2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119" t="s">
        <v>20</v>
      </c>
      <c r="O57" s="120"/>
      <c r="P57" s="120"/>
      <c r="Q57" s="106"/>
      <c r="R57" s="130">
        <f>'Calculations and Parameters'!E17</f>
        <v>1</v>
      </c>
      <c r="S57" s="130"/>
      <c r="T57" s="130"/>
      <c r="U57" s="130"/>
      <c r="V57" s="106" t="s">
        <v>35</v>
      </c>
      <c r="W57" s="107"/>
      <c r="X57" s="135" t="s">
        <v>100</v>
      </c>
      <c r="Y57" s="135"/>
      <c r="Z57" s="135"/>
      <c r="AA57" s="135"/>
      <c r="AB57" s="135"/>
      <c r="AC57" s="133">
        <f>'Calculations and Parameters'!K15</f>
        <v>0.18762620960386739</v>
      </c>
      <c r="AD57" s="130"/>
      <c r="AE57" s="130"/>
      <c r="AF57" s="130"/>
      <c r="AG57" s="134"/>
    </row>
    <row r="58" spans="1:33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124" t="s">
        <v>188</v>
      </c>
      <c r="O58" s="125"/>
      <c r="P58" s="125"/>
      <c r="Q58" s="126"/>
      <c r="R58" s="130">
        <f>'Calculations and Parameters'!E18</f>
        <v>0.5</v>
      </c>
      <c r="S58" s="130"/>
      <c r="T58" s="130"/>
      <c r="U58" s="130"/>
      <c r="V58" s="106" t="s">
        <v>35</v>
      </c>
      <c r="W58" s="107"/>
      <c r="X58" s="135" t="s">
        <v>187</v>
      </c>
      <c r="Y58" s="135"/>
      <c r="Z58" s="135"/>
      <c r="AA58" s="135"/>
      <c r="AB58" s="135"/>
      <c r="AC58" s="133">
        <f>'Calculations and Parameters'!K16</f>
        <v>64.527425585487308</v>
      </c>
      <c r="AD58" s="130"/>
      <c r="AE58" s="130"/>
      <c r="AF58" s="130"/>
      <c r="AG58" s="134"/>
    </row>
    <row r="59" spans="1:33" ht="15.75" thickBot="1" x14ac:dyDescent="0.3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127"/>
      <c r="O59" s="128"/>
      <c r="P59" s="128"/>
      <c r="Q59" s="129"/>
      <c r="R59" s="131"/>
      <c r="S59" s="131"/>
      <c r="T59" s="131"/>
      <c r="U59" s="131"/>
      <c r="V59" s="129"/>
      <c r="W59" s="132"/>
      <c r="X59" s="139" t="s">
        <v>82</v>
      </c>
      <c r="Y59" s="139"/>
      <c r="Z59" s="139"/>
      <c r="AA59" s="139"/>
      <c r="AB59" s="139"/>
      <c r="AC59" s="140">
        <f>'Calculations and Parameters'!E110</f>
        <v>4.8314985102273207</v>
      </c>
      <c r="AD59" s="141"/>
      <c r="AE59" s="141"/>
      <c r="AF59" s="141"/>
      <c r="AG59" s="142"/>
    </row>
    <row r="60" spans="1:33" x14ac:dyDescent="0.25">
      <c r="A60" s="104" t="s">
        <v>165</v>
      </c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 t="s">
        <v>168</v>
      </c>
      <c r="N60" s="105"/>
      <c r="O60" s="105"/>
      <c r="P60" s="105" t="s">
        <v>169</v>
      </c>
      <c r="Q60" s="105"/>
      <c r="R60" s="268" t="s">
        <v>171</v>
      </c>
      <c r="S60" s="268"/>
      <c r="T60" s="268" t="s">
        <v>170</v>
      </c>
      <c r="U60" s="269"/>
      <c r="V60" s="253" t="s">
        <v>242</v>
      </c>
      <c r="W60" s="254"/>
      <c r="X60" s="254"/>
      <c r="Y60" s="254"/>
      <c r="Z60" s="254"/>
      <c r="AA60" s="254"/>
      <c r="AB60" s="254"/>
      <c r="AC60" s="254"/>
      <c r="AD60" s="254"/>
      <c r="AE60" s="254"/>
      <c r="AF60" s="254"/>
      <c r="AG60" s="255"/>
    </row>
    <row r="61" spans="1:33" x14ac:dyDescent="0.25">
      <c r="A61" s="267" t="s">
        <v>12</v>
      </c>
      <c r="B61" s="246"/>
      <c r="C61" s="270" t="s">
        <v>337</v>
      </c>
      <c r="D61" s="270"/>
      <c r="E61" s="270"/>
      <c r="F61" s="270"/>
      <c r="G61" s="270"/>
      <c r="H61" s="270"/>
      <c r="I61" s="270"/>
      <c r="J61" s="270"/>
      <c r="K61" s="270"/>
      <c r="L61" s="270"/>
      <c r="M61" s="245">
        <v>43850</v>
      </c>
      <c r="N61" s="246"/>
      <c r="O61" s="246"/>
      <c r="P61" s="246" t="s">
        <v>301</v>
      </c>
      <c r="Q61" s="246"/>
      <c r="R61" s="243"/>
      <c r="S61" s="243"/>
      <c r="T61" s="243"/>
      <c r="U61" s="244"/>
      <c r="V61" s="259" t="s">
        <v>334</v>
      </c>
      <c r="W61" s="260"/>
      <c r="X61" s="260"/>
      <c r="Y61" s="260"/>
      <c r="Z61" s="260"/>
      <c r="AA61" s="260"/>
      <c r="AB61" s="260"/>
      <c r="AC61" s="260"/>
      <c r="AD61" s="260"/>
      <c r="AE61" s="260"/>
      <c r="AF61" s="260"/>
      <c r="AG61" s="261"/>
    </row>
    <row r="62" spans="1:33" x14ac:dyDescent="0.25">
      <c r="A62" s="267" t="s">
        <v>11</v>
      </c>
      <c r="B62" s="246"/>
      <c r="C62" s="270" t="s">
        <v>300</v>
      </c>
      <c r="D62" s="270"/>
      <c r="E62" s="270"/>
      <c r="F62" s="270"/>
      <c r="G62" s="270"/>
      <c r="H62" s="270"/>
      <c r="I62" s="270"/>
      <c r="J62" s="270"/>
      <c r="K62" s="270"/>
      <c r="L62" s="270"/>
      <c r="M62" s="245">
        <v>43845</v>
      </c>
      <c r="N62" s="246"/>
      <c r="O62" s="246"/>
      <c r="P62" s="246" t="s">
        <v>241</v>
      </c>
      <c r="Q62" s="246"/>
      <c r="R62" s="243" t="s">
        <v>301</v>
      </c>
      <c r="S62" s="243"/>
      <c r="T62" s="243" t="s">
        <v>301</v>
      </c>
      <c r="U62" s="244"/>
      <c r="V62" s="262"/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4"/>
    </row>
    <row r="63" spans="1:33" ht="15.75" thickBot="1" x14ac:dyDescent="0.3">
      <c r="A63" s="61" t="s">
        <v>10</v>
      </c>
      <c r="B63" s="62"/>
      <c r="C63" s="271" t="s">
        <v>297</v>
      </c>
      <c r="D63" s="271"/>
      <c r="E63" s="271"/>
      <c r="F63" s="271"/>
      <c r="G63" s="271"/>
      <c r="H63" s="271"/>
      <c r="I63" s="271"/>
      <c r="J63" s="271"/>
      <c r="K63" s="271"/>
      <c r="L63" s="271"/>
      <c r="M63" s="272" t="s">
        <v>281</v>
      </c>
      <c r="N63" s="272"/>
      <c r="O63" s="272"/>
      <c r="P63" s="62" t="s">
        <v>241</v>
      </c>
      <c r="Q63" s="62"/>
      <c r="R63" s="238"/>
      <c r="S63" s="238"/>
      <c r="T63" s="238"/>
      <c r="U63" s="239"/>
      <c r="V63" s="240" t="s">
        <v>166</v>
      </c>
      <c r="W63" s="241"/>
      <c r="X63" s="241"/>
      <c r="Y63" s="242"/>
      <c r="Z63" s="256" t="s">
        <v>167</v>
      </c>
      <c r="AA63" s="257"/>
      <c r="AB63" s="257"/>
      <c r="AC63" s="257"/>
      <c r="AD63" s="241" t="s">
        <v>165</v>
      </c>
      <c r="AE63" s="258"/>
      <c r="AF63" s="265" t="s">
        <v>12</v>
      </c>
      <c r="AG63" s="266"/>
    </row>
  </sheetData>
  <mergeCells count="330">
    <mergeCell ref="V60:AG60"/>
    <mergeCell ref="Z63:AC63"/>
    <mergeCell ref="AD63:AE63"/>
    <mergeCell ref="V61:AG62"/>
    <mergeCell ref="P62:Q62"/>
    <mergeCell ref="R62:S62"/>
    <mergeCell ref="T62:U62"/>
    <mergeCell ref="AF63:AG63"/>
    <mergeCell ref="A63:B63"/>
    <mergeCell ref="A62:B62"/>
    <mergeCell ref="A61:B61"/>
    <mergeCell ref="A60:B60"/>
    <mergeCell ref="M60:O60"/>
    <mergeCell ref="T60:U60"/>
    <mergeCell ref="R60:S60"/>
    <mergeCell ref="P60:Q60"/>
    <mergeCell ref="C60:L60"/>
    <mergeCell ref="C61:L61"/>
    <mergeCell ref="C62:L62"/>
    <mergeCell ref="C63:L63"/>
    <mergeCell ref="M61:O61"/>
    <mergeCell ref="P61:Q61"/>
    <mergeCell ref="M63:O63"/>
    <mergeCell ref="P63:Q63"/>
    <mergeCell ref="A40:AG40"/>
    <mergeCell ref="R63:S63"/>
    <mergeCell ref="T63:U63"/>
    <mergeCell ref="V63:Y63"/>
    <mergeCell ref="R61:S61"/>
    <mergeCell ref="T61:U61"/>
    <mergeCell ref="M62:O62"/>
    <mergeCell ref="A41:P41"/>
    <mergeCell ref="Q41:AG41"/>
    <mergeCell ref="A43:K43"/>
    <mergeCell ref="L43:P43"/>
    <mergeCell ref="Q43:AA43"/>
    <mergeCell ref="AB43:AG43"/>
    <mergeCell ref="A44:K44"/>
    <mergeCell ref="L44:P44"/>
    <mergeCell ref="Q44:AA44"/>
    <mergeCell ref="AB44:AG44"/>
    <mergeCell ref="A42:K42"/>
    <mergeCell ref="L42:P42"/>
    <mergeCell ref="Q42:AA42"/>
    <mergeCell ref="AB42:AG42"/>
    <mergeCell ref="X50:AB50"/>
    <mergeCell ref="AC50:AG50"/>
    <mergeCell ref="X51:AB51"/>
    <mergeCell ref="A38:G39"/>
    <mergeCell ref="S32:U33"/>
    <mergeCell ref="O32:R33"/>
    <mergeCell ref="A32:G33"/>
    <mergeCell ref="S38:U39"/>
    <mergeCell ref="O38:R39"/>
    <mergeCell ref="A36:G36"/>
    <mergeCell ref="H36:N36"/>
    <mergeCell ref="O36:R36"/>
    <mergeCell ref="S36:U36"/>
    <mergeCell ref="A37:G37"/>
    <mergeCell ref="H37:N37"/>
    <mergeCell ref="O37:R37"/>
    <mergeCell ref="S37:U37"/>
    <mergeCell ref="A35:G35"/>
    <mergeCell ref="H35:N35"/>
    <mergeCell ref="O35:R35"/>
    <mergeCell ref="S35:U35"/>
    <mergeCell ref="H38:K38"/>
    <mergeCell ref="H39:K39"/>
    <mergeCell ref="L38:N38"/>
    <mergeCell ref="L39:N39"/>
    <mergeCell ref="S30:U30"/>
    <mergeCell ref="A28:U28"/>
    <mergeCell ref="A34:U34"/>
    <mergeCell ref="A31:G31"/>
    <mergeCell ref="H31:N31"/>
    <mergeCell ref="S31:U31"/>
    <mergeCell ref="O31:R31"/>
    <mergeCell ref="A29:G29"/>
    <mergeCell ref="H29:N29"/>
    <mergeCell ref="O29:R29"/>
    <mergeCell ref="S29:U29"/>
    <mergeCell ref="H32:K32"/>
    <mergeCell ref="L32:N32"/>
    <mergeCell ref="H33:K33"/>
    <mergeCell ref="L33:N33"/>
    <mergeCell ref="Y32:AB33"/>
    <mergeCell ref="V32:X33"/>
    <mergeCell ref="AE38:AG39"/>
    <mergeCell ref="AC38:AD39"/>
    <mergeCell ref="Y38:AB39"/>
    <mergeCell ref="V38:X39"/>
    <mergeCell ref="V34:AD34"/>
    <mergeCell ref="V36:X36"/>
    <mergeCell ref="Y36:AB36"/>
    <mergeCell ref="AC36:AD36"/>
    <mergeCell ref="AE36:AG36"/>
    <mergeCell ref="V37:X37"/>
    <mergeCell ref="Y37:AB37"/>
    <mergeCell ref="AC37:AD37"/>
    <mergeCell ref="AE37:AG37"/>
    <mergeCell ref="AE34:AG34"/>
    <mergeCell ref="V35:X35"/>
    <mergeCell ref="Y35:AB35"/>
    <mergeCell ref="AC35:AD35"/>
    <mergeCell ref="AE35:AG35"/>
    <mergeCell ref="AE32:AG33"/>
    <mergeCell ref="AC32:AD33"/>
    <mergeCell ref="V31:X31"/>
    <mergeCell ref="Y31:AB31"/>
    <mergeCell ref="AC31:AD31"/>
    <mergeCell ref="AE31:AG31"/>
    <mergeCell ref="AE28:AG28"/>
    <mergeCell ref="AC29:AD29"/>
    <mergeCell ref="Y29:AB29"/>
    <mergeCell ref="V29:X29"/>
    <mergeCell ref="V28:AD28"/>
    <mergeCell ref="AE29:AG29"/>
    <mergeCell ref="Q12:T12"/>
    <mergeCell ref="U12:V12"/>
    <mergeCell ref="W12:AA12"/>
    <mergeCell ref="L13:P13"/>
    <mergeCell ref="Q13:T13"/>
    <mergeCell ref="U13:V13"/>
    <mergeCell ref="W13:AA13"/>
    <mergeCell ref="V30:X30"/>
    <mergeCell ref="Y30:AB30"/>
    <mergeCell ref="Q15:T15"/>
    <mergeCell ref="U15:V15"/>
    <mergeCell ref="W15:AA15"/>
    <mergeCell ref="AB15:AE15"/>
    <mergeCell ref="L26:Q26"/>
    <mergeCell ref="AC18:AE18"/>
    <mergeCell ref="X20:AB20"/>
    <mergeCell ref="N18:R18"/>
    <mergeCell ref="L20:M20"/>
    <mergeCell ref="A27:AG27"/>
    <mergeCell ref="AC30:AD30"/>
    <mergeCell ref="AE30:AG30"/>
    <mergeCell ref="A30:G30"/>
    <mergeCell ref="H30:N30"/>
    <mergeCell ref="O30:R30"/>
    <mergeCell ref="AF15:AG15"/>
    <mergeCell ref="L14:P14"/>
    <mergeCell ref="Q14:T14"/>
    <mergeCell ref="U14:V14"/>
    <mergeCell ref="W14:AA14"/>
    <mergeCell ref="AB14:AE14"/>
    <mergeCell ref="AF14:AG14"/>
    <mergeCell ref="A11:K11"/>
    <mergeCell ref="A26:F26"/>
    <mergeCell ref="A25:F25"/>
    <mergeCell ref="A24:F24"/>
    <mergeCell ref="G24:K24"/>
    <mergeCell ref="J15:K15"/>
    <mergeCell ref="J14:K14"/>
    <mergeCell ref="A15:E15"/>
    <mergeCell ref="A14:E14"/>
    <mergeCell ref="A16:AG16"/>
    <mergeCell ref="A23:AG23"/>
    <mergeCell ref="A13:E13"/>
    <mergeCell ref="A12:E12"/>
    <mergeCell ref="L12:P12"/>
    <mergeCell ref="J13:K13"/>
    <mergeCell ref="J12:K12"/>
    <mergeCell ref="F15:I15"/>
    <mergeCell ref="F14:I14"/>
    <mergeCell ref="F13:I13"/>
    <mergeCell ref="F12:I12"/>
    <mergeCell ref="AF12:AG13"/>
    <mergeCell ref="AB12:AE13"/>
    <mergeCell ref="L11:AG11"/>
    <mergeCell ref="L15:P15"/>
    <mergeCell ref="R25:V25"/>
    <mergeCell ref="R24:V24"/>
    <mergeCell ref="L25:Q25"/>
    <mergeCell ref="L24:Q24"/>
    <mergeCell ref="V22:W22"/>
    <mergeCell ref="X22:AB22"/>
    <mergeCell ref="AC22:AE22"/>
    <mergeCell ref="AF22:AG22"/>
    <mergeCell ref="D21:M21"/>
    <mergeCell ref="D22:H22"/>
    <mergeCell ref="I22:K22"/>
    <mergeCell ref="L22:M22"/>
    <mergeCell ref="N22:R22"/>
    <mergeCell ref="S22:U22"/>
    <mergeCell ref="AF18:AG18"/>
    <mergeCell ref="AC20:AE20"/>
    <mergeCell ref="AC19:AE19"/>
    <mergeCell ref="S19:U19"/>
    <mergeCell ref="V19:W19"/>
    <mergeCell ref="S20:U20"/>
    <mergeCell ref="V20:W20"/>
    <mergeCell ref="N20:R20"/>
    <mergeCell ref="N19:R19"/>
    <mergeCell ref="G26:K26"/>
    <mergeCell ref="G25:K25"/>
    <mergeCell ref="AC26:AG26"/>
    <mergeCell ref="AC25:AG25"/>
    <mergeCell ref="AC24:AG24"/>
    <mergeCell ref="W26:AB26"/>
    <mergeCell ref="W25:AB25"/>
    <mergeCell ref="W24:AB24"/>
    <mergeCell ref="R26:V26"/>
    <mergeCell ref="A18:C21"/>
    <mergeCell ref="A22:C22"/>
    <mergeCell ref="A17:C17"/>
    <mergeCell ref="X17:AG17"/>
    <mergeCell ref="N17:W17"/>
    <mergeCell ref="D17:M17"/>
    <mergeCell ref="S18:U18"/>
    <mergeCell ref="V18:W18"/>
    <mergeCell ref="X19:AB19"/>
    <mergeCell ref="X18:AB18"/>
    <mergeCell ref="AF21:AG21"/>
    <mergeCell ref="AC21:AE21"/>
    <mergeCell ref="X21:AB21"/>
    <mergeCell ref="N21:W21"/>
    <mergeCell ref="D20:H20"/>
    <mergeCell ref="D19:H19"/>
    <mergeCell ref="D18:H18"/>
    <mergeCell ref="AF20:AG20"/>
    <mergeCell ref="AF19:AG19"/>
    <mergeCell ref="I20:K20"/>
    <mergeCell ref="L19:M19"/>
    <mergeCell ref="I19:K19"/>
    <mergeCell ref="L18:M18"/>
    <mergeCell ref="I18:K18"/>
    <mergeCell ref="X58:AB58"/>
    <mergeCell ref="AC58:AG58"/>
    <mergeCell ref="X59:AB59"/>
    <mergeCell ref="AC59:AG59"/>
    <mergeCell ref="X55:AB55"/>
    <mergeCell ref="AC55:AG55"/>
    <mergeCell ref="X56:AB56"/>
    <mergeCell ref="AC56:AG56"/>
    <mergeCell ref="X57:AB57"/>
    <mergeCell ref="AC57:AG57"/>
    <mergeCell ref="AC51:AG51"/>
    <mergeCell ref="X52:AB52"/>
    <mergeCell ref="AC52:AG52"/>
    <mergeCell ref="X53:AB53"/>
    <mergeCell ref="AC53:AG53"/>
    <mergeCell ref="X54:AB54"/>
    <mergeCell ref="AC54:AG54"/>
    <mergeCell ref="AC47:AG47"/>
    <mergeCell ref="X47:AB47"/>
    <mergeCell ref="X48:AB48"/>
    <mergeCell ref="AC48:AG48"/>
    <mergeCell ref="X49:AB49"/>
    <mergeCell ref="AC49:AG49"/>
    <mergeCell ref="N57:Q57"/>
    <mergeCell ref="N58:Q58"/>
    <mergeCell ref="N59:Q59"/>
    <mergeCell ref="R55:U55"/>
    <mergeCell ref="R56:U56"/>
    <mergeCell ref="R57:U57"/>
    <mergeCell ref="R58:U58"/>
    <mergeCell ref="R59:U59"/>
    <mergeCell ref="V59:W59"/>
    <mergeCell ref="N56:Q56"/>
    <mergeCell ref="N55:Q55"/>
    <mergeCell ref="V53:W53"/>
    <mergeCell ref="V54:W54"/>
    <mergeCell ref="V55:W55"/>
    <mergeCell ref="V56:W56"/>
    <mergeCell ref="V57:W57"/>
    <mergeCell ref="V58:W58"/>
    <mergeCell ref="V51:W51"/>
    <mergeCell ref="V50:W50"/>
    <mergeCell ref="V49:W49"/>
    <mergeCell ref="N52:Q52"/>
    <mergeCell ref="N53:Q53"/>
    <mergeCell ref="N54:Q54"/>
    <mergeCell ref="R54:U54"/>
    <mergeCell ref="R47:U47"/>
    <mergeCell ref="R48:U48"/>
    <mergeCell ref="R49:U49"/>
    <mergeCell ref="R50:U50"/>
    <mergeCell ref="R51:U51"/>
    <mergeCell ref="R52:U52"/>
    <mergeCell ref="R53:U53"/>
    <mergeCell ref="A2:D2"/>
    <mergeCell ref="V48:W48"/>
    <mergeCell ref="V47:W47"/>
    <mergeCell ref="V52:W52"/>
    <mergeCell ref="L8:Q8"/>
    <mergeCell ref="L7:Q7"/>
    <mergeCell ref="L9:V9"/>
    <mergeCell ref="W9:AG9"/>
    <mergeCell ref="A45:AG45"/>
    <mergeCell ref="N46:W46"/>
    <mergeCell ref="X46:AG46"/>
    <mergeCell ref="AC7:AE7"/>
    <mergeCell ref="AC8:AE8"/>
    <mergeCell ref="AF7:AG7"/>
    <mergeCell ref="AF8:AG8"/>
    <mergeCell ref="U8:V8"/>
    <mergeCell ref="U7:V7"/>
    <mergeCell ref="W8:AB8"/>
    <mergeCell ref="W7:AB7"/>
    <mergeCell ref="N47:Q47"/>
    <mergeCell ref="N48:Q48"/>
    <mergeCell ref="N49:Q49"/>
    <mergeCell ref="N50:Q50"/>
    <mergeCell ref="N51:Q51"/>
    <mergeCell ref="A3:D3"/>
    <mergeCell ref="A1:AG1"/>
    <mergeCell ref="E2:AG2"/>
    <mergeCell ref="E3:AG3"/>
    <mergeCell ref="A4:AG4"/>
    <mergeCell ref="A10:AG10"/>
    <mergeCell ref="L5:AG5"/>
    <mergeCell ref="L6:V6"/>
    <mergeCell ref="W6:AG6"/>
    <mergeCell ref="R7:T7"/>
    <mergeCell ref="R8:T8"/>
    <mergeCell ref="G9:I9"/>
    <mergeCell ref="J5:K5"/>
    <mergeCell ref="J6:K6"/>
    <mergeCell ref="J9:K9"/>
    <mergeCell ref="G7:K7"/>
    <mergeCell ref="G8:K8"/>
    <mergeCell ref="A5:F5"/>
    <mergeCell ref="A6:F6"/>
    <mergeCell ref="A7:F7"/>
    <mergeCell ref="A8:F8"/>
    <mergeCell ref="A9:F9"/>
    <mergeCell ref="G5:I5"/>
    <mergeCell ref="G6:I6"/>
  </mergeCells>
  <phoneticPr fontId="2" type="noConversion"/>
  <conditionalFormatting sqref="L44:P44">
    <cfRule type="cellIs" dxfId="3" priority="2" operator="equal">
      <formula>"PASS"</formula>
    </cfRule>
    <cfRule type="cellIs" dxfId="2" priority="3" operator="lessThan">
      <formula>1</formula>
    </cfRule>
    <cfRule type="cellIs" dxfId="1" priority="4" operator="lessThan">
      <formula>1</formula>
    </cfRule>
  </conditionalFormatting>
  <conditionalFormatting sqref="AB44:AG44">
    <cfRule type="cellIs" dxfId="0" priority="1" operator="equal">
      <formula>"PASS"</formula>
    </cfRule>
  </conditionalFormatting>
  <printOptions horizontalCentered="1"/>
  <pageMargins left="0.25" right="0.25" top="0.84760416666666671" bottom="0.75" header="0.3" footer="0.3"/>
  <pageSetup scale="77" orientation="portrait" r:id="rId1"/>
  <headerFooter>
    <oddHeader>&amp;C
&amp;"-,Bold"&amp;UASME Integral Type Flange Calculation</oddHeader>
    <oddFooter>&amp;L&amp;8&amp;F
&amp;A&amp;C&amp;8Page &amp;P of &amp;N&amp;R&amp;8Print Date : 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916B1-259C-4DD6-8F22-2C76964FC183}">
  <sheetPr>
    <pageSetUpPr fitToPage="1"/>
  </sheetPr>
  <dimension ref="A1:AA135"/>
  <sheetViews>
    <sheetView workbookViewId="0"/>
  </sheetViews>
  <sheetFormatPr defaultRowHeight="15" x14ac:dyDescent="0.25"/>
  <cols>
    <col min="1" max="1" width="3.140625" customWidth="1"/>
    <col min="2" max="2" width="5.42578125" customWidth="1"/>
    <col min="3" max="3" width="8" customWidth="1"/>
    <col min="4" max="4" width="15.7109375" style="12" bestFit="1" customWidth="1"/>
    <col min="5" max="5" width="12.7109375" style="12" bestFit="1" customWidth="1"/>
    <col min="6" max="6" width="5" style="12" customWidth="1"/>
    <col min="7" max="7" width="44.140625" style="3" bestFit="1" customWidth="1"/>
    <col min="8" max="8" width="3.140625" style="3" customWidth="1"/>
    <col min="9" max="9" width="3.140625" customWidth="1"/>
    <col min="10" max="10" width="10.85546875" customWidth="1"/>
    <col min="12" max="14" width="9.140625" customWidth="1"/>
    <col min="15" max="16" width="3.140625" customWidth="1"/>
    <col min="17" max="23" width="9.140625" customWidth="1"/>
    <col min="24" max="24" width="3.140625" customWidth="1"/>
    <col min="25" max="25" width="9.140625" customWidth="1"/>
    <col min="26" max="26" width="3.140625" customWidth="1"/>
    <col min="27" max="27" width="12" style="1" bestFit="1" customWidth="1"/>
    <col min="28" max="39" width="3.140625" customWidth="1"/>
    <col min="40" max="40" width="17.7109375" customWidth="1"/>
    <col min="41" max="71" width="3.140625" customWidth="1"/>
  </cols>
  <sheetData>
    <row r="1" spans="1:27" x14ac:dyDescent="0.25">
      <c r="E1" s="12" t="str">
        <f>'Data Sheet Template'!E2:AG2</f>
        <v>A1-18019-190-02 34in CL300 FF Custom 33 1/4" BORE</v>
      </c>
    </row>
    <row r="2" spans="1:27" x14ac:dyDescent="0.25">
      <c r="A2" s="18" t="s">
        <v>7</v>
      </c>
      <c r="B2" s="18"/>
      <c r="C2" s="18"/>
      <c r="D2" s="18" t="s">
        <v>8</v>
      </c>
      <c r="E2" s="23"/>
      <c r="F2" s="23"/>
      <c r="G2" s="19"/>
      <c r="H2" s="19"/>
      <c r="I2" s="18"/>
      <c r="J2" s="18"/>
      <c r="K2" s="18"/>
    </row>
    <row r="3" spans="1:27" x14ac:dyDescent="0.25">
      <c r="A3" s="18"/>
      <c r="B3" s="18"/>
      <c r="F3" s="23"/>
      <c r="G3" s="19"/>
      <c r="H3" s="19"/>
      <c r="J3" s="18" t="s">
        <v>22</v>
      </c>
      <c r="K3" s="18"/>
      <c r="M3" s="18" t="s">
        <v>246</v>
      </c>
    </row>
    <row r="4" spans="1:27" x14ac:dyDescent="0.25">
      <c r="A4" s="18"/>
      <c r="B4" s="18"/>
      <c r="C4" s="59"/>
      <c r="D4" s="1" t="s">
        <v>10</v>
      </c>
      <c r="E4" s="60">
        <v>40.75</v>
      </c>
      <c r="F4" s="12" t="s">
        <v>36</v>
      </c>
      <c r="G4" s="12" t="s">
        <v>176</v>
      </c>
      <c r="H4" s="19"/>
      <c r="I4" s="18"/>
      <c r="J4" s="18"/>
      <c r="K4" s="18"/>
      <c r="M4" s="18"/>
    </row>
    <row r="5" spans="1:27" x14ac:dyDescent="0.25">
      <c r="C5" s="59"/>
      <c r="D5" s="1" t="s">
        <v>11</v>
      </c>
      <c r="E5" s="60">
        <v>29.25</v>
      </c>
      <c r="F5" s="12" t="s">
        <v>36</v>
      </c>
      <c r="G5" s="12" t="s">
        <v>177</v>
      </c>
      <c r="J5" s="1" t="s">
        <v>23</v>
      </c>
      <c r="K5" s="13">
        <f>E4/E5</f>
        <v>1.3931623931623931</v>
      </c>
      <c r="N5" s="10" t="s">
        <v>155</v>
      </c>
      <c r="Q5" s="273" t="s">
        <v>156</v>
      </c>
      <c r="R5" s="273"/>
      <c r="S5" s="273"/>
      <c r="T5" s="273"/>
      <c r="U5" s="273"/>
      <c r="V5" s="273"/>
      <c r="W5" s="273"/>
      <c r="X5" s="273"/>
      <c r="Y5" s="273"/>
      <c r="AA5" s="10" t="s">
        <v>157</v>
      </c>
    </row>
    <row r="6" spans="1:27" x14ac:dyDescent="0.25">
      <c r="C6" s="59"/>
      <c r="D6" s="1" t="s">
        <v>12</v>
      </c>
      <c r="E6" s="60">
        <v>37</v>
      </c>
      <c r="F6" s="12" t="s">
        <v>36</v>
      </c>
      <c r="G6" s="12" t="s">
        <v>178</v>
      </c>
      <c r="J6" s="1" t="s">
        <v>24</v>
      </c>
      <c r="K6" s="13">
        <f>(K5*K5*(1+8.55246*LOG10(K5))-1)/((1.0472+1.9448*K5*K5)*(K5-1))</f>
        <v>1.75719901720224</v>
      </c>
      <c r="M6" s="14" t="s">
        <v>10</v>
      </c>
      <c r="N6">
        <f>K10-1</f>
        <v>1.92</v>
      </c>
    </row>
    <row r="7" spans="1:27" x14ac:dyDescent="0.25">
      <c r="C7" s="59"/>
      <c r="D7" s="1" t="s">
        <v>13</v>
      </c>
      <c r="E7" s="60">
        <v>3.38</v>
      </c>
      <c r="F7" s="12" t="s">
        <v>36</v>
      </c>
      <c r="G7" s="12" t="s">
        <v>179</v>
      </c>
      <c r="J7" s="1" t="s">
        <v>25</v>
      </c>
      <c r="K7" s="13">
        <f>(K5*K5*(1+8.55246*LOG10(K5))-1)/((1.36136*(K5*K5-1)*(K5-1)))</f>
        <v>6.6148330350315048</v>
      </c>
      <c r="M7" s="14" t="s">
        <v>12</v>
      </c>
      <c r="N7">
        <f>43.68*POWER(E8/K11,4)</f>
        <v>0.2215891104779994</v>
      </c>
      <c r="Y7" s="36" t="s">
        <v>295</v>
      </c>
    </row>
    <row r="8" spans="1:27" x14ac:dyDescent="0.25">
      <c r="C8" s="59"/>
      <c r="D8" s="1" t="s">
        <v>14</v>
      </c>
      <c r="E8" s="60">
        <v>1.25</v>
      </c>
      <c r="F8" s="12" t="s">
        <v>36</v>
      </c>
      <c r="G8" s="12" t="s">
        <v>180</v>
      </c>
      <c r="J8" s="1" t="s">
        <v>26</v>
      </c>
      <c r="K8" s="13">
        <f>(1/(K5-1))*(0.66845+5.7169*((K5*K5*LOG10(K5))/(K5*K5-1)))</f>
        <v>6.0195114149393634</v>
      </c>
      <c r="M8" s="14" t="s">
        <v>61</v>
      </c>
      <c r="N8">
        <f>1/3+N6/12</f>
        <v>0.49333333333333329</v>
      </c>
      <c r="Q8">
        <f>1/3</f>
        <v>0.33333333333333331</v>
      </c>
      <c r="R8">
        <f>N6/12</f>
        <v>0.16</v>
      </c>
      <c r="Y8">
        <f>SUM(Q8:W8)</f>
        <v>0.49333333333333329</v>
      </c>
      <c r="AA8" s="1">
        <f>Y8-N8</f>
        <v>0</v>
      </c>
    </row>
    <row r="9" spans="1:27" ht="18" x14ac:dyDescent="0.35">
      <c r="C9" s="59"/>
      <c r="D9" s="1" t="s">
        <v>15</v>
      </c>
      <c r="E9" s="60">
        <v>0.75</v>
      </c>
      <c r="F9" s="12" t="s">
        <v>36</v>
      </c>
      <c r="G9" s="12" t="s">
        <v>181</v>
      </c>
      <c r="J9" s="1" t="s">
        <v>27</v>
      </c>
      <c r="K9" s="13">
        <f>(K5*K5+1)/(K5*K5-1)</f>
        <v>3.1256211180124227</v>
      </c>
      <c r="M9" s="14" t="s">
        <v>60</v>
      </c>
      <c r="N9">
        <f>5/42+17*N6/336</f>
        <v>0.21619047619047618</v>
      </c>
      <c r="Q9">
        <f>5/42</f>
        <v>0.11904761904761904</v>
      </c>
      <c r="R9">
        <f>17*N6/336</f>
        <v>9.7142857142857142E-2</v>
      </c>
      <c r="Y9">
        <f>SUM(Q9:W9)</f>
        <v>0.21619047619047618</v>
      </c>
      <c r="AA9" s="1">
        <f t="shared" ref="AA9:AA12" si="0">Y9-N9</f>
        <v>0</v>
      </c>
    </row>
    <row r="10" spans="1:27" ht="18" x14ac:dyDescent="0.35">
      <c r="C10" s="59"/>
      <c r="D10" s="1" t="s">
        <v>16</v>
      </c>
      <c r="E10" s="60">
        <v>2.19</v>
      </c>
      <c r="F10" s="12" t="s">
        <v>36</v>
      </c>
      <c r="G10" s="12" t="s">
        <v>182</v>
      </c>
      <c r="J10" s="1" t="s">
        <v>28</v>
      </c>
      <c r="K10" s="13">
        <f>E10/E9</f>
        <v>2.92</v>
      </c>
      <c r="M10" s="14" t="s">
        <v>59</v>
      </c>
      <c r="N10">
        <f>1/210+N6/360</f>
        <v>1.0095238095238095E-2</v>
      </c>
      <c r="Q10">
        <f>1/210</f>
        <v>4.7619047619047623E-3</v>
      </c>
      <c r="R10">
        <f>N6/360</f>
        <v>5.3333333333333332E-3</v>
      </c>
      <c r="Y10">
        <f t="shared" ref="Y10:Y12" si="1">SUM(Q10:W10)</f>
        <v>1.0095238095238095E-2</v>
      </c>
      <c r="AA10" s="1">
        <f t="shared" si="0"/>
        <v>0</v>
      </c>
    </row>
    <row r="11" spans="1:27" ht="18.75" x14ac:dyDescent="0.35">
      <c r="C11" s="59"/>
      <c r="D11" s="1" t="s">
        <v>17</v>
      </c>
      <c r="E11" s="46">
        <f>($E$6-$E$5)/2-E10</f>
        <v>1.6850000000000001</v>
      </c>
      <c r="F11" s="12" t="s">
        <v>36</v>
      </c>
      <c r="G11" s="12" t="s">
        <v>183</v>
      </c>
      <c r="J11" s="1" t="s">
        <v>29</v>
      </c>
      <c r="K11" s="13">
        <f>SQRT(E5*E9)</f>
        <v>4.6837484987987983</v>
      </c>
      <c r="M11" s="14" t="s">
        <v>58</v>
      </c>
      <c r="N11">
        <f>11/360+59*N6/5040+(1+3*N6)/N7</f>
        <v>30.559946031746026</v>
      </c>
      <c r="Q11">
        <f>11/360</f>
        <v>3.0555555555555555E-2</v>
      </c>
      <c r="R11">
        <f>59*N6/5040</f>
        <v>2.2476190476190476E-2</v>
      </c>
      <c r="S11">
        <f>(1+3*N6)/N7</f>
        <v>30.506914285714281</v>
      </c>
      <c r="Y11">
        <f t="shared" si="1"/>
        <v>30.559946031746026</v>
      </c>
      <c r="AA11" s="1">
        <f t="shared" si="0"/>
        <v>0</v>
      </c>
    </row>
    <row r="12" spans="1:27" ht="18.75" thickBot="1" x14ac:dyDescent="0.4">
      <c r="C12" s="59"/>
      <c r="D12" s="3" t="s">
        <v>231</v>
      </c>
      <c r="E12" s="45">
        <v>28</v>
      </c>
      <c r="G12" s="12" t="s">
        <v>299</v>
      </c>
      <c r="J12" s="1" t="s">
        <v>30</v>
      </c>
      <c r="K12" s="38">
        <f>E8/K11</f>
        <v>0.26688025634181189</v>
      </c>
      <c r="M12" s="14" t="s">
        <v>57</v>
      </c>
      <c r="N12">
        <f>1/90+5*N6/1008-POWER(1+N6,3)/N7</f>
        <v>-112.33636649650791</v>
      </c>
      <c r="Q12">
        <f>1/90</f>
        <v>1.1111111111111112E-2</v>
      </c>
      <c r="R12">
        <f>5*N6/1008</f>
        <v>9.5238095238095229E-3</v>
      </c>
      <c r="S12">
        <f>-POWER(1+N6,3)/N7</f>
        <v>-112.35700141714283</v>
      </c>
      <c r="Y12">
        <f t="shared" si="1"/>
        <v>-112.33636649650791</v>
      </c>
      <c r="AA12" s="1">
        <f t="shared" si="0"/>
        <v>0</v>
      </c>
    </row>
    <row r="13" spans="1:27" ht="18.75" thickBot="1" x14ac:dyDescent="0.4">
      <c r="C13" s="59"/>
      <c r="D13" s="1" t="s">
        <v>302</v>
      </c>
      <c r="E13" s="47">
        <f>1+5/8</f>
        <v>1.625</v>
      </c>
      <c r="F13" s="12" t="s">
        <v>36</v>
      </c>
      <c r="G13" s="12" t="s">
        <v>303</v>
      </c>
      <c r="J13" s="31" t="s">
        <v>31</v>
      </c>
      <c r="K13" s="41">
        <f>-N50/(POWER(N7/2.73,0.25)*(POWER(1+N6,3)/N7))</f>
        <v>0.87879397756742261</v>
      </c>
      <c r="M13" s="14" t="s">
        <v>62</v>
      </c>
      <c r="N13">
        <f>1/120+17*N6/5040+1/N7</f>
        <v>4.5276666666666658</v>
      </c>
      <c r="Q13">
        <f>1/120</f>
        <v>8.3333333333333332E-3</v>
      </c>
      <c r="R13">
        <f>17*N6/5040</f>
        <v>6.4761904761904765E-3</v>
      </c>
      <c r="S13">
        <f>1/N7</f>
        <v>4.5128571428571425</v>
      </c>
      <c r="Y13">
        <f t="shared" ref="Y13:Y22" si="2">SUM(Q13:W13)</f>
        <v>4.5276666666666658</v>
      </c>
      <c r="AA13" s="1">
        <f t="shared" ref="AA13:AA50" si="3">Y13-N13</f>
        <v>0</v>
      </c>
    </row>
    <row r="14" spans="1:27" ht="18.75" thickBot="1" x14ac:dyDescent="0.4">
      <c r="C14" s="59"/>
      <c r="D14" s="1" t="s">
        <v>298</v>
      </c>
      <c r="E14" s="45">
        <v>1.4242999999999999</v>
      </c>
      <c r="F14" s="12" t="s">
        <v>36</v>
      </c>
      <c r="G14" s="12" t="s">
        <v>330</v>
      </c>
      <c r="J14" s="1" t="s">
        <v>32</v>
      </c>
      <c r="K14" s="39">
        <f>N48/(POWER(2.73/N7,0.25)*POWER(1+N6,3))</f>
        <v>0.2700788910186806</v>
      </c>
      <c r="M14" s="14" t="s">
        <v>63</v>
      </c>
      <c r="N14">
        <f>215/2772+51*N6/1232+(60/7+225*N6/14+75*POWER(N6,2)/7+5*POWER(N6,3)/2)/N7</f>
        <v>436.19125885928673</v>
      </c>
      <c r="Q14">
        <f>215/2772</f>
        <v>7.7561327561327567E-2</v>
      </c>
      <c r="R14">
        <f>51*N6/1232</f>
        <v>7.9480519480519485E-2</v>
      </c>
      <c r="S14">
        <f>(60/7+225*N6/14+75*N6*N6/7+5*POWER(N6,3)/2)/N7</f>
        <v>436.03421701224488</v>
      </c>
      <c r="Y14">
        <f t="shared" si="2"/>
        <v>436.19125885928673</v>
      </c>
      <c r="AA14" s="1">
        <f t="shared" si="3"/>
        <v>0</v>
      </c>
    </row>
    <row r="15" spans="1:27" ht="15.75" thickBot="1" x14ac:dyDescent="0.3">
      <c r="C15" s="59"/>
      <c r="D15" s="1" t="s">
        <v>18</v>
      </c>
      <c r="E15" s="45">
        <v>31</v>
      </c>
      <c r="G15" s="12" t="s">
        <v>18</v>
      </c>
      <c r="J15" s="32" t="s">
        <v>80</v>
      </c>
      <c r="K15" s="41">
        <f>K13/K11</f>
        <v>0.18762620960386739</v>
      </c>
      <c r="M15" s="14" t="s">
        <v>64</v>
      </c>
      <c r="N15">
        <f>31/6930+128*N6/45045+(6/7+15*N6/7+12*POWER(N6,2)/7+5*POWER(N6,3)/11)/N7</f>
        <v>65.483332705491321</v>
      </c>
      <c r="Q15">
        <f>31/6930</f>
        <v>4.4733044733044737E-3</v>
      </c>
      <c r="R15">
        <f>128*N6/45045</f>
        <v>5.455877455877456E-3</v>
      </c>
      <c r="S15">
        <f>(6/7+15*N6/7+12*POWER(N6,2)/7+5*POWER(N6,3)/11)/N7</f>
        <v>65.473403523562141</v>
      </c>
      <c r="Y15">
        <f t="shared" si="2"/>
        <v>65.483332705491321</v>
      </c>
      <c r="AA15" s="1">
        <f t="shared" si="3"/>
        <v>0</v>
      </c>
    </row>
    <row r="16" spans="1:27" x14ac:dyDescent="0.25">
      <c r="C16" s="59"/>
      <c r="D16" s="1" t="s">
        <v>19</v>
      </c>
      <c r="E16" s="45">
        <v>29</v>
      </c>
      <c r="G16" s="12" t="s">
        <v>19</v>
      </c>
      <c r="J16" s="1" t="s">
        <v>81</v>
      </c>
      <c r="K16" s="40">
        <f>K7/K14*K11*E9*E9</f>
        <v>64.527425585487308</v>
      </c>
      <c r="M16" s="14" t="s">
        <v>65</v>
      </c>
      <c r="N16">
        <f>533/30240+653*N6/73920+(1/2+33*N6/14+39*POWER(N6,2)/28+25*POWER(N6,3)/84)/N7</f>
        <v>55.39316057788772</v>
      </c>
      <c r="Q16">
        <f>533/30240</f>
        <v>1.7625661375661374E-2</v>
      </c>
      <c r="R16">
        <f>653*N6/73920</f>
        <v>1.6961038961038961E-2</v>
      </c>
      <c r="S16">
        <f>(1/2+33*N6/14+39*POWER(N6,2)/28+25*POWER(N6,3)/84)/N7</f>
        <v>55.358573877551017</v>
      </c>
      <c r="Y16">
        <f t="shared" si="2"/>
        <v>55.39316057788772</v>
      </c>
      <c r="AA16" s="1">
        <f t="shared" si="3"/>
        <v>0</v>
      </c>
    </row>
    <row r="17" spans="3:27" x14ac:dyDescent="0.25">
      <c r="C17" s="34"/>
      <c r="D17" s="1" t="s">
        <v>20</v>
      </c>
      <c r="E17" s="46">
        <f>($E$15-$E$16)/2</f>
        <v>1</v>
      </c>
      <c r="F17" s="12">
        <f>(E15-E16)/2</f>
        <v>1</v>
      </c>
      <c r="G17" s="15" t="s">
        <v>185</v>
      </c>
      <c r="J17" s="2" t="s">
        <v>82</v>
      </c>
      <c r="K17" s="13">
        <f>IF(N43/(1+N6)&lt;=1,1,N43/(1+N6))</f>
        <v>4.8314985102273207</v>
      </c>
      <c r="M17" s="14" t="s">
        <v>66</v>
      </c>
      <c r="N17">
        <f>29/3780+3*N6/704-(1/2+33*N6/14+81*POWER(N6,2)/28+13*POWER(N6,3)/12)/N7</f>
        <v>-105.39390578659518</v>
      </c>
      <c r="Q17">
        <f>29/3780</f>
        <v>7.6719576719576719E-3</v>
      </c>
      <c r="R17">
        <f>3*N6/704</f>
        <v>8.1818181818181807E-3</v>
      </c>
      <c r="S17">
        <f>-(1/2+33*N6/14+81*POWER(N6,2)/28+13*POWER(N6,3)/12)/N7</f>
        <v>-105.40975956244895</v>
      </c>
      <c r="Y17">
        <f t="shared" si="2"/>
        <v>-105.39390578659518</v>
      </c>
      <c r="AA17" s="1">
        <f t="shared" si="3"/>
        <v>0</v>
      </c>
    </row>
    <row r="18" spans="3:27" ht="18" x14ac:dyDescent="0.35">
      <c r="C18" s="34"/>
      <c r="D18" s="1" t="s">
        <v>21</v>
      </c>
      <c r="E18" s="46">
        <f>$E$17/2</f>
        <v>0.5</v>
      </c>
      <c r="G18" s="12" t="s">
        <v>184</v>
      </c>
      <c r="M18" s="14" t="s">
        <v>67</v>
      </c>
      <c r="N18">
        <f>31/6048+1763*N6/665280+(1/2+6*N6/7+15*POWER(N6,2)/28+5*POWER(N6,3)/42)/N7</f>
        <v>22.408323104871847</v>
      </c>
      <c r="Q18">
        <f>31/6048</f>
        <v>5.1256613756613754E-3</v>
      </c>
      <c r="R18">
        <f>1763*N6/665280</f>
        <v>5.0880230880230885E-3</v>
      </c>
      <c r="S18">
        <f>(1/2+6*N6/7+15*POWER(N6,2)/28+5*POWER(N6,3)/42)/N7</f>
        <v>22.398109420408161</v>
      </c>
      <c r="Y18">
        <f t="shared" si="2"/>
        <v>22.408323104871847</v>
      </c>
      <c r="AA18" s="1">
        <f t="shared" si="3"/>
        <v>0</v>
      </c>
    </row>
    <row r="19" spans="3:27" x14ac:dyDescent="0.25">
      <c r="C19" s="34"/>
      <c r="D19" s="3" t="s">
        <v>288</v>
      </c>
      <c r="E19" s="45">
        <v>29000000</v>
      </c>
      <c r="F19" t="s">
        <v>90</v>
      </c>
      <c r="G19" s="12" t="s">
        <v>332</v>
      </c>
      <c r="M19" s="14" t="s">
        <v>68</v>
      </c>
      <c r="N19">
        <f>1/2925+71*N6/300300+(8/35+18*N6/35+156*POWER(N6,2)/385+6*POWER(N6,3)/55)/N7</f>
        <v>15.713857532013636</v>
      </c>
      <c r="Q19">
        <f>1/2925</f>
        <v>3.4188034188034188E-4</v>
      </c>
      <c r="R19">
        <f>71*N6/300300</f>
        <v>4.5394605394605394E-4</v>
      </c>
      <c r="S19">
        <f>(8/35+18*N6/35+156*POWER(N6,2)/385+6*POWER(N6,3)/55)/N7</f>
        <v>15.713061705617809</v>
      </c>
      <c r="Y19">
        <f t="shared" si="2"/>
        <v>15.713857532013636</v>
      </c>
      <c r="AA19" s="1">
        <f t="shared" si="3"/>
        <v>0</v>
      </c>
    </row>
    <row r="20" spans="3:27" ht="18" x14ac:dyDescent="0.35">
      <c r="D20" s="3" t="s">
        <v>289</v>
      </c>
      <c r="E20" s="45">
        <v>0.3</v>
      </c>
      <c r="G20" s="12" t="s">
        <v>333</v>
      </c>
      <c r="K20" s="22"/>
      <c r="M20" s="14" t="s">
        <v>69</v>
      </c>
      <c r="N20">
        <f>761/831600+937*N6/1663200+(1/35+6*N6/35+11*POWER(N6,2)/70+3*POWER(N6,3)/70)/N7</f>
        <v>5.5994910257865724</v>
      </c>
      <c r="Q20">
        <f>761/831600</f>
        <v>9.1510341510341508E-4</v>
      </c>
      <c r="R20">
        <f>937*N6/1663200</f>
        <v>1.0816738816738817E-3</v>
      </c>
      <c r="S20">
        <f>(1/35+6*N6/35+11*POWER(N6,2)/70+3*POWER(N6,3)/70)/N7</f>
        <v>5.5974942484897952</v>
      </c>
      <c r="Y20">
        <f t="shared" si="2"/>
        <v>5.5994910257865724</v>
      </c>
      <c r="AA20" s="1">
        <f t="shared" si="3"/>
        <v>0</v>
      </c>
    </row>
    <row r="21" spans="3:27" x14ac:dyDescent="0.25">
      <c r="M21" s="14" t="s">
        <v>70</v>
      </c>
      <c r="N21">
        <f>197/415800+103*N6/332640-(1/35+6*N6/35+17*POWER(N6,2)/70+POWER(N6,3)/10)/N7</f>
        <v>-8.8476140763806761</v>
      </c>
      <c r="Q21">
        <f>197/415800</f>
        <v>4.737854737854738E-4</v>
      </c>
      <c r="R21">
        <f>103*N6/332640</f>
        <v>5.9451659451659449E-4</v>
      </c>
      <c r="S21">
        <f>-(1/35+6*N6/35+17*POWER(N6,2)/70+POWER(N6,3)/10)/N7</f>
        <v>-8.848682378448979</v>
      </c>
      <c r="Y21">
        <f t="shared" si="2"/>
        <v>-8.8476140763806761</v>
      </c>
      <c r="AA21" s="1">
        <f t="shared" si="3"/>
        <v>0</v>
      </c>
    </row>
    <row r="22" spans="3:27" x14ac:dyDescent="0.25">
      <c r="C22" s="34"/>
      <c r="D22" s="20" t="s">
        <v>203</v>
      </c>
      <c r="E22" s="45">
        <v>645</v>
      </c>
      <c r="F22" s="12" t="s">
        <v>90</v>
      </c>
      <c r="G22" s="12" t="s">
        <v>204</v>
      </c>
      <c r="J22" s="24"/>
      <c r="M22" s="14" t="s">
        <v>71</v>
      </c>
      <c r="N22">
        <f>233/831600+97*N6/554400+(1/35+3*N6/35+POWER(N6,2)/14+2*POWER(N6,3)/105)/N7</f>
        <v>2.6689514656793785</v>
      </c>
      <c r="Q22">
        <f>233/831600</f>
        <v>2.8018278018278016E-4</v>
      </c>
      <c r="R22">
        <f>97*N6/554400</f>
        <v>3.3593073593073591E-4</v>
      </c>
      <c r="S22">
        <f>(1/35+3*N6/35+POWER(N6,2)/14+2*POWER(N6,3)/105)/N7</f>
        <v>2.6683353521632651</v>
      </c>
      <c r="Y22">
        <f t="shared" si="2"/>
        <v>2.6689514656793785</v>
      </c>
      <c r="AA22" s="1">
        <f t="shared" si="3"/>
        <v>0</v>
      </c>
    </row>
    <row r="23" spans="3:27" x14ac:dyDescent="0.25">
      <c r="C23" s="34"/>
      <c r="J23" s="24"/>
      <c r="M23" s="14" t="s">
        <v>72</v>
      </c>
      <c r="N23">
        <f>N8*N14*N19+N9*N15*N10+N10*N15*N9-(N10*N10*N14+N15*N15*N8+N9*N9*N19)</f>
        <v>1265.4892892774451</v>
      </c>
      <c r="Q23">
        <f>N8*N14*N19</f>
        <v>3381.428667222759</v>
      </c>
      <c r="R23">
        <f>N9*N15*N10</f>
        <v>0.14291700240902785</v>
      </c>
      <c r="S23" s="11">
        <f>N10*N15*N9</f>
        <v>0.14291700240902785</v>
      </c>
      <c r="T23">
        <f>N10*N10*N14</f>
        <v>4.4453922762294283E-2</v>
      </c>
      <c r="U23">
        <f>N15*N15*N8</f>
        <v>2115.4463186942471</v>
      </c>
      <c r="V23">
        <f>N9*N9*N19</f>
        <v>0.73443933312211385</v>
      </c>
      <c r="Y23">
        <f>SUM(Q23:S23)-SUM(T23:V23)</f>
        <v>1265.4892892774451</v>
      </c>
      <c r="AA23" s="1">
        <f t="shared" si="3"/>
        <v>0</v>
      </c>
    </row>
    <row r="24" spans="3:27" x14ac:dyDescent="0.25">
      <c r="C24" s="34"/>
      <c r="E24" s="45"/>
      <c r="G24" s="12" t="s">
        <v>296</v>
      </c>
      <c r="M24" s="14" t="s">
        <v>73</v>
      </c>
      <c r="N24">
        <f>(N11*N14*N19+N9*N15*N20+N10*N15*N16-(N20*N14*N10+N15*N15*N11+N19*N9*N16))/N23</f>
        <v>61.893362779781327</v>
      </c>
      <c r="Q24">
        <f>N11*N14*N19</f>
        <v>209465.42752809409</v>
      </c>
      <c r="R24">
        <f>N9*N15*N20</f>
        <v>79.271282645542726</v>
      </c>
      <c r="S24">
        <f>N10*N15*N16</f>
        <v>36.618747519565325</v>
      </c>
      <c r="T24">
        <f>N20*N14*N10</f>
        <v>24.657104589330203</v>
      </c>
      <c r="U24">
        <f>N15*N15*N11</f>
        <v>131043.09188990272</v>
      </c>
      <c r="V24">
        <f>N19*N9*N16</f>
        <v>188.18088859060586</v>
      </c>
      <c r="W24">
        <f>N23</f>
        <v>1265.4892892774451</v>
      </c>
      <c r="Y24">
        <f>(SUM(Q24:S24)-SUM(T24:V24))/W24</f>
        <v>61.893362779781327</v>
      </c>
      <c r="AA24" s="1">
        <f t="shared" si="3"/>
        <v>0</v>
      </c>
    </row>
    <row r="25" spans="3:27" x14ac:dyDescent="0.25">
      <c r="C25" s="34"/>
      <c r="E25" s="46"/>
      <c r="G25" s="12" t="s">
        <v>175</v>
      </c>
      <c r="M25" s="14" t="s">
        <v>74</v>
      </c>
      <c r="N25" s="11">
        <f>(N12*N14*N19+N9*N15*N21+N10*N15*N17-(N21*N14*N10+N15*N15*N12+N19*N9*N17))/N23</f>
        <v>-227.63788907107497</v>
      </c>
      <c r="Q25">
        <f>N12*N14*N19</f>
        <v>-769981.23657351523</v>
      </c>
      <c r="R25">
        <f>N9*N15*N21</f>
        <v>-125.25454777185455</v>
      </c>
      <c r="S25">
        <f>N10*N15*N17</f>
        <v>-69.672731901143891</v>
      </c>
      <c r="T25">
        <f>N21*N14*N10</f>
        <v>-38.960067020859903</v>
      </c>
      <c r="U25">
        <f>N15*N15*N12</f>
        <v>-481705.85059565969</v>
      </c>
      <c r="V25">
        <f>N19*N9*N17</f>
        <v>-358.04273733521569</v>
      </c>
      <c r="W25">
        <f>N23</f>
        <v>1265.4892892774451</v>
      </c>
      <c r="Y25">
        <f>(SUM(Q25:S25)-SUM(T25:V25))/W25</f>
        <v>-227.63788907107497</v>
      </c>
      <c r="AA25" s="1">
        <f t="shared" si="3"/>
        <v>0</v>
      </c>
    </row>
    <row r="26" spans="3:27" x14ac:dyDescent="0.25">
      <c r="C26" s="34"/>
      <c r="E26" s="48"/>
      <c r="G26" s="12" t="s">
        <v>174</v>
      </c>
      <c r="M26" s="14" t="s">
        <v>48</v>
      </c>
      <c r="N26" s="11">
        <f>(N13*N14*N19+N9*N15*N22+N10*N15*N18-(N22*N14*N10+N15*N15*N13+N19*N9*N18))/N23</f>
        <v>9.1533996668588795</v>
      </c>
      <c r="Q26">
        <f>N13*N14*N19</f>
        <v>31033.747018166712</v>
      </c>
      <c r="R26">
        <f>N9*N15*N22</f>
        <v>37.784006622885101</v>
      </c>
      <c r="S26">
        <f>N10*N15*N18</f>
        <v>14.813466456032188</v>
      </c>
      <c r="T26">
        <f>N22*N14*N10</f>
        <v>11.752606644075886</v>
      </c>
      <c r="U26">
        <f>N15*N15*N13</f>
        <v>19414.937396502675</v>
      </c>
      <c r="V26">
        <f>N19*N9*N18</f>
        <v>76.125249213230319</v>
      </c>
      <c r="W26">
        <f>N23</f>
        <v>1265.4892892774451</v>
      </c>
      <c r="Y26">
        <f t="shared" ref="Y26:Y32" si="4">(SUM(Q26:S26)-SUM(T26:V26))/W26</f>
        <v>9.1533996668588795</v>
      </c>
      <c r="AA26" s="1">
        <f t="shared" si="3"/>
        <v>0</v>
      </c>
    </row>
    <row r="27" spans="3:27" x14ac:dyDescent="0.25">
      <c r="M27" s="14" t="s">
        <v>49</v>
      </c>
      <c r="N27" s="11">
        <f>(N8*N16*N19+N11*N15*N10+N10*N20*N9-(N10*N10*N16+N20*N15*N8+N19*N11*N9))/N23</f>
        <v>0.13031797897313949</v>
      </c>
      <c r="Q27">
        <f>N8*N16*N19</f>
        <v>429.41718189398159</v>
      </c>
      <c r="R27">
        <f>N11*N15*N10</f>
        <v>20.202258478725764</v>
      </c>
      <c r="S27">
        <f>N10*N20*N9</f>
        <v>1.2220857420632789E-2</v>
      </c>
      <c r="T27">
        <f>N10*N10*N16</f>
        <v>5.6453292721373814E-3</v>
      </c>
      <c r="U27">
        <f>N20*N15*N8</f>
        <v>180.89217801934419</v>
      </c>
      <c r="V27">
        <f>N19*N11*N9</f>
        <v>103.81783129072032</v>
      </c>
      <c r="W27">
        <f>N23</f>
        <v>1265.4892892774451</v>
      </c>
      <c r="Y27">
        <f t="shared" si="4"/>
        <v>0.13031797897313949</v>
      </c>
      <c r="AA27" s="1">
        <f t="shared" si="3"/>
        <v>0</v>
      </c>
    </row>
    <row r="28" spans="3:27" ht="18" x14ac:dyDescent="0.35">
      <c r="D28" s="3" t="s">
        <v>308</v>
      </c>
      <c r="E28" s="49">
        <v>20000</v>
      </c>
      <c r="F28" s="12" t="s">
        <v>90</v>
      </c>
      <c r="G28" s="3" t="s">
        <v>309</v>
      </c>
      <c r="M28" s="14" t="s">
        <v>50</v>
      </c>
      <c r="N28" s="11">
        <f>(N8*N17*N19+N12*N15*N10+N10*N21*N9-(N10*N10*N17+N21*N15*N8+N19*N12*N9))/N23</f>
        <v>-0.17688926764029414</v>
      </c>
      <c r="Q28">
        <f>N8*N17*N19</f>
        <v>-817.03144466802519</v>
      </c>
      <c r="R28">
        <f>N12*N15*N10</f>
        <v>-74.262183256665196</v>
      </c>
      <c r="S28">
        <f>N10*N21*N9</f>
        <v>-1.9309867565158442E-2</v>
      </c>
      <c r="T28">
        <f>N10*N10*N17</f>
        <v>-1.0741096829189872E-2</v>
      </c>
      <c r="U28">
        <f>N21*N15*N8</f>
        <v>-285.8231530652892</v>
      </c>
      <c r="V28">
        <f>N19*N12*N9</f>
        <v>-381.62757004321355</v>
      </c>
      <c r="W28">
        <f>N23</f>
        <v>1265.4892892774451</v>
      </c>
      <c r="Y28">
        <f t="shared" si="4"/>
        <v>-0.17688926764029414</v>
      </c>
      <c r="AA28" s="1">
        <f t="shared" si="3"/>
        <v>0</v>
      </c>
    </row>
    <row r="29" spans="3:27" ht="18" x14ac:dyDescent="0.35">
      <c r="D29" s="3" t="s">
        <v>307</v>
      </c>
      <c r="E29" s="49">
        <v>20000</v>
      </c>
      <c r="F29" s="12" t="s">
        <v>90</v>
      </c>
      <c r="G29" s="3" t="s">
        <v>310</v>
      </c>
      <c r="M29" s="14" t="s">
        <v>51</v>
      </c>
      <c r="N29" s="11">
        <f>(N8*N18*N19+N13*N15*N10+N10*N22*N9-(N10*N10*N18+N22*N15*N8+N19*N13*N9))/N23</f>
        <v>5.9350694877263729E-2</v>
      </c>
      <c r="Q29">
        <f>N8*N18*N19</f>
        <v>173.71312375530093</v>
      </c>
      <c r="R29">
        <f>N13*N15*N10</f>
        <v>2.9931038559587608</v>
      </c>
      <c r="S29">
        <f>N10*N22*N9</f>
        <v>5.8249714437348934E-3</v>
      </c>
      <c r="T29">
        <f>N10*N10*N18</f>
        <v>2.2837180807831294E-3</v>
      </c>
      <c r="U29">
        <f>N22*N15*N8</f>
        <v>86.22077282226644</v>
      </c>
      <c r="V29">
        <f>N19*N13*N9</f>
        <v>15.381327364005219</v>
      </c>
      <c r="W29">
        <f>N23</f>
        <v>1265.4892892774451</v>
      </c>
      <c r="Y29">
        <f t="shared" si="4"/>
        <v>5.9350694877263729E-2</v>
      </c>
      <c r="AA29" s="1">
        <f t="shared" si="3"/>
        <v>0</v>
      </c>
    </row>
    <row r="30" spans="3:27" ht="18" x14ac:dyDescent="0.35">
      <c r="D30" s="3" t="s">
        <v>219</v>
      </c>
      <c r="E30" s="50">
        <v>25000</v>
      </c>
      <c r="F30" s="12" t="s">
        <v>90</v>
      </c>
      <c r="G30" s="3" t="s">
        <v>305</v>
      </c>
      <c r="M30" s="14" t="s">
        <v>52</v>
      </c>
      <c r="N30" s="11">
        <f>(N8*N14*N20+N9*N16*N10+N11*N15*N9-(N10*N14*N11+N15*N16*N8+N9*N9*N20))/N23</f>
        <v>-0.22648753021623683</v>
      </c>
      <c r="Q30">
        <f>N8*N14*N20</f>
        <v>1204.9415261578345</v>
      </c>
      <c r="R30">
        <f>N9*N16*N10</f>
        <v>0.12089525894105527</v>
      </c>
      <c r="S30">
        <f>N11*N15*N9</f>
        <v>432.63327119535364</v>
      </c>
      <c r="T30">
        <f>N10*N14*N11</f>
        <v>134.56933533404487</v>
      </c>
      <c r="U30">
        <f>N15*N16*N8</f>
        <v>1789.48219010706</v>
      </c>
      <c r="V30">
        <f>N9*N9*N20</f>
        <v>0.26171081457392859</v>
      </c>
      <c r="W30">
        <f>N23</f>
        <v>1265.4892892774451</v>
      </c>
      <c r="Y30">
        <f t="shared" si="4"/>
        <v>-0.22648753021623683</v>
      </c>
      <c r="AA30" s="1">
        <f t="shared" si="3"/>
        <v>0</v>
      </c>
    </row>
    <row r="31" spans="3:27" ht="18" x14ac:dyDescent="0.35">
      <c r="D31" s="3" t="s">
        <v>220</v>
      </c>
      <c r="E31" s="50">
        <v>25000</v>
      </c>
      <c r="F31" s="12" t="s">
        <v>90</v>
      </c>
      <c r="G31" s="3" t="s">
        <v>306</v>
      </c>
      <c r="M31" s="14" t="s">
        <v>53</v>
      </c>
      <c r="N31" s="11">
        <f>(N8*N14*N21+N9*N17*N10+N12*N15*N9-(N10*N14*N12+N15*N17*N8+N9*N9*N21))/N23</f>
        <v>0.32033785262174597</v>
      </c>
      <c r="Q31">
        <f>N8*N14*N21</f>
        <v>-1903.8976147929652</v>
      </c>
      <c r="R31">
        <f>N9*N17*N10</f>
        <v>-0.23002160190812271</v>
      </c>
      <c r="S31">
        <f>N12*N15*N9</f>
        <v>-1590.3316603078301</v>
      </c>
      <c r="T31">
        <f>N10*N14*N12</f>
        <v>-494.66809128435597</v>
      </c>
      <c r="U31">
        <f>N15*N17*N8</f>
        <v>-3404.7618042257109</v>
      </c>
      <c r="V31">
        <f>N9*N9*N21</f>
        <v>-0.41352263559348734</v>
      </c>
      <c r="W31">
        <f>N23</f>
        <v>1265.4892892774451</v>
      </c>
      <c r="Y31">
        <f t="shared" si="4"/>
        <v>0.32033785262174597</v>
      </c>
      <c r="AA31" s="1">
        <f t="shared" si="3"/>
        <v>0</v>
      </c>
    </row>
    <row r="32" spans="3:27" x14ac:dyDescent="0.25">
      <c r="M32" s="14" t="s">
        <v>54</v>
      </c>
      <c r="N32" s="11">
        <f>(N8*N14*N22+N9*N18*N10+N13*N15*N9-(N10*N14*N13+N15*N18*N8+N9*N9*N22))/N23</f>
        <v>-8.3361808494170048E-2</v>
      </c>
      <c r="Q32">
        <f>N8*N14*N22</f>
        <v>574.32549449351973</v>
      </c>
      <c r="R32">
        <f>N9*N18*N10</f>
        <v>4.8906038145072689E-2</v>
      </c>
      <c r="S32">
        <f>N13*N15*N9</f>
        <v>64.097601443645161</v>
      </c>
      <c r="T32">
        <f>N10*N14*N13</f>
        <v>19.937374670574066</v>
      </c>
      <c r="U32">
        <f>N15*N18*N8</f>
        <v>723.90336077591257</v>
      </c>
      <c r="V32">
        <f>N9*N9*N22</f>
        <v>0.12474231299319063</v>
      </c>
      <c r="W32">
        <f>N23</f>
        <v>1265.4892892774451</v>
      </c>
      <c r="Y32">
        <f t="shared" si="4"/>
        <v>-8.3361808494170048E-2</v>
      </c>
      <c r="AA32" s="1">
        <f t="shared" si="3"/>
        <v>0</v>
      </c>
    </row>
    <row r="33" spans="1:27" x14ac:dyDescent="0.25">
      <c r="A33" s="18" t="s">
        <v>247</v>
      </c>
      <c r="M33" s="14" t="s">
        <v>55</v>
      </c>
      <c r="N33" s="11">
        <f>-POWER(N7/4,0.25)</f>
        <v>-0.4851456097962078</v>
      </c>
      <c r="Q33">
        <f>-POWER(N7/4,0.25)</f>
        <v>-0.4851456097962078</v>
      </c>
      <c r="Y33">
        <f t="shared" ref="Y33:Y42" si="5">SUM(Q33:W33)</f>
        <v>-0.4851456097962078</v>
      </c>
      <c r="AA33" s="1">
        <f t="shared" si="3"/>
        <v>0</v>
      </c>
    </row>
    <row r="34" spans="1:27" x14ac:dyDescent="0.25">
      <c r="M34" s="14" t="s">
        <v>56</v>
      </c>
      <c r="N34" s="11">
        <f>N27-N24-5/12+N24*N33</f>
        <v>-92.207004695609783</v>
      </c>
      <c r="Q34">
        <f>N27</f>
        <v>0.13031797897313949</v>
      </c>
      <c r="R34">
        <f>-N24</f>
        <v>-61.893362779781327</v>
      </c>
      <c r="S34">
        <f>-5/12</f>
        <v>-0.41666666666666669</v>
      </c>
      <c r="T34">
        <f>N24*N33</f>
        <v>-30.027293228134923</v>
      </c>
      <c r="Y34">
        <f t="shared" si="5"/>
        <v>-92.207004695609783</v>
      </c>
      <c r="AA34" s="1">
        <f t="shared" si="3"/>
        <v>0</v>
      </c>
    </row>
    <row r="35" spans="1:27" x14ac:dyDescent="0.25">
      <c r="A35" s="17">
        <v>1</v>
      </c>
      <c r="B35" s="17"/>
      <c r="C35" s="18" t="s">
        <v>191</v>
      </c>
      <c r="M35" s="14" t="s">
        <v>42</v>
      </c>
      <c r="N35" s="11">
        <f>N29-N26-1/12+N26*N33</f>
        <v>-13.618113968401605</v>
      </c>
      <c r="Q35">
        <f>N29</f>
        <v>5.9350694877263729E-2</v>
      </c>
      <c r="R35">
        <f>-N26</f>
        <v>-9.1533996668588795</v>
      </c>
      <c r="S35">
        <f>-1/12</f>
        <v>-8.3333333333333329E-2</v>
      </c>
      <c r="T35">
        <f>N26*N33</f>
        <v>-4.4407316630866562</v>
      </c>
      <c r="Y35">
        <f t="shared" si="5"/>
        <v>-13.618113968401605</v>
      </c>
      <c r="AA35" s="1">
        <f t="shared" si="3"/>
        <v>0</v>
      </c>
    </row>
    <row r="36" spans="1:27" x14ac:dyDescent="0.25">
      <c r="B36" s="16">
        <v>1.1000000000000001</v>
      </c>
      <c r="D36" s="12" t="s">
        <v>190</v>
      </c>
      <c r="M36" s="14" t="s">
        <v>43</v>
      </c>
      <c r="N36" s="11">
        <f>-SQRT(N7/4)</f>
        <v>-0.23536626270453428</v>
      </c>
      <c r="Q36">
        <f>-POWER(N7/4,0.5)</f>
        <v>-0.23536626270453428</v>
      </c>
      <c r="Y36">
        <f t="shared" si="5"/>
        <v>-0.23536626270453428</v>
      </c>
      <c r="AA36" s="1">
        <f t="shared" si="3"/>
        <v>0</v>
      </c>
    </row>
    <row r="37" spans="1:27" ht="18.75" x14ac:dyDescent="0.35">
      <c r="D37" s="12" t="s">
        <v>192</v>
      </c>
      <c r="M37" s="14" t="s">
        <v>75</v>
      </c>
      <c r="N37" s="11">
        <f>-POWER(N7/4,0.75)</f>
        <v>-0.11418690904524573</v>
      </c>
      <c r="Q37">
        <f>-POWER(N7/4,0.75)</f>
        <v>-0.11418690904524573</v>
      </c>
      <c r="Y37">
        <f t="shared" si="5"/>
        <v>-0.11418690904524573</v>
      </c>
      <c r="AA37" s="1">
        <f t="shared" si="3"/>
        <v>0</v>
      </c>
    </row>
    <row r="38" spans="1:27" x14ac:dyDescent="0.25">
      <c r="D38" s="3" t="s">
        <v>193</v>
      </c>
      <c r="E38" s="12">
        <f>IF(E18&lt;=0.25,0,0.5*POWER(E18,0.5))</f>
        <v>0.35355339059327379</v>
      </c>
      <c r="F38" s="12" t="s">
        <v>36</v>
      </c>
      <c r="M38" s="14" t="s">
        <v>76</v>
      </c>
      <c r="N38" s="11">
        <f>3*N6/2-N24*N37</f>
        <v>9.9474117862392877</v>
      </c>
      <c r="Q38">
        <f>3*N6/2</f>
        <v>2.88</v>
      </c>
      <c r="R38">
        <f>-N24*N37</f>
        <v>7.0674117862392878</v>
      </c>
      <c r="Y38">
        <f t="shared" si="5"/>
        <v>9.9474117862392877</v>
      </c>
      <c r="AA38" s="1">
        <f t="shared" si="3"/>
        <v>0</v>
      </c>
    </row>
    <row r="39" spans="1:27" x14ac:dyDescent="0.25">
      <c r="B39">
        <v>1.2</v>
      </c>
      <c r="D39" s="12" t="s">
        <v>194</v>
      </c>
      <c r="M39" s="14" t="s">
        <v>44</v>
      </c>
      <c r="N39" s="11">
        <f>1/2-N26*N37</f>
        <v>1.5451984152143974</v>
      </c>
      <c r="Q39">
        <v>0.5</v>
      </c>
      <c r="R39">
        <f>-N26*N37</f>
        <v>1.0451984152143974</v>
      </c>
      <c r="Y39">
        <f t="shared" si="5"/>
        <v>1.5451984152143974</v>
      </c>
      <c r="AA39" s="1">
        <f t="shared" si="3"/>
        <v>0</v>
      </c>
    </row>
    <row r="40" spans="1:27" x14ac:dyDescent="0.25">
      <c r="D40" s="12" t="s">
        <v>195</v>
      </c>
      <c r="M40" s="14" t="s">
        <v>47</v>
      </c>
      <c r="N40" s="11">
        <f>0.5*N33*N39+N35*N38*N36-(0.5*N37*N35+N39*N34*N36)</f>
        <v>-2.8029825131990336</v>
      </c>
      <c r="Q40">
        <f>0.5*N33*N39</f>
        <v>-0.37482311370266136</v>
      </c>
      <c r="R40">
        <f>N35*N38*N36</f>
        <v>31.883887810625808</v>
      </c>
      <c r="S40">
        <f>-0.5*N37*N35</f>
        <v>-0.77750517053883217</v>
      </c>
      <c r="T40">
        <f>-N39*N34*N36</f>
        <v>-33.53454203958335</v>
      </c>
      <c r="Y40">
        <f t="shared" si="5"/>
        <v>-2.8029825131990336</v>
      </c>
      <c r="AA40" s="1">
        <f t="shared" si="3"/>
        <v>0</v>
      </c>
    </row>
    <row r="41" spans="1:27" x14ac:dyDescent="0.25">
      <c r="D41" s="3" t="s">
        <v>196</v>
      </c>
      <c r="E41" s="12">
        <f>IF(E38&lt;=0.25,E15,E15-2*E38)</f>
        <v>30.292893218813454</v>
      </c>
      <c r="F41" s="12" t="s">
        <v>36</v>
      </c>
      <c r="M41" s="14" t="s">
        <v>45</v>
      </c>
      <c r="N41" s="11">
        <f>1/12+N25-N28-N25*N33</f>
        <v>-337.81518897620947</v>
      </c>
      <c r="Q41">
        <f>1/12</f>
        <v>8.3333333333333329E-2</v>
      </c>
      <c r="R41">
        <f>N25</f>
        <v>-227.63788907107497</v>
      </c>
      <c r="S41">
        <f>-N28</f>
        <v>0.17688926764029414</v>
      </c>
      <c r="T41">
        <f>-N25*N33</f>
        <v>-110.43752250610817</v>
      </c>
      <c r="Y41">
        <f t="shared" si="5"/>
        <v>-337.81518897620947</v>
      </c>
      <c r="AA41" s="1">
        <f t="shared" si="3"/>
        <v>0</v>
      </c>
    </row>
    <row r="42" spans="1:27" x14ac:dyDescent="0.25">
      <c r="A42" s="17">
        <v>2</v>
      </c>
      <c r="B42" s="17"/>
      <c r="C42" s="18" t="s">
        <v>198</v>
      </c>
      <c r="M42" s="14" t="s">
        <v>46</v>
      </c>
      <c r="N42" s="11">
        <f>-N25*POWER(N7/4,0.75)</f>
        <v>25.993266934610574</v>
      </c>
      <c r="Q42">
        <f>-N25*POWER(N7/4,0.75)</f>
        <v>25.993266934610574</v>
      </c>
      <c r="Y42">
        <f t="shared" si="5"/>
        <v>25.993266934610574</v>
      </c>
      <c r="AA42" s="1">
        <f t="shared" si="3"/>
        <v>0</v>
      </c>
    </row>
    <row r="43" spans="1:27" ht="18" x14ac:dyDescent="0.35">
      <c r="B43">
        <v>2.1</v>
      </c>
      <c r="D43" s="12" t="s">
        <v>210</v>
      </c>
      <c r="M43" s="14" t="s">
        <v>37</v>
      </c>
      <c r="N43" s="11">
        <f>(N35*N42*N36-N39*N41*N36)/N40</f>
        <v>14.107975649863775</v>
      </c>
      <c r="Q43">
        <f>N35*N42*N36</f>
        <v>83.3147782140922</v>
      </c>
      <c r="R43">
        <f>-N39*N41*N36</f>
        <v>-122.85918725729813</v>
      </c>
      <c r="W43">
        <f>N40</f>
        <v>-2.8029825131990336</v>
      </c>
      <c r="Y43">
        <f>(Q43+R43)/W43</f>
        <v>14.107975649863775</v>
      </c>
      <c r="AA43" s="1">
        <f t="shared" si="3"/>
        <v>0</v>
      </c>
    </row>
    <row r="44" spans="1:27" ht="17.25" x14ac:dyDescent="0.25">
      <c r="D44" s="3" t="s">
        <v>200</v>
      </c>
      <c r="E44" s="12" t="s">
        <v>205</v>
      </c>
      <c r="M44" s="14" t="s">
        <v>38</v>
      </c>
      <c r="N44" s="11">
        <f>(0.5*N33*N42+N41*N38*N36-(0.5*N37*N41+N42*N34*N36))/N40</f>
        <v>-71.785192120203547</v>
      </c>
      <c r="Q44">
        <f>0.5*N33*N42</f>
        <v>-6.3052596687936262</v>
      </c>
      <c r="R44">
        <f>N41*N38*N36</f>
        <v>790.92168056712353</v>
      </c>
      <c r="T44">
        <f>0.5*N37*N41</f>
        <v>19.287036128864465</v>
      </c>
      <c r="U44">
        <f>N42*N34*N36</f>
        <v>564.1167465499019</v>
      </c>
      <c r="W44">
        <f>N40</f>
        <v>-2.8029825131990336</v>
      </c>
      <c r="Y44">
        <f t="shared" ref="Y44" si="6">(SUM(Q44:S44)-SUM(T44:V44))/W44</f>
        <v>-71.785192120203547</v>
      </c>
      <c r="AA44" s="1">
        <f t="shared" si="3"/>
        <v>0</v>
      </c>
    </row>
    <row r="45" spans="1:27" x14ac:dyDescent="0.25">
      <c r="D45" s="3" t="s">
        <v>200</v>
      </c>
      <c r="E45" s="51">
        <f>PI()*POWER(E41,2)*E22/4</f>
        <v>464869.55441166792</v>
      </c>
      <c r="F45" s="12" t="s">
        <v>110</v>
      </c>
      <c r="M45" s="14" t="s">
        <v>77</v>
      </c>
      <c r="N45" s="11">
        <f>N24*N43+N25+N26*N44</f>
        <v>-11.52638772420687</v>
      </c>
      <c r="Q45">
        <f>N24*N43</f>
        <v>873.19005498533988</v>
      </c>
      <c r="R45">
        <f>N25</f>
        <v>-227.63788907107497</v>
      </c>
      <c r="S45">
        <f>N26*N44</f>
        <v>-657.07855363847182</v>
      </c>
      <c r="Y45">
        <f>SUM(Q45:W45)</f>
        <v>-11.52638772420687</v>
      </c>
      <c r="AA45" s="1">
        <f t="shared" si="3"/>
        <v>0</v>
      </c>
    </row>
    <row r="46" spans="1:27" ht="18" x14ac:dyDescent="0.35">
      <c r="D46" s="3" t="s">
        <v>206</v>
      </c>
      <c r="E46" s="12" t="s">
        <v>207</v>
      </c>
      <c r="M46" s="14" t="s">
        <v>78</v>
      </c>
      <c r="N46" s="11">
        <f>N27*N43+N28+N29*N44</f>
        <v>-2.5988674277797403</v>
      </c>
      <c r="Q46">
        <f>N27*N43</f>
        <v>1.8385228740925113</v>
      </c>
      <c r="R46">
        <f>N28</f>
        <v>-0.17688926764029414</v>
      </c>
      <c r="S46">
        <f>N29*N44</f>
        <v>-4.2605010342319574</v>
      </c>
      <c r="Y46">
        <f>SUM(Q46:W46)</f>
        <v>-2.5988674277797403</v>
      </c>
      <c r="AA46" s="1">
        <f t="shared" si="3"/>
        <v>0</v>
      </c>
    </row>
    <row r="47" spans="1:27" x14ac:dyDescent="0.25">
      <c r="E47" s="12" t="s">
        <v>208</v>
      </c>
      <c r="F47" s="12" t="s">
        <v>209</v>
      </c>
      <c r="M47" s="14" t="s">
        <v>79</v>
      </c>
      <c r="N47" s="11">
        <f>N30*N43+N31+N32*N44</f>
        <v>3.109200729574904</v>
      </c>
      <c r="Q47">
        <f>N30*N43</f>
        <v>-3.1952805612884552</v>
      </c>
      <c r="R47">
        <f>N31</f>
        <v>0.32033785262174597</v>
      </c>
      <c r="S47">
        <f>N32*N44</f>
        <v>5.9841434382416132</v>
      </c>
      <c r="Y47">
        <f>SUM(Q47:W47)</f>
        <v>3.109200729574904</v>
      </c>
      <c r="AA47" s="1">
        <f t="shared" si="3"/>
        <v>0</v>
      </c>
    </row>
    <row r="48" spans="1:27" x14ac:dyDescent="0.25">
      <c r="E48" s="12" t="s">
        <v>208</v>
      </c>
      <c r="F48" s="44">
        <v>2.5</v>
      </c>
      <c r="G48" s="12" t="s">
        <v>335</v>
      </c>
      <c r="M48" s="14" t="s">
        <v>41</v>
      </c>
      <c r="N48" s="11">
        <f>1/4+N44/12+N43/4-N47/5-3*N46/2-N45</f>
        <v>12.597743289077147</v>
      </c>
      <c r="Q48">
        <f>1/4</f>
        <v>0.25</v>
      </c>
      <c r="R48">
        <f>N44/12</f>
        <v>-5.9820993433502956</v>
      </c>
      <c r="S48">
        <f>N43/4</f>
        <v>3.5269939124659437</v>
      </c>
      <c r="T48">
        <f>N47/5</f>
        <v>0.62184014591498082</v>
      </c>
      <c r="U48">
        <f>3*N46/2</f>
        <v>-3.8983011416696103</v>
      </c>
      <c r="V48">
        <f>N45</f>
        <v>-11.52638772420687</v>
      </c>
      <c r="Y48">
        <f>SUM(Q48:S48)-SUM(T48:V48)</f>
        <v>12.597743289077147</v>
      </c>
      <c r="AA48" s="1">
        <f t="shared" si="3"/>
        <v>0</v>
      </c>
    </row>
    <row r="49" spans="2:27" ht="18" x14ac:dyDescent="0.35">
      <c r="D49" s="3" t="s">
        <v>206</v>
      </c>
      <c r="E49" s="52">
        <f>2*E38*PI()*E41*F48*E22</f>
        <v>108511.3963586389</v>
      </c>
      <c r="F49" s="12" t="s">
        <v>110</v>
      </c>
      <c r="M49" s="14" t="s">
        <v>39</v>
      </c>
      <c r="N49" s="11">
        <f>N45*(1/2+N6/6)+N46*(1/4+11*N6/84)+N47*(1/70+N6/105)</f>
        <v>-10.653513206015891</v>
      </c>
      <c r="Q49">
        <f>N45*(1/2+N6/6)</f>
        <v>-9.4516379338496339</v>
      </c>
      <c r="R49">
        <f>N46*(1/4+11*N6/84)</f>
        <v>-1.3031463816438409</v>
      </c>
      <c r="S49">
        <f>N47*(1/70+N6/105)</f>
        <v>0.10127110947758258</v>
      </c>
      <c r="Y49">
        <f>SUM(Q49:W49)</f>
        <v>-10.653513206015891</v>
      </c>
      <c r="AA49" s="1">
        <f t="shared" si="3"/>
        <v>0</v>
      </c>
    </row>
    <row r="50" spans="2:27" ht="18" x14ac:dyDescent="0.35">
      <c r="D50" s="3" t="s">
        <v>199</v>
      </c>
      <c r="E50" s="51">
        <f>E45+E49</f>
        <v>573380.95077030687</v>
      </c>
      <c r="F50" s="12" t="s">
        <v>110</v>
      </c>
      <c r="M50" s="14" t="s">
        <v>40</v>
      </c>
      <c r="N50" s="11">
        <f>N49-N43*(7/120+N6/36+3*N6/N7)-1/40-N6/72-N44*(1/60+N6/120+1/N7)</f>
        <v>-52.702795745887158</v>
      </c>
      <c r="Q50">
        <f>N49</f>
        <v>-10.653513206015891</v>
      </c>
      <c r="R50">
        <f>-N43*(7/120+N6/36+3*N6/N7)</f>
        <v>-368.29891582683081</v>
      </c>
      <c r="S50">
        <f>-1/40</f>
        <v>-2.5000000000000001E-2</v>
      </c>
      <c r="T50">
        <f>-N6/72</f>
        <v>-2.6666666666666665E-2</v>
      </c>
      <c r="U50">
        <f>-N44*(1/60+N6/120+1/N7)</f>
        <v>326.30129995362614</v>
      </c>
      <c r="Y50">
        <f>SUM(Q50:W50)</f>
        <v>-52.702795745887158</v>
      </c>
      <c r="AA50" s="1">
        <f t="shared" si="3"/>
        <v>0</v>
      </c>
    </row>
    <row r="51" spans="2:27" ht="18" x14ac:dyDescent="0.35">
      <c r="B51">
        <v>2.2000000000000002</v>
      </c>
      <c r="D51" s="12" t="s">
        <v>213</v>
      </c>
    </row>
    <row r="52" spans="2:27" x14ac:dyDescent="0.25">
      <c r="D52" s="3" t="s">
        <v>211</v>
      </c>
      <c r="E52" s="12" t="s">
        <v>212</v>
      </c>
    </row>
    <row r="53" spans="2:27" x14ac:dyDescent="0.25">
      <c r="D53" s="3" t="s">
        <v>211</v>
      </c>
      <c r="E53" s="50">
        <v>10000</v>
      </c>
      <c r="F53" s="12" t="s">
        <v>90</v>
      </c>
    </row>
    <row r="54" spans="2:27" ht="18" x14ac:dyDescent="0.35">
      <c r="D54" s="3" t="s">
        <v>228</v>
      </c>
      <c r="E54" s="51">
        <f>E38*E41*E53*PI()</f>
        <v>336469.44607329892</v>
      </c>
      <c r="F54" s="12" t="s">
        <v>110</v>
      </c>
    </row>
    <row r="55" spans="2:27" ht="18" x14ac:dyDescent="0.35">
      <c r="B55">
        <v>2.2999999999999998</v>
      </c>
      <c r="D55" s="12" t="s">
        <v>214</v>
      </c>
      <c r="K55" s="17"/>
      <c r="L55" s="30">
        <v>5</v>
      </c>
      <c r="M55" s="23" t="s">
        <v>103</v>
      </c>
    </row>
    <row r="56" spans="2:27" ht="18" x14ac:dyDescent="0.35">
      <c r="D56" s="3" t="s">
        <v>215</v>
      </c>
      <c r="E56" s="12" t="s">
        <v>217</v>
      </c>
      <c r="M56" s="33">
        <v>5.0999999999999996</v>
      </c>
      <c r="N56" s="34" t="s">
        <v>127</v>
      </c>
    </row>
    <row r="57" spans="2:27" ht="18" x14ac:dyDescent="0.35">
      <c r="D57" s="3" t="s">
        <v>215</v>
      </c>
      <c r="E57" s="53">
        <f>E50/E30</f>
        <v>22.935238030812275</v>
      </c>
      <c r="F57" s="12" t="s">
        <v>123</v>
      </c>
      <c r="G57" s="12" t="s">
        <v>221</v>
      </c>
      <c r="M57" s="30"/>
      <c r="N57" s="3" t="s">
        <v>267</v>
      </c>
      <c r="P57" t="s">
        <v>273</v>
      </c>
    </row>
    <row r="58" spans="2:27" ht="18" x14ac:dyDescent="0.35">
      <c r="D58" s="3" t="s">
        <v>216</v>
      </c>
      <c r="E58" s="12" t="s">
        <v>218</v>
      </c>
      <c r="M58" s="30"/>
      <c r="N58" s="3"/>
      <c r="Q58" s="27" t="s">
        <v>262</v>
      </c>
      <c r="R58" s="28" t="s">
        <v>263</v>
      </c>
      <c r="S58" s="25"/>
      <c r="T58" s="25"/>
      <c r="U58" s="25"/>
      <c r="V58" s="25"/>
      <c r="W58" s="25"/>
    </row>
    <row r="59" spans="2:27" ht="18" x14ac:dyDescent="0.35">
      <c r="D59" s="3" t="s">
        <v>216</v>
      </c>
      <c r="E59" s="53">
        <f>E54/E31</f>
        <v>13.458777842931957</v>
      </c>
      <c r="F59" s="12" t="s">
        <v>123</v>
      </c>
      <c r="M59" s="30"/>
      <c r="N59" s="3"/>
      <c r="Q59" s="27"/>
      <c r="R59" s="28"/>
      <c r="S59" s="25"/>
      <c r="T59" s="25"/>
      <c r="U59" s="25"/>
      <c r="V59" s="25"/>
      <c r="W59" s="25"/>
    </row>
    <row r="60" spans="2:27" x14ac:dyDescent="0.25">
      <c r="D60" s="3" t="s">
        <v>304</v>
      </c>
      <c r="E60" s="53">
        <f>MAX(E57,E59)</f>
        <v>22.935238030812275</v>
      </c>
      <c r="M60" s="30"/>
      <c r="N60" s="3"/>
      <c r="Q60" s="27" t="s">
        <v>262</v>
      </c>
      <c r="R60" s="42">
        <f>K17*E132/(E129*POWER(E10,2))</f>
        <v>37912.122128346018</v>
      </c>
      <c r="S60" s="42"/>
      <c r="T60" s="21"/>
      <c r="U60" s="21"/>
    </row>
    <row r="61" spans="2:27" ht="18" x14ac:dyDescent="0.35">
      <c r="B61">
        <v>2.4</v>
      </c>
      <c r="D61" s="12" t="s">
        <v>222</v>
      </c>
      <c r="M61" s="30"/>
      <c r="N61" s="3" t="s">
        <v>268</v>
      </c>
      <c r="P61" t="s">
        <v>274</v>
      </c>
    </row>
    <row r="62" spans="2:27" ht="18.75" x14ac:dyDescent="0.35">
      <c r="D62" s="3" t="s">
        <v>226</v>
      </c>
      <c r="E62" s="54" t="s">
        <v>223</v>
      </c>
      <c r="M62" s="30"/>
      <c r="N62" s="3"/>
      <c r="Q62" s="26" t="s">
        <v>261</v>
      </c>
      <c r="R62" s="29" t="s">
        <v>264</v>
      </c>
    </row>
    <row r="63" spans="2:27" ht="18" x14ac:dyDescent="0.35">
      <c r="D63" s="3" t="s">
        <v>226</v>
      </c>
      <c r="E63" s="12">
        <f>PI()*POWER(E14,2)/4*E12</f>
        <v>44.611914509625834</v>
      </c>
      <c r="F63" s="12" t="s">
        <v>123</v>
      </c>
      <c r="M63" s="30"/>
      <c r="N63" s="3"/>
      <c r="Q63" s="26" t="s">
        <v>261</v>
      </c>
      <c r="R63">
        <f>E118*E132/(E129*POWER(E7,2))</f>
        <v>6079.6882433960291</v>
      </c>
    </row>
    <row r="64" spans="2:27" x14ac:dyDescent="0.25">
      <c r="M64" s="30"/>
      <c r="N64" s="3" t="s">
        <v>269</v>
      </c>
      <c r="P64" t="s">
        <v>275</v>
      </c>
    </row>
    <row r="65" spans="1:18" x14ac:dyDescent="0.25">
      <c r="M65" s="30"/>
      <c r="Q65" s="26" t="s">
        <v>266</v>
      </c>
      <c r="R65" s="29" t="s">
        <v>265</v>
      </c>
    </row>
    <row r="66" spans="1:18" x14ac:dyDescent="0.25">
      <c r="B66">
        <v>2.5</v>
      </c>
      <c r="D66" s="12" t="s">
        <v>224</v>
      </c>
      <c r="I66" s="4"/>
      <c r="M66" s="30"/>
      <c r="Q66" s="26" t="s">
        <v>266</v>
      </c>
      <c r="R66">
        <f>E132*K8/POWER(E7,2)-K9*R63</f>
        <v>11304.823024632227</v>
      </c>
    </row>
    <row r="67" spans="1:18" ht="18" x14ac:dyDescent="0.35">
      <c r="D67" s="3" t="s">
        <v>225</v>
      </c>
      <c r="E67" s="12" t="s">
        <v>227</v>
      </c>
      <c r="M67" s="30"/>
    </row>
    <row r="68" spans="1:18" x14ac:dyDescent="0.25">
      <c r="D68" s="3" t="s">
        <v>225</v>
      </c>
      <c r="E68" s="55">
        <f>0.5*(E60+E63)*E31</f>
        <v>844339.40675547638</v>
      </c>
      <c r="F68" s="12" t="s">
        <v>110</v>
      </c>
      <c r="M68" s="33">
        <v>5.2</v>
      </c>
      <c r="N68" s="34" t="s">
        <v>128</v>
      </c>
    </row>
    <row r="69" spans="1:18" x14ac:dyDescent="0.25">
      <c r="D69" s="3"/>
      <c r="E69" s="55"/>
      <c r="N69" s="3" t="s">
        <v>270</v>
      </c>
      <c r="P69" t="s">
        <v>273</v>
      </c>
    </row>
    <row r="70" spans="1:18" x14ac:dyDescent="0.25">
      <c r="B70" s="17"/>
      <c r="C70" s="18" t="s">
        <v>101</v>
      </c>
      <c r="D70" s="3"/>
      <c r="E70" s="55"/>
      <c r="N70" s="3"/>
      <c r="Q70" s="26" t="s">
        <v>262</v>
      </c>
      <c r="R70" s="29" t="s">
        <v>276</v>
      </c>
    </row>
    <row r="71" spans="1:18" x14ac:dyDescent="0.25">
      <c r="B71" s="17"/>
      <c r="C71" s="18" t="s">
        <v>311</v>
      </c>
      <c r="D71" s="3"/>
      <c r="E71" s="55"/>
      <c r="N71" s="3"/>
      <c r="Q71" s="26" t="s">
        <v>262</v>
      </c>
      <c r="R71">
        <f>E110*E135/(E129*POWER(E10,2))</f>
        <v>63804.372989924283</v>
      </c>
    </row>
    <row r="72" spans="1:18" ht="18" x14ac:dyDescent="0.35">
      <c r="B72">
        <v>3.1</v>
      </c>
      <c r="D72" s="12" t="s">
        <v>232</v>
      </c>
      <c r="N72" s="3" t="s">
        <v>271</v>
      </c>
      <c r="P72" t="s">
        <v>274</v>
      </c>
    </row>
    <row r="73" spans="1:18" ht="18.75" x14ac:dyDescent="0.35">
      <c r="A73" s="17">
        <v>3</v>
      </c>
      <c r="D73" s="3" t="s">
        <v>229</v>
      </c>
      <c r="E73" s="12" t="s">
        <v>230</v>
      </c>
      <c r="N73" s="3"/>
      <c r="Q73" s="26" t="s">
        <v>261</v>
      </c>
      <c r="R73" s="29" t="s">
        <v>277</v>
      </c>
    </row>
    <row r="74" spans="1:18" ht="18" x14ac:dyDescent="0.35">
      <c r="A74" s="17"/>
      <c r="D74" s="3" t="s">
        <v>229</v>
      </c>
      <c r="E74" s="55">
        <f>PI()*POWER(E5,2)*E22/4</f>
        <v>433412.40443076543</v>
      </c>
      <c r="F74" s="12" t="s">
        <v>110</v>
      </c>
      <c r="N74" s="3"/>
      <c r="Q74" s="26" t="s">
        <v>261</v>
      </c>
      <c r="R74">
        <f>E119*E135/(E129*POWER(E7,2))</f>
        <v>10231.838118448821</v>
      </c>
    </row>
    <row r="75" spans="1:18" ht="18" x14ac:dyDescent="0.35">
      <c r="D75" s="3" t="s">
        <v>316</v>
      </c>
      <c r="E75" s="55" t="s">
        <v>315</v>
      </c>
      <c r="F75" s="12" t="s">
        <v>36</v>
      </c>
      <c r="N75" s="3" t="s">
        <v>272</v>
      </c>
      <c r="P75" t="s">
        <v>275</v>
      </c>
    </row>
    <row r="76" spans="1:18" ht="18" x14ac:dyDescent="0.35">
      <c r="D76" s="3" t="s">
        <v>316</v>
      </c>
      <c r="E76" s="43">
        <f>E11+0.5*E10</f>
        <v>2.7800000000000002</v>
      </c>
      <c r="F76" s="12" t="s">
        <v>36</v>
      </c>
      <c r="Q76" s="26" t="s">
        <v>266</v>
      </c>
      <c r="R76" s="29" t="s">
        <v>278</v>
      </c>
    </row>
    <row r="77" spans="1:18" ht="18" x14ac:dyDescent="0.35">
      <c r="D77" s="3" t="s">
        <v>319</v>
      </c>
      <c r="E77" s="43" t="s">
        <v>318</v>
      </c>
      <c r="F77" s="12" t="s">
        <v>114</v>
      </c>
      <c r="Q77" s="26" t="s">
        <v>266</v>
      </c>
      <c r="R77">
        <f>E135*K8/POWER(E7,2)-K9*R74</f>
        <v>19025.50172229535</v>
      </c>
    </row>
    <row r="78" spans="1:18" ht="18" x14ac:dyDescent="0.35">
      <c r="D78" s="3" t="s">
        <v>319</v>
      </c>
      <c r="E78" s="51">
        <f>E74*E76</f>
        <v>1204886.4843175281</v>
      </c>
      <c r="F78" s="12" t="s">
        <v>114</v>
      </c>
      <c r="Q78" s="3"/>
    </row>
    <row r="79" spans="1:18" x14ac:dyDescent="0.25">
      <c r="D79" s="3"/>
      <c r="E79" s="55"/>
      <c r="Q79" s="3"/>
    </row>
    <row r="80" spans="1:18" ht="18" x14ac:dyDescent="0.35">
      <c r="B80">
        <v>3.2</v>
      </c>
      <c r="D80" s="12" t="s">
        <v>233</v>
      </c>
      <c r="L80" s="30">
        <v>6</v>
      </c>
      <c r="M80" s="23" t="s">
        <v>283</v>
      </c>
    </row>
    <row r="81" spans="2:23" ht="18" x14ac:dyDescent="0.35">
      <c r="D81" s="3" t="s">
        <v>234</v>
      </c>
      <c r="E81" s="12" t="s">
        <v>235</v>
      </c>
      <c r="M81" s="33">
        <v>6.1</v>
      </c>
      <c r="N81" s="34" t="s">
        <v>161</v>
      </c>
    </row>
    <row r="82" spans="2:23" ht="18.75" x14ac:dyDescent="0.35">
      <c r="D82" s="3" t="s">
        <v>234</v>
      </c>
      <c r="E82" s="55">
        <f>E45-E74</f>
        <v>31457.149980902497</v>
      </c>
      <c r="F82" s="12" t="s">
        <v>110</v>
      </c>
      <c r="Q82" s="3" t="s">
        <v>284</v>
      </c>
      <c r="R82" t="s">
        <v>285</v>
      </c>
      <c r="U82" s="3" t="s">
        <v>286</v>
      </c>
      <c r="V82" t="s">
        <v>287</v>
      </c>
    </row>
    <row r="83" spans="2:23" ht="18" x14ac:dyDescent="0.35">
      <c r="D83" s="3" t="s">
        <v>236</v>
      </c>
      <c r="E83" s="12" t="s">
        <v>237</v>
      </c>
      <c r="Q83" s="3"/>
      <c r="U83" s="3"/>
    </row>
    <row r="84" spans="2:23" ht="18" x14ac:dyDescent="0.35">
      <c r="D84" s="3" t="s">
        <v>236</v>
      </c>
      <c r="E84" s="12" t="s">
        <v>238</v>
      </c>
      <c r="Q84" s="3" t="s">
        <v>284</v>
      </c>
      <c r="R84">
        <f>52.14*K14*V86/(V84*V85*POWER(E9,2)*E20*K11)</f>
        <v>0.6762957637357454</v>
      </c>
      <c r="U84" s="3" t="s">
        <v>286</v>
      </c>
      <c r="V84">
        <f>(E7*K15+1)/K6+POWER(E7,3)/K16</f>
        <v>1.5284090080718742</v>
      </c>
    </row>
    <row r="85" spans="2:23" ht="18" x14ac:dyDescent="0.35">
      <c r="D85" s="3" t="s">
        <v>236</v>
      </c>
      <c r="E85" s="12">
        <f>0.5*('Calculations and Parameters'!E11+'Calculations and Parameters'!E10+'Calculations and Parameters'!E94)</f>
        <v>3.6142766952966365</v>
      </c>
      <c r="F85" s="12" t="s">
        <v>36</v>
      </c>
      <c r="U85" s="3" t="s">
        <v>288</v>
      </c>
      <c r="V85" s="35">
        <v>29000000</v>
      </c>
      <c r="W85" t="s">
        <v>90</v>
      </c>
    </row>
    <row r="86" spans="2:23" ht="18" x14ac:dyDescent="0.35">
      <c r="D86" s="3" t="s">
        <v>321</v>
      </c>
      <c r="E86" s="12" t="s">
        <v>320</v>
      </c>
      <c r="F86" s="12" t="s">
        <v>114</v>
      </c>
      <c r="U86" s="3" t="s">
        <v>290</v>
      </c>
      <c r="V86">
        <f>'Data Sheet Template'!AC21</f>
        <v>1682480.0895704792</v>
      </c>
    </row>
    <row r="87" spans="2:23" ht="18" x14ac:dyDescent="0.35">
      <c r="D87" s="3" t="s">
        <v>321</v>
      </c>
      <c r="E87" s="12">
        <f>E82*E85</f>
        <v>113694.84407642693</v>
      </c>
      <c r="F87" s="12" t="s">
        <v>114</v>
      </c>
    </row>
    <row r="88" spans="2:23" x14ac:dyDescent="0.25">
      <c r="D88" s="3"/>
    </row>
    <row r="89" spans="2:23" x14ac:dyDescent="0.25">
      <c r="D89" s="3"/>
      <c r="M89" s="33">
        <v>6.1</v>
      </c>
      <c r="N89" s="34" t="s">
        <v>292</v>
      </c>
    </row>
    <row r="90" spans="2:23" ht="18" x14ac:dyDescent="0.35">
      <c r="B90">
        <v>3.3</v>
      </c>
      <c r="D90" s="12" t="s">
        <v>239</v>
      </c>
      <c r="M90" s="33"/>
      <c r="N90" s="34"/>
    </row>
    <row r="91" spans="2:23" ht="18.75" x14ac:dyDescent="0.35">
      <c r="D91" s="3" t="s">
        <v>317</v>
      </c>
      <c r="E91" s="12" t="s">
        <v>240</v>
      </c>
      <c r="M91" s="33"/>
      <c r="N91" s="34"/>
      <c r="Q91" s="3" t="s">
        <v>284</v>
      </c>
      <c r="R91" t="s">
        <v>294</v>
      </c>
      <c r="U91" s="3" t="s">
        <v>286</v>
      </c>
      <c r="V91" t="s">
        <v>287</v>
      </c>
    </row>
    <row r="92" spans="2:23" ht="18" x14ac:dyDescent="0.35">
      <c r="D92" s="3" t="s">
        <v>317</v>
      </c>
      <c r="E92" s="55">
        <f>E50-E45</f>
        <v>108511.39635863894</v>
      </c>
      <c r="F92" s="12" t="s">
        <v>110</v>
      </c>
      <c r="M92" s="33"/>
      <c r="N92" s="34"/>
      <c r="Q92" s="3" t="s">
        <v>284</v>
      </c>
      <c r="R92">
        <f>52.14*K14*V94/(V92*E19*POWER(E9,2)*V95*K11)</f>
        <v>1.1381749355739303</v>
      </c>
      <c r="U92" s="3" t="s">
        <v>286</v>
      </c>
      <c r="V92">
        <f>V84</f>
        <v>1.5284090080718742</v>
      </c>
    </row>
    <row r="93" spans="2:23" ht="18" x14ac:dyDescent="0.35">
      <c r="D93" s="3" t="s">
        <v>324</v>
      </c>
      <c r="E93" s="12" t="s">
        <v>325</v>
      </c>
      <c r="M93" s="33"/>
      <c r="N93" s="34"/>
    </row>
    <row r="94" spans="2:23" ht="18" x14ac:dyDescent="0.35">
      <c r="D94" s="3" t="s">
        <v>197</v>
      </c>
      <c r="E94" s="12">
        <f>0.5*(E6-E41)</f>
        <v>3.3535533905932731</v>
      </c>
      <c r="F94" s="12" t="s">
        <v>36</v>
      </c>
      <c r="U94" s="3" t="s">
        <v>293</v>
      </c>
      <c r="V94">
        <f>'Data Sheet Template'!AC22</f>
        <v>2831537.2803363404</v>
      </c>
    </row>
    <row r="95" spans="2:23" ht="18" x14ac:dyDescent="0.35">
      <c r="D95" s="3" t="s">
        <v>322</v>
      </c>
      <c r="E95" s="12" t="s">
        <v>323</v>
      </c>
      <c r="F95" s="12" t="s">
        <v>114</v>
      </c>
      <c r="U95" s="3" t="s">
        <v>289</v>
      </c>
      <c r="V95">
        <v>0.3</v>
      </c>
    </row>
    <row r="96" spans="2:23" ht="18" x14ac:dyDescent="0.35">
      <c r="D96" s="3" t="s">
        <v>322</v>
      </c>
      <c r="E96" s="55">
        <f>E92*E94</f>
        <v>363898.76117652416</v>
      </c>
      <c r="F96" s="12" t="s">
        <v>114</v>
      </c>
    </row>
    <row r="97" spans="2:22" ht="18" x14ac:dyDescent="0.35">
      <c r="D97" s="3" t="s">
        <v>327</v>
      </c>
      <c r="E97" s="55" t="s">
        <v>329</v>
      </c>
    </row>
    <row r="98" spans="2:22" ht="18" x14ac:dyDescent="0.35">
      <c r="D98" s="3" t="s">
        <v>327</v>
      </c>
      <c r="E98" s="55">
        <f>SUM(E78,E87,E96)</f>
        <v>1682480.0895704792</v>
      </c>
      <c r="F98" s="12" t="s">
        <v>114</v>
      </c>
      <c r="G98" s="3" t="s">
        <v>328</v>
      </c>
    </row>
    <row r="99" spans="2:22" x14ac:dyDescent="0.25">
      <c r="D99" s="3"/>
      <c r="E99" s="55"/>
    </row>
    <row r="100" spans="2:22" x14ac:dyDescent="0.25">
      <c r="C100" s="18" t="s">
        <v>312</v>
      </c>
      <c r="D100" s="3"/>
      <c r="E100" s="55"/>
    </row>
    <row r="101" spans="2:22" ht="18" customHeight="1" x14ac:dyDescent="0.35">
      <c r="C101" s="18"/>
      <c r="D101" s="3" t="s">
        <v>314</v>
      </c>
      <c r="E101" s="55" t="s">
        <v>313</v>
      </c>
    </row>
    <row r="102" spans="2:22" ht="18" x14ac:dyDescent="0.35">
      <c r="D102" s="3" t="s">
        <v>314</v>
      </c>
      <c r="E102" s="55">
        <f>E68</f>
        <v>844339.40675547638</v>
      </c>
      <c r="F102" s="12" t="s">
        <v>110</v>
      </c>
      <c r="U102" s="3"/>
      <c r="V102" s="35"/>
    </row>
    <row r="103" spans="2:22" ht="18" x14ac:dyDescent="0.35">
      <c r="D103" s="3" t="s">
        <v>197</v>
      </c>
      <c r="E103" s="12" t="s">
        <v>325</v>
      </c>
      <c r="F103" s="12" t="s">
        <v>36</v>
      </c>
      <c r="U103" s="3"/>
      <c r="V103" s="35"/>
    </row>
    <row r="104" spans="2:22" ht="18" x14ac:dyDescent="0.35">
      <c r="D104" s="3" t="s">
        <v>197</v>
      </c>
      <c r="E104" s="55">
        <f>E94</f>
        <v>3.3535533905932731</v>
      </c>
      <c r="F104" s="12" t="s">
        <v>36</v>
      </c>
      <c r="U104" s="3"/>
      <c r="V104" s="35"/>
    </row>
    <row r="105" spans="2:22" ht="18" x14ac:dyDescent="0.35">
      <c r="D105" s="3" t="s">
        <v>326</v>
      </c>
      <c r="E105" s="55" t="s">
        <v>323</v>
      </c>
      <c r="F105" s="12" t="s">
        <v>36</v>
      </c>
      <c r="U105" s="3"/>
      <c r="V105" s="35"/>
    </row>
    <row r="106" spans="2:22" ht="18" x14ac:dyDescent="0.35">
      <c r="D106" s="3" t="s">
        <v>326</v>
      </c>
      <c r="E106" s="55">
        <f>E102*E104</f>
        <v>2831537.2803363404</v>
      </c>
      <c r="F106" s="12" t="s">
        <v>114</v>
      </c>
      <c r="U106" s="3"/>
      <c r="V106" s="35"/>
    </row>
    <row r="107" spans="2:22" x14ac:dyDescent="0.25">
      <c r="D107" s="3"/>
      <c r="E107" s="55"/>
      <c r="U107" s="3"/>
      <c r="V107" s="35"/>
    </row>
    <row r="108" spans="2:22" x14ac:dyDescent="0.25">
      <c r="B108">
        <v>3.4</v>
      </c>
      <c r="D108" s="12" t="s">
        <v>279</v>
      </c>
      <c r="U108" s="3"/>
      <c r="V108" s="35"/>
    </row>
    <row r="109" spans="2:22" ht="18" x14ac:dyDescent="0.35">
      <c r="D109" s="24" t="s">
        <v>280</v>
      </c>
      <c r="E109" s="54" t="s">
        <v>243</v>
      </c>
      <c r="G109" s="12" t="s">
        <v>331</v>
      </c>
      <c r="U109" s="3"/>
      <c r="V109" s="35"/>
    </row>
    <row r="110" spans="2:22" x14ac:dyDescent="0.25">
      <c r="D110" s="24" t="s">
        <v>280</v>
      </c>
      <c r="E110" s="12">
        <f>K17</f>
        <v>4.8314985102273207</v>
      </c>
      <c r="U110" s="3"/>
      <c r="V110" s="35"/>
    </row>
    <row r="111" spans="2:22" x14ac:dyDescent="0.25">
      <c r="D111" s="24"/>
      <c r="U111" s="3"/>
      <c r="V111" s="35"/>
    </row>
    <row r="112" spans="2:22" x14ac:dyDescent="0.25">
      <c r="B112" s="18"/>
      <c r="C112" s="23" t="s">
        <v>256</v>
      </c>
      <c r="U112" s="3"/>
      <c r="V112" s="35"/>
    </row>
    <row r="113" spans="1:22" x14ac:dyDescent="0.25">
      <c r="D113" s="3" t="s">
        <v>244</v>
      </c>
      <c r="E113" s="12" t="s">
        <v>245</v>
      </c>
      <c r="G113" s="12"/>
      <c r="U113" s="3"/>
      <c r="V113" s="35"/>
    </row>
    <row r="114" spans="1:22" x14ac:dyDescent="0.25">
      <c r="D114" s="3" t="s">
        <v>244</v>
      </c>
      <c r="E114" s="12">
        <f>E7*K15+1</f>
        <v>1.6341765884610717</v>
      </c>
      <c r="G114" s="12"/>
      <c r="U114" s="3"/>
      <c r="V114" s="35"/>
    </row>
    <row r="115" spans="1:22" x14ac:dyDescent="0.25">
      <c r="A115" s="17">
        <v>4</v>
      </c>
      <c r="D115" s="37" t="s">
        <v>244</v>
      </c>
      <c r="E115" s="58">
        <f>E7*K15+1</f>
        <v>1.6341765884610717</v>
      </c>
      <c r="F115" s="56"/>
      <c r="G115" s="56"/>
      <c r="U115" s="3"/>
      <c r="V115" s="35"/>
    </row>
    <row r="116" spans="1:22" x14ac:dyDescent="0.25">
      <c r="F116" s="56"/>
      <c r="G116" s="24"/>
    </row>
    <row r="117" spans="1:22" x14ac:dyDescent="0.25">
      <c r="D117" s="3" t="s">
        <v>248</v>
      </c>
      <c r="E117" s="12" t="s">
        <v>249</v>
      </c>
      <c r="F117" s="56"/>
      <c r="G117" s="24"/>
    </row>
    <row r="118" spans="1:22" x14ac:dyDescent="0.25">
      <c r="D118" s="3" t="s">
        <v>248</v>
      </c>
      <c r="E118" s="12">
        <f>4/3*E7*K15+1</f>
        <v>1.8455687846147621</v>
      </c>
      <c r="F118" s="56"/>
      <c r="G118" s="56"/>
    </row>
    <row r="119" spans="1:22" x14ac:dyDescent="0.25">
      <c r="D119" s="37" t="s">
        <v>248</v>
      </c>
      <c r="E119" s="58">
        <f>4/3*E7*K15+1</f>
        <v>1.8455687846147621</v>
      </c>
      <c r="F119" s="56"/>
      <c r="G119" s="56"/>
    </row>
    <row r="120" spans="1:22" x14ac:dyDescent="0.25">
      <c r="F120" s="56"/>
      <c r="G120" s="24"/>
    </row>
    <row r="121" spans="1:22" x14ac:dyDescent="0.25">
      <c r="D121" s="3" t="s">
        <v>250</v>
      </c>
      <c r="E121" s="12" t="s">
        <v>251</v>
      </c>
      <c r="F121" s="56"/>
      <c r="G121" s="24"/>
    </row>
    <row r="122" spans="1:22" x14ac:dyDescent="0.25">
      <c r="D122" s="3" t="s">
        <v>250</v>
      </c>
      <c r="E122" s="12">
        <f>E114/K6</f>
        <v>0.92998947328286075</v>
      </c>
      <c r="F122" s="56"/>
      <c r="G122" s="56"/>
    </row>
    <row r="123" spans="1:22" x14ac:dyDescent="0.25">
      <c r="D123" s="37" t="s">
        <v>250</v>
      </c>
      <c r="E123" s="58">
        <f>E115/K6</f>
        <v>0.92998947328286075</v>
      </c>
      <c r="F123" s="56"/>
      <c r="G123" s="56"/>
    </row>
    <row r="124" spans="1:22" x14ac:dyDescent="0.25">
      <c r="F124" s="56"/>
      <c r="G124" s="24"/>
    </row>
    <row r="125" spans="1:22" ht="17.25" x14ac:dyDescent="0.25">
      <c r="D125" s="3" t="s">
        <v>252</v>
      </c>
      <c r="E125" s="12" t="s">
        <v>253</v>
      </c>
      <c r="H125" s="24"/>
      <c r="I125" s="57"/>
      <c r="J125" s="57"/>
    </row>
    <row r="126" spans="1:22" x14ac:dyDescent="0.25">
      <c r="D126" s="37" t="s">
        <v>252</v>
      </c>
      <c r="E126" s="58">
        <f>POWER(E7,3)/K16</f>
        <v>0.59841953478901333</v>
      </c>
      <c r="H126" s="24"/>
      <c r="I126" s="57"/>
      <c r="J126" s="57"/>
    </row>
    <row r="127" spans="1:22" x14ac:dyDescent="0.25">
      <c r="H127" s="24"/>
      <c r="I127" s="57"/>
      <c r="J127" s="57"/>
    </row>
    <row r="128" spans="1:22" x14ac:dyDescent="0.25">
      <c r="D128" s="3" t="s">
        <v>254</v>
      </c>
      <c r="E128" s="12" t="s">
        <v>255</v>
      </c>
      <c r="H128" s="24"/>
      <c r="I128" s="57"/>
      <c r="J128" s="57"/>
    </row>
    <row r="129" spans="4:10" x14ac:dyDescent="0.25">
      <c r="D129" s="37" t="s">
        <v>254</v>
      </c>
      <c r="E129" s="58">
        <f>E123+E126</f>
        <v>1.5284090080718742</v>
      </c>
      <c r="H129" s="24"/>
      <c r="I129" s="57"/>
      <c r="J129" s="57"/>
    </row>
    <row r="130" spans="4:10" x14ac:dyDescent="0.25">
      <c r="H130" s="24"/>
      <c r="I130" s="57"/>
      <c r="J130" s="57"/>
    </row>
    <row r="131" spans="4:10" ht="18" x14ac:dyDescent="0.35">
      <c r="D131" s="3" t="s">
        <v>258</v>
      </c>
      <c r="E131" s="12" t="s">
        <v>257</v>
      </c>
      <c r="H131" s="24"/>
      <c r="I131" s="57"/>
      <c r="J131" s="57"/>
    </row>
    <row r="132" spans="4:10" ht="18" x14ac:dyDescent="0.35">
      <c r="D132" s="37" t="s">
        <v>258</v>
      </c>
      <c r="E132" s="58">
        <f>'Data Sheet Template'!AC21/E5</f>
        <v>57520.686822922369</v>
      </c>
      <c r="H132" s="24"/>
      <c r="I132" s="57"/>
      <c r="J132" s="57"/>
    </row>
    <row r="133" spans="4:10" x14ac:dyDescent="0.25">
      <c r="H133" s="24"/>
      <c r="I133" s="57"/>
      <c r="J133" s="57"/>
    </row>
    <row r="134" spans="4:10" ht="18" x14ac:dyDescent="0.35">
      <c r="D134" s="3" t="s">
        <v>259</v>
      </c>
      <c r="E134" s="12" t="s">
        <v>260</v>
      </c>
      <c r="H134" s="24"/>
      <c r="I134" s="57"/>
      <c r="J134" s="57"/>
    </row>
    <row r="135" spans="4:10" ht="18" x14ac:dyDescent="0.35">
      <c r="D135" s="37" t="s">
        <v>259</v>
      </c>
      <c r="E135" s="58">
        <f>'Data Sheet Template'!AC22/E5</f>
        <v>96804.693344832151</v>
      </c>
    </row>
  </sheetData>
  <mergeCells count="1">
    <mergeCell ref="Q5:Y5"/>
  </mergeCells>
  <phoneticPr fontId="2" type="noConversion"/>
  <printOptions horizontalCentered="1" gridLines="1"/>
  <pageMargins left="0.39370078740157483" right="0.39370078740157483" top="0.74803149606299213" bottom="0.74803149606299213" header="0.31496062992125984" footer="0.31496062992125984"/>
  <pageSetup paperSize="17" scale="55" orientation="portrait" r:id="rId1"/>
  <headerFooter>
    <oddHeader>&amp;C
&amp;"-,Bold"&amp;UASME Integral Type Flange Calculation</oddHeader>
    <oddFooter>&amp;L&amp;F
&amp;A&amp;CPage &amp;P of &amp;N&amp;RPrint Date : 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C474-5B51-46B2-AB95-27E86CD9819C}">
  <dimension ref="A1"/>
  <sheetViews>
    <sheetView tabSelected="1" topLeftCell="I55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Sheet Template</vt:lpstr>
      <vt:lpstr>Calculations and Parameters</vt:lpstr>
      <vt:lpstr>Sheet1</vt:lpstr>
      <vt:lpstr>'Calculations and Parameters'!Print_Area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Evenson</dc:creator>
  <cp:lastModifiedBy>Brian Murphy</cp:lastModifiedBy>
  <cp:lastPrinted>2020-01-17T19:20:32Z</cp:lastPrinted>
  <dcterms:created xsi:type="dcterms:W3CDTF">2019-12-16T16:14:58Z</dcterms:created>
  <dcterms:modified xsi:type="dcterms:W3CDTF">2020-01-21T00:06:28Z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Project Name">
    <vt:lpwstr>CST laterals</vt:lpwstr>
  </property>
  <property fmtid="{D5CDD505-2E9C-101B-9397-08002B2CF9AE}" pid="3" name="Date">
    <vt:lpwstr>01/21/2020</vt:lpwstr>
  </property>
  <property fmtid="{D5CDD505-2E9C-101B-9397-08002B2CF9AE}" pid="4" name="ProjectNumber">
    <vt:lpwstr>037</vt:lpwstr>
  </property>
</Properties>
</file>