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Таня\Desktop\работа\Шаблоны\"/>
    </mc:Choice>
  </mc:AlternateContent>
  <bookViews>
    <workbookView xWindow="0" yWindow="0" windowWidth="20490" windowHeight="7065" firstSheet="2" activeTab="2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2" sheetId="26" r:id="rId10"/>
    <sheet name="Печать 3" sheetId="27" r:id="rId11"/>
    <sheet name="Параметры установки" sheetId="22" r:id="rId12"/>
    <sheet name="Погрешности прямые (t)" sheetId="13" r:id="rId13"/>
    <sheet name="Погрешности прямые (a)" sheetId="5" r:id="rId14"/>
    <sheet name="Погрешности косвенные (a)" sheetId="12" r:id="rId15"/>
    <sheet name="Погрешности прямые (e)" sheetId="6" r:id="rId16"/>
    <sheet name="Погрешности косвенные (e)" sheetId="10" r:id="rId17"/>
    <sheet name="Погрешности прямые (M)" sheetId="7" r:id="rId18"/>
    <sheet name="Погрешности косвенные (M)" sheetId="11" r:id="rId19"/>
    <sheet name="МНК рис.1" sheetId="8" r:id="rId20"/>
    <sheet name="МНК рис.2" sheetId="14" r:id="rId21"/>
    <sheet name="МНК рис.3" sheetId="15" r:id="rId22"/>
    <sheet name="МНК рис.4" sheetId="16" r:id="rId23"/>
    <sheet name="МНК рис.5" sheetId="17" r:id="rId24"/>
    <sheet name="МНК рис.6" sheetId="18" r:id="rId25"/>
    <sheet name="МНК I" sheetId="21" r:id="rId2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5" l="1"/>
  <c r="F19" i="25"/>
  <c r="E19" i="25"/>
  <c r="D19" i="25"/>
  <c r="C19" i="25"/>
  <c r="B19" i="25"/>
  <c r="A16" i="25"/>
  <c r="G15" i="25"/>
  <c r="F15" i="25"/>
  <c r="E15" i="25"/>
  <c r="D15" i="25"/>
  <c r="C15" i="25"/>
  <c r="B15" i="25"/>
  <c r="A12" i="25"/>
  <c r="G11" i="25"/>
  <c r="F11" i="25"/>
  <c r="E11" i="25"/>
  <c r="D11" i="25"/>
  <c r="C11" i="25"/>
  <c r="B11" i="25"/>
  <c r="A8" i="25"/>
  <c r="G7" i="25"/>
  <c r="F7" i="25"/>
  <c r="E7" i="25"/>
  <c r="D7" i="25"/>
  <c r="C7" i="25"/>
  <c r="B7" i="25"/>
  <c r="A4" i="25"/>
  <c r="A15" i="1"/>
  <c r="A11" i="1"/>
  <c r="A7" i="1"/>
  <c r="A3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H2" i="13"/>
  <c r="B2" i="12" l="1"/>
  <c r="B4" i="10"/>
  <c r="B4" i="12"/>
  <c r="B2" i="10"/>
  <c r="C2" i="21"/>
  <c r="E4" i="21"/>
  <c r="C3" i="21"/>
  <c r="E7" i="21"/>
  <c r="E6" i="21"/>
  <c r="E5" i="21"/>
  <c r="E3" i="21"/>
  <c r="C7" i="21"/>
  <c r="C6" i="21"/>
  <c r="C5" i="21"/>
  <c r="C4" i="21"/>
  <c r="B4" i="13"/>
  <c r="B3" i="11"/>
  <c r="B3" i="10"/>
  <c r="B3" i="13"/>
  <c r="B2" i="13"/>
  <c r="B3" i="12"/>
  <c r="I2" i="13" l="1"/>
  <c r="K2" i="13" s="1"/>
  <c r="M2" i="13" s="1"/>
  <c r="B5" i="10" s="1"/>
  <c r="P2" i="21"/>
  <c r="N2" i="13" l="1"/>
  <c r="B5" i="11"/>
  <c r="B5" i="12"/>
  <c r="B7" i="12" s="1"/>
  <c r="B8" i="12" s="1"/>
  <c r="B6" i="12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B4" i="11" s="1"/>
  <c r="G18" i="1"/>
  <c r="B26" i="2" s="1"/>
  <c r="C26" i="2" s="1"/>
  <c r="D26" i="2" s="1"/>
  <c r="A5" i="18" s="1"/>
  <c r="F18" i="1"/>
  <c r="B25" i="2" s="1"/>
  <c r="C25" i="2" s="1"/>
  <c r="D25" i="2" s="1"/>
  <c r="A5" i="17" s="1"/>
  <c r="E18" i="1"/>
  <c r="B24" i="2" s="1"/>
  <c r="C24" i="2" s="1"/>
  <c r="D24" i="2" s="1"/>
  <c r="A5" i="16" s="1"/>
  <c r="D18" i="1"/>
  <c r="B23" i="2" s="1"/>
  <c r="C23" i="2" s="1"/>
  <c r="D23" i="2" s="1"/>
  <c r="A5" i="15" s="1"/>
  <c r="C18" i="1"/>
  <c r="B22" i="2" s="1"/>
  <c r="C22" i="2" s="1"/>
  <c r="D22" i="2" s="1"/>
  <c r="A5" i="14" s="1"/>
  <c r="B18" i="1"/>
  <c r="B21" i="2" s="1"/>
  <c r="C21" i="2" s="1"/>
  <c r="D21" i="2" s="1"/>
  <c r="A5" i="8" s="1"/>
  <c r="G14" i="1"/>
  <c r="B20" i="2" s="1"/>
  <c r="C20" i="2" s="1"/>
  <c r="D20" i="2" s="1"/>
  <c r="A4" i="18" s="1"/>
  <c r="F14" i="1"/>
  <c r="B19" i="2" s="1"/>
  <c r="C19" i="2" s="1"/>
  <c r="D19" i="2" s="1"/>
  <c r="A4" i="17" s="1"/>
  <c r="E14" i="1"/>
  <c r="B18" i="2" s="1"/>
  <c r="C18" i="2" s="1"/>
  <c r="D18" i="2" s="1"/>
  <c r="A4" i="16" s="1"/>
  <c r="D14" i="1"/>
  <c r="B17" i="2" s="1"/>
  <c r="C17" i="2" s="1"/>
  <c r="D17" i="2" s="1"/>
  <c r="A4" i="15" s="1"/>
  <c r="C14" i="1"/>
  <c r="B16" i="2" s="1"/>
  <c r="C16" i="2" s="1"/>
  <c r="D16" i="2" s="1"/>
  <c r="A4" i="14" s="1"/>
  <c r="B14" i="1"/>
  <c r="B15" i="2" s="1"/>
  <c r="C15" i="2" s="1"/>
  <c r="D15" i="2" s="1"/>
  <c r="A4" i="8" s="1"/>
  <c r="C10" i="1"/>
  <c r="B10" i="2" s="1"/>
  <c r="C10" i="2" s="1"/>
  <c r="D10" i="2" s="1"/>
  <c r="A3" i="14" s="1"/>
  <c r="D10" i="1"/>
  <c r="B11" i="2" s="1"/>
  <c r="C11" i="2" s="1"/>
  <c r="D11" i="2" s="1"/>
  <c r="A3" i="15" s="1"/>
  <c r="E10" i="1"/>
  <c r="B12" i="2" s="1"/>
  <c r="C12" i="2" s="1"/>
  <c r="D12" i="2" s="1"/>
  <c r="A3" i="16" s="1"/>
  <c r="F10" i="1"/>
  <c r="B13" i="2" s="1"/>
  <c r="C13" i="2" s="1"/>
  <c r="D13" i="2" s="1"/>
  <c r="A3" i="17" s="1"/>
  <c r="G10" i="1"/>
  <c r="B14" i="2" s="1"/>
  <c r="C14" i="2" s="1"/>
  <c r="D14" i="2" s="1"/>
  <c r="A3" i="18" s="1"/>
  <c r="B10" i="1"/>
  <c r="B9" i="2" s="1"/>
  <c r="C9" i="2" s="1"/>
  <c r="D9" i="2" s="1"/>
  <c r="A3" i="8" s="1"/>
  <c r="C6" i="1"/>
  <c r="B4" i="2" s="1"/>
  <c r="C4" i="2" s="1"/>
  <c r="D6" i="1"/>
  <c r="B5" i="2" s="1"/>
  <c r="C5" i="2" s="1"/>
  <c r="E6" i="1"/>
  <c r="B6" i="2" s="1"/>
  <c r="C6" i="2" s="1"/>
  <c r="F6" i="1"/>
  <c r="B7" i="2" s="1"/>
  <c r="C7" i="2" s="1"/>
  <c r="A6" i="5" s="1"/>
  <c r="G6" i="1"/>
  <c r="B8" i="2" s="1"/>
  <c r="C8" i="2" s="1"/>
  <c r="B6" i="1"/>
  <c r="B3" i="2" s="1"/>
  <c r="C3" i="2" s="1"/>
  <c r="B2" i="11" l="1"/>
  <c r="B7" i="11" s="1"/>
  <c r="B8" i="11" s="1"/>
  <c r="D5" i="2"/>
  <c r="A4" i="5"/>
  <c r="D6" i="2"/>
  <c r="A5" i="5"/>
  <c r="D3" i="2"/>
  <c r="A2" i="5"/>
  <c r="D8" i="2"/>
  <c r="A7" i="5"/>
  <c r="E26" i="2"/>
  <c r="B5" i="18" s="1"/>
  <c r="D4" i="2"/>
  <c r="A3" i="5"/>
  <c r="G5" i="4"/>
  <c r="P2" i="4"/>
  <c r="G4" i="4"/>
  <c r="G6" i="4"/>
  <c r="G7" i="4"/>
  <c r="G2" i="4"/>
  <c r="G8" i="4"/>
  <c r="G3" i="4"/>
  <c r="E6" i="2"/>
  <c r="D7" i="2"/>
  <c r="E7" i="2"/>
  <c r="E10" i="2"/>
  <c r="B3" i="14" s="1"/>
  <c r="E5" i="2"/>
  <c r="E18" i="2"/>
  <c r="B4" i="16" s="1"/>
  <c r="E22" i="2"/>
  <c r="B5" i="14" s="1"/>
  <c r="E23" i="2"/>
  <c r="B5" i="15" s="1"/>
  <c r="E4" i="2"/>
  <c r="E24" i="2"/>
  <c r="B5" i="16" s="1"/>
  <c r="E3" i="2"/>
  <c r="E25" i="2"/>
  <c r="B5" i="17" s="1"/>
  <c r="E8" i="2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4" i="5" s="1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H2" i="7"/>
  <c r="B9" i="11" s="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R2" i="4" s="1"/>
  <c r="R4" i="4" s="1"/>
  <c r="R6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Q2" i="4" l="1"/>
  <c r="Q4" i="4" s="1"/>
  <c r="Q6" i="4" s="1"/>
  <c r="B4" i="7"/>
  <c r="B7" i="7"/>
  <c r="B6" i="7"/>
  <c r="B3" i="7"/>
  <c r="E2" i="8"/>
  <c r="F2" i="8"/>
  <c r="C2" i="17"/>
  <c r="I2" i="5"/>
  <c r="K2" i="5" s="1"/>
  <c r="M2" i="5" s="1"/>
  <c r="N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G2" i="8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G3" i="14" s="1"/>
  <c r="C5" i="14"/>
  <c r="E5" i="14"/>
  <c r="G5" i="14" s="1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5" i="17" l="1"/>
  <c r="G5" i="8"/>
  <c r="G4" i="8"/>
  <c r="G3" i="17"/>
  <c r="G4" i="17"/>
  <c r="G5" i="16"/>
  <c r="P2" i="8"/>
  <c r="P2" i="17"/>
  <c r="G5" i="18"/>
  <c r="G3" i="8"/>
  <c r="G4" i="14"/>
  <c r="N2" i="14" s="1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7" l="1"/>
  <c r="N2" i="8"/>
  <c r="O2" i="8" s="1"/>
  <c r="O2" i="17"/>
  <c r="H2" i="17" s="1"/>
  <c r="I2" i="17" s="1"/>
  <c r="F4" i="19"/>
  <c r="B6" i="21" s="1"/>
  <c r="O2" i="14"/>
  <c r="H5" i="14" s="1"/>
  <c r="I5" i="14" s="1"/>
  <c r="C4" i="19"/>
  <c r="B3" i="21" s="1"/>
  <c r="N2" i="15"/>
  <c r="N2" i="18"/>
  <c r="N2" i="16"/>
  <c r="B7" i="10"/>
  <c r="B8" i="10" s="1"/>
  <c r="B9" i="10" s="1"/>
  <c r="N2" i="6"/>
  <c r="H4" i="8" l="1"/>
  <c r="I4" i="8" s="1"/>
  <c r="H5" i="8"/>
  <c r="I5" i="8" s="1"/>
  <c r="B4" i="19"/>
  <c r="B2" i="21" s="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R4" i="17"/>
  <c r="R6" i="17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N2" i="21" l="1"/>
  <c r="O2" i="21" s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</calcChain>
</file>

<file path=xl/sharedStrings.xml><?xml version="1.0" encoding="utf-8"?>
<sst xmlns="http://schemas.openxmlformats.org/spreadsheetml/2006/main" count="304" uniqueCount="77">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</sst>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1.4584948178959515E-4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1.4584948178959515E-4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</c:formatCode>
                <c:ptCount val="4"/>
                <c:pt idx="0">
                  <c:v>3.3125372594716755</c:v>
                </c:pt>
                <c:pt idx="1">
                  <c:v>5.9691389829686248</c:v>
                </c:pt>
                <c:pt idx="2">
                  <c:v>9.4845236661447672</c:v>
                </c:pt>
                <c:pt idx="3">
                  <c:v>12.65292465323957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</c:formatCode>
                <c:ptCount val="4"/>
                <c:pt idx="0">
                  <c:v>5.9713927299860449E-2</c:v>
                </c:pt>
                <c:pt idx="1">
                  <c:v>0.10823201250779067</c:v>
                </c:pt>
                <c:pt idx="2">
                  <c:v>0.1558105596952909</c:v>
                </c:pt>
                <c:pt idx="3">
                  <c:v>0.20274102084977044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</c:formatCode>
                <c:ptCount val="4"/>
                <c:pt idx="0">
                  <c:v>2.5044153737473227</c:v>
                </c:pt>
                <c:pt idx="1">
                  <c:v>4.7054354464111947</c:v>
                </c:pt>
                <c:pt idx="2">
                  <c:v>6.931690882015304</c:v>
                </c:pt>
                <c:pt idx="3">
                  <c:v>9.3854692675043481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</c:formatCode>
                <c:ptCount val="4"/>
                <c:pt idx="0">
                  <c:v>5.982806885936582E-2</c:v>
                </c:pt>
                <c:pt idx="1">
                  <c:v>0.10855757160398921</c:v>
                </c:pt>
                <c:pt idx="2">
                  <c:v>0.15676532681505367</c:v>
                </c:pt>
                <c:pt idx="3">
                  <c:v>0.20434332542419342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</c:formatCode>
                <c:ptCount val="4"/>
                <c:pt idx="0">
                  <c:v>1.6964714484461114</c:v>
                </c:pt>
                <c:pt idx="1">
                  <c:v>3.3022578637767253</c:v>
                </c:pt>
                <c:pt idx="2">
                  <c:v>4.9784222929325015</c:v>
                </c:pt>
                <c:pt idx="3">
                  <c:v>6.4026423603391871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</c:formatCode>
                <c:ptCount val="4"/>
                <c:pt idx="0">
                  <c:v>5.994218528320714E-2</c:v>
                </c:pt>
                <c:pt idx="1">
                  <c:v>0.10891906242236025</c:v>
                </c:pt>
                <c:pt idx="2">
                  <c:v>0.1574958551271764</c:v>
                </c:pt>
                <c:pt idx="3">
                  <c:v>0.20580605303140981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</c:formatCode>
                <c:ptCount val="4"/>
                <c:pt idx="0">
                  <c:v>1.2797399503418239</c:v>
                </c:pt>
                <c:pt idx="1">
                  <c:v>2.4445510346300341</c:v>
                </c:pt>
                <c:pt idx="2">
                  <c:v>3.6269280756846625</c:v>
                </c:pt>
                <c:pt idx="3">
                  <c:v>4.793881546154636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</c:formatCode>
                <c:ptCount val="4"/>
                <c:pt idx="0">
                  <c:v>6.0001045690193884E-2</c:v>
                </c:pt>
                <c:pt idx="1">
                  <c:v>0.10914002742880551</c:v>
                </c:pt>
                <c:pt idx="2">
                  <c:v>0.15800131801890974</c:v>
                </c:pt>
                <c:pt idx="3">
                  <c:v>0.20659496198575206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</c:formatCode>
                <c:ptCount val="4"/>
                <c:pt idx="0">
                  <c:v>0.99283407820710023</c:v>
                </c:pt>
                <c:pt idx="1">
                  <c:v>1.8822818538408732</c:v>
                </c:pt>
                <c:pt idx="2">
                  <c:v>2.7910424284301949</c:v>
                </c:pt>
                <c:pt idx="3">
                  <c:v>3.7171093350539808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</c:formatCode>
                <c:ptCount val="4"/>
                <c:pt idx="0">
                  <c:v>6.0041569136291807E-2</c:v>
                </c:pt>
                <c:pt idx="1">
                  <c:v>0.10928488090196795</c:v>
                </c:pt>
                <c:pt idx="2">
                  <c:v>0.15831394175863983</c:v>
                </c:pt>
                <c:pt idx="3">
                  <c:v>0.20712299277294824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</c:formatCode>
                <c:ptCount val="4"/>
                <c:pt idx="0">
                  <c:v>0.76046229541029375</c:v>
                </c:pt>
                <c:pt idx="1">
                  <c:v>1.4985351462151659</c:v>
                </c:pt>
                <c:pt idx="2">
                  <c:v>2.1972448189185156</c:v>
                </c:pt>
                <c:pt idx="3">
                  <c:v>2.855901090625562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</c:formatCode>
                <c:ptCount val="4"/>
                <c:pt idx="0">
                  <c:v>6.0074390024009376E-2</c:v>
                </c:pt>
                <c:pt idx="1">
                  <c:v>0.1093837428800266</c:v>
                </c:pt>
                <c:pt idx="2">
                  <c:v>0.15853602384599005</c:v>
                </c:pt>
                <c:pt idx="3">
                  <c:v>0.20754531465547579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1.5068213537674789E-2</c:v>
                </c:pt>
                <c:pt idx="1">
                  <c:v>2.1048078241893361E-2</c:v>
                </c:pt>
                <c:pt idx="2">
                  <c:v>3.0749652241374853E-2</c:v>
                </c:pt>
                <c:pt idx="3">
                  <c:v>4.1675635135226742E-2</c:v>
                </c:pt>
                <c:pt idx="4">
                  <c:v>5.3980073805964597E-2</c:v>
                </c:pt>
                <c:pt idx="5">
                  <c:v>7.0331102837393106E-2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1.5068213537674789E-2</c:v>
                </c:pt>
                <c:pt idx="1">
                  <c:v>2.1048078241893361E-2</c:v>
                </c:pt>
                <c:pt idx="2">
                  <c:v>3.0749652241374853E-2</c:v>
                </c:pt>
                <c:pt idx="3">
                  <c:v>4.1675635135226742E-2</c:v>
                </c:pt>
                <c:pt idx="4">
                  <c:v>5.3980073805964597E-2</c:v>
                </c:pt>
                <c:pt idx="5">
                  <c:v>7.0331102837393106E-2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9"/>
  <sheetViews>
    <sheetView workbookViewId="0">
      <selection activeCell="A18" sqref="A18"/>
    </sheetView>
  </sheetViews>
  <sheetFormatPr defaultRowHeight="15" x14ac:dyDescent="0.25"/>
  <cols>
    <col min="1" max="1" width="26.28515625" customWidth="1"/>
  </cols>
  <sheetData>
    <row r="1" spans="1:7" x14ac:dyDescent="0.25">
      <c r="A1" s="32" t="s">
        <v>42</v>
      </c>
    </row>
    <row r="2" spans="1:7" ht="45" x14ac:dyDescent="0.25">
      <c r="A2" s="32" t="s">
        <v>38</v>
      </c>
      <c r="B2" s="28">
        <v>1</v>
      </c>
      <c r="C2" s="28">
        <v>1</v>
      </c>
      <c r="D2" s="28">
        <v>1</v>
      </c>
      <c r="E2" s="28">
        <v>1</v>
      </c>
      <c r="F2" s="28"/>
      <c r="G2" s="28"/>
    </row>
    <row r="3" spans="1:7" ht="30" x14ac:dyDescent="0.25">
      <c r="A3" s="32" t="s">
        <v>41</v>
      </c>
      <c r="B3" s="28">
        <v>1</v>
      </c>
      <c r="C3" s="28">
        <v>1</v>
      </c>
      <c r="D3" s="28">
        <v>1</v>
      </c>
      <c r="E3" s="28">
        <v>1</v>
      </c>
      <c r="F3" s="28"/>
      <c r="G3" s="28"/>
    </row>
    <row r="4" spans="1:7" ht="30" x14ac:dyDescent="0.25">
      <c r="A4" s="32" t="s">
        <v>40</v>
      </c>
    </row>
    <row r="5" spans="1:7" ht="30" x14ac:dyDescent="0.25">
      <c r="A5" s="32" t="s">
        <v>43</v>
      </c>
    </row>
    <row r="6" spans="1:7" ht="30" x14ac:dyDescent="0.25">
      <c r="A6" s="32" t="s">
        <v>46</v>
      </c>
      <c r="B6" s="31"/>
    </row>
    <row r="7" spans="1:7" x14ac:dyDescent="0.25">
      <c r="A7" s="32" t="s">
        <v>44</v>
      </c>
      <c r="B7">
        <f>B5*B5*B2*B2</f>
        <v>0</v>
      </c>
    </row>
    <row r="8" spans="1:7" ht="30" x14ac:dyDescent="0.25">
      <c r="A8" s="32" t="s">
        <v>39</v>
      </c>
      <c r="B8">
        <f>SQRT(SUM(7:7))</f>
        <v>0</v>
      </c>
    </row>
    <row r="9" spans="1:7" ht="30" x14ac:dyDescent="0.25">
      <c r="A9" s="32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"/>
  <sheetViews>
    <sheetView workbookViewId="0">
      <selection activeCell="E3" sqref="E3"/>
    </sheetView>
  </sheetViews>
  <sheetFormatPr defaultRowHeight="15" x14ac:dyDescent="0.25"/>
  <sheetData>
    <row r="1" spans="1:5" ht="18" x14ac:dyDescent="0.35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25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"/>
  <sheetViews>
    <sheetView workbookViewId="0">
      <selection activeCell="H30" sqref="H30"/>
    </sheetView>
  </sheetViews>
  <sheetFormatPr defaultRowHeight="15" x14ac:dyDescent="0.25"/>
  <cols>
    <col min="1" max="1" width="9.5703125" bestFit="1" customWidth="1"/>
    <col min="2" max="2" width="17" bestFit="1" customWidth="1"/>
    <col min="9" max="9" width="9.140625" customWidth="1"/>
    <col min="10" max="10" width="12" customWidth="1"/>
    <col min="11" max="11" width="19.28515625" customWidth="1"/>
    <col min="12" max="12" width="18.42578125" customWidth="1"/>
    <col min="13" max="13" width="18.5703125" customWidth="1"/>
    <col min="14" max="14" width="14.5703125" customWidth="1"/>
  </cols>
  <sheetData>
    <row r="1" spans="1:14" ht="49.5" thickTop="1" thickBot="1" x14ac:dyDescent="0.3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.75" thickTop="1" x14ac:dyDescent="0.25">
      <c r="A2" s="18">
        <f>'Таблица 1'!B3</f>
        <v>4.2</v>
      </c>
      <c r="B2">
        <f>(A2-$H$2)*(A2-$H$2)</f>
        <v>7.5111111111109963E-3</v>
      </c>
      <c r="H2">
        <f>SUM(A:A)/COUNT(A:A)</f>
        <v>4.2866666666666662</v>
      </c>
      <c r="I2">
        <f>SQRT(SUM(B:B)/COUNT(A:A)/(COUNT(A:A)-1))</f>
        <v>4.666666666666669E-2</v>
      </c>
      <c r="J2">
        <v>0.95</v>
      </c>
      <c r="K2">
        <f>J2*I2</f>
        <v>4.4333333333333357E-2</v>
      </c>
      <c r="L2">
        <v>1</v>
      </c>
      <c r="M2">
        <f>SQRT(K2*K2+(2/3*L2)*(2/3*L2))</f>
        <v>0.66813912390226704</v>
      </c>
      <c r="N2" s="31">
        <f>M2/H2</f>
        <v>0.15586449235667196</v>
      </c>
    </row>
    <row r="3" spans="1:14" x14ac:dyDescent="0.25">
      <c r="A3" s="18">
        <f>'Таблица 1'!B4</f>
        <v>4.3</v>
      </c>
      <c r="B3">
        <f t="shared" ref="B3:B4" si="0">(A3-$H$2)*(A3-$H$2)</f>
        <v>1.77777777777786E-4</v>
      </c>
    </row>
    <row r="4" spans="1:14" x14ac:dyDescent="0.25">
      <c r="A4" s="18">
        <f>'Таблица 1'!B5</f>
        <v>4.3600000000000003</v>
      </c>
      <c r="B4">
        <f t="shared" si="0"/>
        <v>5.3777777777778962E-3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7"/>
  <sheetViews>
    <sheetView workbookViewId="0">
      <selection activeCell="G20" sqref="G20"/>
    </sheetView>
  </sheetViews>
  <sheetFormatPr defaultRowHeight="15" x14ac:dyDescent="0.25"/>
  <cols>
    <col min="1" max="1" width="9.5703125" bestFit="1" customWidth="1"/>
    <col min="2" max="2" width="17" bestFit="1" customWidth="1"/>
    <col min="9" max="9" width="9.140625" customWidth="1"/>
    <col min="10" max="10" width="12" customWidth="1"/>
    <col min="11" max="11" width="19.28515625" customWidth="1"/>
    <col min="12" max="12" width="18.42578125" customWidth="1"/>
    <col min="13" max="13" width="18.5703125" customWidth="1"/>
    <col min="14" max="14" width="14.5703125" customWidth="1"/>
  </cols>
  <sheetData>
    <row r="1" spans="1:14" ht="49.5" thickTop="1" thickBot="1" x14ac:dyDescent="0.3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.75" thickTop="1" x14ac:dyDescent="0.25">
      <c r="A2" s="18">
        <f>'Таблица 2'!C3</f>
        <v>7.6188356967848536E-2</v>
      </c>
      <c r="B2" s="18">
        <f>(A2-$H$2)*(A2-$H$2)</f>
        <v>1.2787961056015111E-3</v>
      </c>
      <c r="H2" s="18">
        <f>SUM(A:A)/COUNT(A:A)</f>
        <v>4.0428098221559926E-2</v>
      </c>
      <c r="I2" s="18">
        <f>SQRT(SUM(B:B)/COUNT(A:A)/(COUNT(A:A)-1))</f>
        <v>9.1873416787505713E-3</v>
      </c>
      <c r="J2" s="18">
        <v>0.95</v>
      </c>
      <c r="K2" s="18">
        <f>J2*I2</f>
        <v>8.727974594813042E-3</v>
      </c>
      <c r="L2" s="18">
        <v>1</v>
      </c>
      <c r="M2" s="18">
        <f>SQRT(K2*K2+(2/3*L2)*(2/3*L2))</f>
        <v>0.66672379737412413</v>
      </c>
      <c r="N2" s="31">
        <f>M2/H2</f>
        <v>16.491594378747369</v>
      </c>
    </row>
    <row r="3" spans="1:14" x14ac:dyDescent="0.25">
      <c r="A3" s="18">
        <f>'Таблица 2'!C4</f>
        <v>5.7601553596188425E-2</v>
      </c>
      <c r="B3" s="18">
        <f t="shared" ref="B3:B7" si="0">(A3-$H$2)*(A3-$H$2)</f>
        <v>2.9492756950435649E-4</v>
      </c>
    </row>
    <row r="4" spans="1:14" x14ac:dyDescent="0.25">
      <c r="A4" s="18">
        <f>'Таблица 2'!C5</f>
        <v>3.901884331426056E-2</v>
      </c>
      <c r="B4" s="18">
        <f t="shared" si="0"/>
        <v>1.9859993937473456E-6</v>
      </c>
    </row>
    <row r="5" spans="1:14" x14ac:dyDescent="0.25">
      <c r="A5" s="18">
        <f>'Таблица 2'!C6</f>
        <v>2.9434018857861947E-2</v>
      </c>
      <c r="B5" s="18">
        <f>(A5-$H$2)*(A5-$H$2)</f>
        <v>1.2086978105528974E-4</v>
      </c>
    </row>
    <row r="6" spans="1:14" x14ac:dyDescent="0.25">
      <c r="A6" s="18">
        <f>'Таблица 2'!C7</f>
        <v>2.2835183798763304E-2</v>
      </c>
      <c r="B6" s="18">
        <f t="shared" si="0"/>
        <v>3.0951063788784539E-4</v>
      </c>
    </row>
    <row r="7" spans="1:14" x14ac:dyDescent="0.25">
      <c r="A7" s="18">
        <f>'Таблица 2'!C8</f>
        <v>1.7490632794436755E-2</v>
      </c>
      <c r="B7" s="18">
        <f t="shared" si="0"/>
        <v>5.2612732022047073E-4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>
      <selection activeCell="B8" sqref="B8"/>
    </sheetView>
  </sheetViews>
  <sheetFormatPr defaultRowHeight="15" x14ac:dyDescent="0.25"/>
  <cols>
    <col min="1" max="1" width="26.28515625" customWidth="1"/>
  </cols>
  <sheetData>
    <row r="1" spans="1:7" x14ac:dyDescent="0.25">
      <c r="A1" s="32" t="s">
        <v>42</v>
      </c>
      <c r="B1" t="s">
        <v>27</v>
      </c>
    </row>
    <row r="2" spans="1:7" ht="45" x14ac:dyDescent="0.25">
      <c r="A2" s="32" t="s">
        <v>38</v>
      </c>
      <c r="B2" s="28">
        <f>-4*'Параметры установки'!A2/'Погрешности прямые (t)'!H2/'Погрешности прямые (t)'!H2/'Погрешности прямые (t)'!H2</f>
        <v>-3.5546667325590302E-2</v>
      </c>
      <c r="C2" s="28"/>
      <c r="D2" s="28"/>
      <c r="E2" s="28"/>
      <c r="F2" s="28"/>
      <c r="G2" s="28"/>
    </row>
    <row r="3" spans="1:7" ht="30" x14ac:dyDescent="0.25">
      <c r="A3" s="32" t="s">
        <v>41</v>
      </c>
      <c r="B3" s="30">
        <f>'Погрешности прямые (t)'!H2</f>
        <v>4.2866666666666662</v>
      </c>
      <c r="C3" s="28"/>
      <c r="D3" s="28"/>
      <c r="E3" s="28"/>
      <c r="F3" s="28"/>
      <c r="G3" s="28"/>
    </row>
    <row r="4" spans="1:7" ht="30" x14ac:dyDescent="0.25">
      <c r="A4" s="32" t="s">
        <v>40</v>
      </c>
      <c r="B4" s="18">
        <f>2*'Параметры установки'!A2/'Погрешности прямые (t)'!H2/'Погрешности прямые (t)'!H2</f>
        <v>7.6188356967848536E-2</v>
      </c>
    </row>
    <row r="5" spans="1:7" ht="30" x14ac:dyDescent="0.25">
      <c r="A5" s="32" t="s">
        <v>43</v>
      </c>
      <c r="B5" s="18">
        <f>'Погрешности прямые (t)'!M2</f>
        <v>0.66813912390226704</v>
      </c>
    </row>
    <row r="6" spans="1:7" ht="30" x14ac:dyDescent="0.25">
      <c r="A6" s="32" t="s">
        <v>46</v>
      </c>
      <c r="B6" s="31">
        <f>'Погрешности прямые (t)'!N2</f>
        <v>0.15586449235667196</v>
      </c>
    </row>
    <row r="7" spans="1:7" x14ac:dyDescent="0.25">
      <c r="A7" s="32" t="s">
        <v>44</v>
      </c>
      <c r="B7">
        <f>B5*B5*B2*B2</f>
        <v>5.6406816033104936E-4</v>
      </c>
    </row>
    <row r="8" spans="1:7" ht="30" x14ac:dyDescent="0.25">
      <c r="A8" s="32" t="s">
        <v>39</v>
      </c>
      <c r="B8">
        <f>SQRT(SUM(7:7))</f>
        <v>2.3750119164565247E-2</v>
      </c>
    </row>
    <row r="9" spans="1:7" ht="30" x14ac:dyDescent="0.25">
      <c r="A9" s="32" t="s">
        <v>47</v>
      </c>
      <c r="B9" s="31">
        <f>B8/B4</f>
        <v>0.31172898471334393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8"/>
  <sheetViews>
    <sheetView workbookViewId="0">
      <selection activeCell="A6" sqref="A6"/>
    </sheetView>
  </sheetViews>
  <sheetFormatPr defaultRowHeight="15" x14ac:dyDescent="0.25"/>
  <cols>
    <col min="1" max="1" width="9.5703125" bestFit="1" customWidth="1"/>
    <col min="2" max="2" width="17" bestFit="1" customWidth="1"/>
    <col min="9" max="9" width="9.140625" customWidth="1"/>
    <col min="10" max="10" width="12" customWidth="1"/>
    <col min="11" max="11" width="19.28515625" customWidth="1"/>
    <col min="12" max="12" width="18.42578125" customWidth="1"/>
    <col min="13" max="13" width="18.5703125" customWidth="1"/>
    <col min="14" max="14" width="14.5703125" customWidth="1"/>
  </cols>
  <sheetData>
    <row r="1" spans="1:14" ht="49.5" thickTop="1" thickBot="1" x14ac:dyDescent="0.3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.75" thickTop="1" x14ac:dyDescent="0.25">
      <c r="A2" s="18">
        <f>'Таблица 2'!D3</f>
        <v>3.3125372594716755</v>
      </c>
      <c r="B2" s="18">
        <f>(A2-$H$2)*(A2-$H$2)</f>
        <v>2.4173839425359387</v>
      </c>
      <c r="H2" s="18">
        <f>SUM(A:A)/COUNT(A:A)</f>
        <v>1.7577434009373878</v>
      </c>
      <c r="I2" s="18">
        <f>SQRT(SUM(B:B)/COUNT(A:A)/(COUNT(A:A)-1))</f>
        <v>0.39944963820654655</v>
      </c>
      <c r="J2" s="18">
        <v>0.95</v>
      </c>
      <c r="K2" s="18">
        <f>J2*I2</f>
        <v>0.3794771562962192</v>
      </c>
      <c r="L2" s="18">
        <v>1</v>
      </c>
      <c r="M2" s="18">
        <f>SQRT(K2*K2+(2/3*L2)*(2/3*L2))</f>
        <v>0.76710322421112898</v>
      </c>
      <c r="N2" s="31">
        <f>M2/H2</f>
        <v>0.43641365616963212</v>
      </c>
    </row>
    <row r="3" spans="1:14" x14ac:dyDescent="0.25">
      <c r="A3" s="18">
        <f>'Таблица 2'!D4</f>
        <v>2.5044153737473227</v>
      </c>
      <c r="B3" s="18">
        <f t="shared" ref="B3:B7" si="0">(A3-$H$2)*(A3-$H$2)</f>
        <v>0.5575190349798802</v>
      </c>
    </row>
    <row r="4" spans="1:14" x14ac:dyDescent="0.25">
      <c r="A4" s="18">
        <f>'Таблица 2'!D5</f>
        <v>1.6964714484461114</v>
      </c>
      <c r="B4" s="18">
        <f t="shared" si="0"/>
        <v>3.7542521620932286E-3</v>
      </c>
    </row>
    <row r="5" spans="1:14" x14ac:dyDescent="0.25">
      <c r="A5" s="18">
        <f>'Таблица 2'!D6</f>
        <v>1.2797399503418239</v>
      </c>
      <c r="B5" s="18">
        <f t="shared" si="0"/>
        <v>0.22848729878126572</v>
      </c>
    </row>
    <row r="6" spans="1:14" x14ac:dyDescent="0.25">
      <c r="A6" s="18">
        <f>'Таблица 2'!D7</f>
        <v>0.99283407820710023</v>
      </c>
      <c r="B6" s="18">
        <f t="shared" si="0"/>
        <v>0.5850862719997072</v>
      </c>
    </row>
    <row r="7" spans="1:14" x14ac:dyDescent="0.25">
      <c r="A7" s="18">
        <f>'Таблица 2'!D8</f>
        <v>0.76046229541029375</v>
      </c>
      <c r="B7" s="18">
        <f t="shared" si="0"/>
        <v>0.99456960344134282</v>
      </c>
    </row>
    <row r="8" spans="1:14" x14ac:dyDescent="0.25">
      <c r="A8" s="18"/>
      <c r="B8" s="18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>
      <selection activeCell="B8" sqref="B8"/>
    </sheetView>
  </sheetViews>
  <sheetFormatPr defaultRowHeight="15" x14ac:dyDescent="0.25"/>
  <cols>
    <col min="1" max="1" width="26.28515625" customWidth="1"/>
  </cols>
  <sheetData>
    <row r="1" spans="1:7" x14ac:dyDescent="0.25">
      <c r="A1" s="32" t="s">
        <v>42</v>
      </c>
      <c r="B1" s="29" t="s">
        <v>45</v>
      </c>
    </row>
    <row r="2" spans="1:7" ht="45" x14ac:dyDescent="0.25">
      <c r="A2" s="32" t="s">
        <v>38</v>
      </c>
      <c r="B2" s="28">
        <f>-8*'Параметры установки'!A2/'Параметры установки'!B2/'Погрешности прямые (t)'!H2/'Погрешности прямые (t)'!H2/'Погрешности прямые (t)'!H2</f>
        <v>-1.5455072750256653</v>
      </c>
      <c r="C2" s="28"/>
      <c r="D2" s="28"/>
      <c r="E2" s="28"/>
      <c r="F2" s="28"/>
      <c r="G2" s="28"/>
    </row>
    <row r="3" spans="1:7" ht="30" x14ac:dyDescent="0.25">
      <c r="A3" s="32" t="s">
        <v>41</v>
      </c>
      <c r="B3" s="30">
        <f>'Погрешности прямые (t)'!H2</f>
        <v>4.2866666666666662</v>
      </c>
      <c r="C3" s="28"/>
      <c r="D3" s="28"/>
      <c r="E3" s="28"/>
      <c r="F3" s="28"/>
      <c r="G3" s="28"/>
    </row>
    <row r="4" spans="1:7" ht="30" x14ac:dyDescent="0.25">
      <c r="A4" s="32" t="s">
        <v>40</v>
      </c>
      <c r="B4">
        <f>4*'Параметры установки'!A2/'Параметры установки'!B2/'Погрешности прямые (t)'!H2/'Погрешности прямые (t)'!H2</f>
        <v>3.3125372594716755</v>
      </c>
    </row>
    <row r="5" spans="1:7" ht="30" x14ac:dyDescent="0.25">
      <c r="A5" s="32" t="s">
        <v>43</v>
      </c>
      <c r="B5" s="18">
        <f>'Погрешности прямые (t)'!M2</f>
        <v>0.66813912390226704</v>
      </c>
    </row>
    <row r="6" spans="1:7" ht="30" x14ac:dyDescent="0.25">
      <c r="A6" s="32" t="s">
        <v>46</v>
      </c>
      <c r="B6" s="31">
        <f>'Погрешности прямые (t)'!N2</f>
        <v>0.15586449235667196</v>
      </c>
    </row>
    <row r="7" spans="1:7" x14ac:dyDescent="0.25">
      <c r="A7" s="32" t="s">
        <v>44</v>
      </c>
      <c r="B7">
        <f>B5*B5*B2*B2</f>
        <v>1.0662914183951786</v>
      </c>
    </row>
    <row r="8" spans="1:7" ht="30" x14ac:dyDescent="0.25">
      <c r="A8" s="32" t="s">
        <v>39</v>
      </c>
      <c r="B8">
        <f>SQRT(SUM(7:7))</f>
        <v>1.0326138767202282</v>
      </c>
    </row>
    <row r="9" spans="1:7" ht="30" x14ac:dyDescent="0.25">
      <c r="A9" s="32" t="s">
        <v>47</v>
      </c>
      <c r="B9" s="31">
        <f>B8/B4</f>
        <v>0.31172898471334393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7"/>
  <sheetViews>
    <sheetView topLeftCell="C1" workbookViewId="0">
      <selection activeCell="H2" sqref="H2"/>
    </sheetView>
  </sheetViews>
  <sheetFormatPr defaultRowHeight="15" x14ac:dyDescent="0.25"/>
  <cols>
    <col min="1" max="1" width="9.5703125" bestFit="1" customWidth="1"/>
    <col min="2" max="2" width="17" bestFit="1" customWidth="1"/>
    <col min="9" max="9" width="9.140625" customWidth="1"/>
    <col min="10" max="10" width="12" customWidth="1"/>
    <col min="11" max="11" width="19.28515625" customWidth="1"/>
    <col min="12" max="12" width="18.42578125" customWidth="1"/>
    <col min="13" max="13" width="18.5703125" customWidth="1"/>
    <col min="14" max="14" width="14.5703125" customWidth="1"/>
  </cols>
  <sheetData>
    <row r="1" spans="1:14" ht="49.5" thickTop="1" thickBot="1" x14ac:dyDescent="0.3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.75" thickTop="1" x14ac:dyDescent="0.25">
      <c r="A2" s="18">
        <f>'Таблица 2'!E3</f>
        <v>5.9713927299860449E-2</v>
      </c>
      <c r="B2" s="18">
        <f>(A2-$H$2)*(A2-$H$2)</f>
        <v>4.8225806557708981E-8</v>
      </c>
      <c r="H2" s="18">
        <f>SUM(A:A)/COUNT(A:A)</f>
        <v>5.993353104882141E-2</v>
      </c>
      <c r="I2" s="18">
        <f>SQRT(SUM(B:B)/COUNT(A:A)/(COUNT(A:A)-1))</f>
        <v>5.6419465249208045E-5</v>
      </c>
      <c r="J2" s="18">
        <v>0.95</v>
      </c>
      <c r="K2" s="18">
        <f>J2*I2</f>
        <v>5.3598491986747638E-5</v>
      </c>
      <c r="L2" s="18">
        <v>1</v>
      </c>
      <c r="M2" s="18">
        <f>SQRT(K2*K2+(2/3*L2)*(2/3*L2))</f>
        <v>0.66666666882126535</v>
      </c>
      <c r="N2" s="31">
        <f>M2/H2</f>
        <v>11.123433863394494</v>
      </c>
    </row>
    <row r="3" spans="1:14" x14ac:dyDescent="0.25">
      <c r="A3" s="18">
        <f>'Таблица 2'!E4</f>
        <v>5.982806885936582E-2</v>
      </c>
      <c r="B3" s="18">
        <f t="shared" ref="B3:B7" si="0">(A3-$H$2)*(A3-$H$2)</f>
        <v>1.1122273404766909E-8</v>
      </c>
    </row>
    <row r="4" spans="1:14" x14ac:dyDescent="0.25">
      <c r="A4" s="18">
        <f>'Таблица 2'!E5</f>
        <v>5.994218528320714E-2</v>
      </c>
      <c r="B4" s="18">
        <f t="shared" si="0"/>
        <v>7.4895772803149358E-11</v>
      </c>
    </row>
    <row r="5" spans="1:14" x14ac:dyDescent="0.25">
      <c r="A5" s="18">
        <f>'Таблица 2'!E6</f>
        <v>6.0001045690193884E-2</v>
      </c>
      <c r="B5" s="18">
        <f t="shared" si="0"/>
        <v>4.5582267996537303E-9</v>
      </c>
    </row>
    <row r="6" spans="1:14" x14ac:dyDescent="0.25">
      <c r="A6" s="18">
        <f>'Таблица 2'!E7</f>
        <v>6.0041569136291807E-2</v>
      </c>
      <c r="B6" s="18">
        <f t="shared" si="0"/>
        <v>1.1672228344261106E-8</v>
      </c>
    </row>
    <row r="7" spans="1:14" x14ac:dyDescent="0.25">
      <c r="A7" s="18">
        <f>'Таблица 2'!E8</f>
        <v>6.0074390024009376E-2</v>
      </c>
      <c r="B7" s="18">
        <f t="shared" si="0"/>
        <v>1.9841250891003952E-8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>
      <selection activeCell="B9" sqref="B9"/>
    </sheetView>
  </sheetViews>
  <sheetFormatPr defaultRowHeight="15" x14ac:dyDescent="0.25"/>
  <cols>
    <col min="1" max="1" width="26.28515625" customWidth="1"/>
  </cols>
  <sheetData>
    <row r="1" spans="1:7" x14ac:dyDescent="0.25">
      <c r="A1" s="32" t="s">
        <v>42</v>
      </c>
      <c r="B1" t="s">
        <v>48</v>
      </c>
    </row>
    <row r="2" spans="1:7" ht="45" x14ac:dyDescent="0.25">
      <c r="A2" s="32" t="s">
        <v>38</v>
      </c>
      <c r="B2" s="28">
        <f>2*'Таблица 2'!A3*'Параметры установки'!B2*'Параметры установки'!A2/'Погрешности прямые (t)'!H2/'Погрешности прямые (t)'!H2/'Погрешности прямые (t)'!H2</f>
        <v>2.1829208404645003E-4</v>
      </c>
      <c r="C2" s="28"/>
      <c r="D2" s="28"/>
      <c r="E2" s="28"/>
      <c r="F2" s="28"/>
      <c r="G2" s="28"/>
    </row>
    <row r="3" spans="1:7" ht="30" x14ac:dyDescent="0.25">
      <c r="A3" s="32" t="s">
        <v>41</v>
      </c>
      <c r="B3" s="30">
        <f>'Погрешности прямые (t)'!H2</f>
        <v>4.2866666666666662</v>
      </c>
      <c r="C3" s="28"/>
      <c r="D3" s="28"/>
      <c r="E3" s="28"/>
      <c r="F3" s="28"/>
      <c r="G3" s="28"/>
    </row>
    <row r="4" spans="1:7" ht="30" x14ac:dyDescent="0.25">
      <c r="A4" s="32" t="s">
        <v>40</v>
      </c>
      <c r="B4">
        <f>'Таблица 2'!A3*'Параметры установки'!B2/2*(9.82-2*'Параметры установки'!A2/'Погрешности прямые (t)'!H2/'Погрешности прямые (t)'!H2)</f>
        <v>5.9836747299860445E-2</v>
      </c>
    </row>
    <row r="5" spans="1:7" ht="30" x14ac:dyDescent="0.25">
      <c r="A5" s="32" t="s">
        <v>43</v>
      </c>
      <c r="B5">
        <f>'Погрешности прямые (t)'!M2</f>
        <v>0.66813912390226704</v>
      </c>
    </row>
    <row r="6" spans="1:7" ht="30" x14ac:dyDescent="0.25">
      <c r="A6" s="32" t="s">
        <v>46</v>
      </c>
      <c r="B6" s="31">
        <f>'Погрешности прямые (t)'!N2</f>
        <v>0.15586449235667196</v>
      </c>
    </row>
    <row r="7" spans="1:7" x14ac:dyDescent="0.25">
      <c r="A7" s="32" t="s">
        <v>44</v>
      </c>
      <c r="B7">
        <f>B5*B5*B2*B2</f>
        <v>2.1272071338293451E-8</v>
      </c>
    </row>
    <row r="8" spans="1:7" ht="30" x14ac:dyDescent="0.25">
      <c r="A8" s="32" t="s">
        <v>39</v>
      </c>
      <c r="B8">
        <f>SQRT(SUM(7:7))</f>
        <v>1.4584948178959515E-4</v>
      </c>
    </row>
    <row r="9" spans="1:7" ht="30" x14ac:dyDescent="0.25">
      <c r="A9" s="32" t="s">
        <v>47</v>
      </c>
      <c r="B9" s="31">
        <f>B8/B3</f>
        <v>3.4023984865379899E-5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9"/>
  <sheetViews>
    <sheetView workbookViewId="0">
      <selection activeCell="A3" sqref="A3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4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2.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8">
        <f>B2-($O$2+$N$2*A2)</f>
        <v>0.42403696602093532</v>
      </c>
      <c r="I2" s="19">
        <f>H2*H2</f>
        <v>0.17980734855223987</v>
      </c>
      <c r="J2" s="24">
        <f>SQRT(4*$R$2+4*$Q$2*A2*A2)</f>
        <v>4.9576164097232098</v>
      </c>
      <c r="K2" s="18"/>
      <c r="L2" s="18">
        <f>SUM(A:A)/COUNT(A:A)</f>
        <v>0.90338095238095228</v>
      </c>
      <c r="M2" s="18">
        <f>SUM(B:B)/COUNT(B:B)</f>
        <v>301.67071428571433</v>
      </c>
      <c r="N2" s="18">
        <f>SUM(G:G)/SUM(C:C)</f>
        <v>308.38344786082757</v>
      </c>
      <c r="O2" s="18">
        <f>M2-N2*L2</f>
        <v>23.082981458678148</v>
      </c>
      <c r="P2" s="18">
        <f>SUM(C:C)</f>
        <v>1.902756984126984</v>
      </c>
      <c r="Q2" s="18">
        <f>1/P2*SUM(I:I)/(COUNT(I:I)-2)</f>
        <v>5.6135134076679245</v>
      </c>
      <c r="R2" s="18">
        <f>(1/COUNT(I:I)+L2*L2/P2)*SUM(I:I)/(COUNT(I:I)-2)</f>
        <v>6.1070511006786266</v>
      </c>
    </row>
    <row r="3" spans="1:18" ht="19.5" thickTop="1" thickBot="1" x14ac:dyDescent="0.3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20">
        <f>A3-$L$2</f>
        <v>-0.51938095238095228</v>
      </c>
      <c r="F3" s="14">
        <f>B3-$M$2</f>
        <v>-160.13071428571433</v>
      </c>
      <c r="G3" s="17">
        <f>E3*F3</f>
        <v>83.168842891156473</v>
      </c>
      <c r="H3" s="18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7"/>
      <c r="L3" s="18"/>
      <c r="M3" s="18"/>
      <c r="N3" s="34"/>
      <c r="O3" s="34"/>
      <c r="P3" s="18"/>
      <c r="Q3" s="34" t="s">
        <v>58</v>
      </c>
      <c r="R3" s="34" t="s">
        <v>59</v>
      </c>
    </row>
    <row r="4" spans="1:18" ht="16.5" thickTop="1" thickBot="1" x14ac:dyDescent="0.3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20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8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8"/>
      <c r="L4" s="18"/>
      <c r="M4" s="18"/>
      <c r="N4" s="18"/>
      <c r="O4" s="18"/>
      <c r="P4" s="18"/>
      <c r="Q4" s="18">
        <f>SQRT(Q2)</f>
        <v>2.3692854213175591</v>
      </c>
      <c r="R4" s="18">
        <f>SQRT(R2)</f>
        <v>2.4712448483868665</v>
      </c>
    </row>
    <row r="5" spans="1:18" ht="19.5" thickTop="1" thickBot="1" x14ac:dyDescent="0.3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20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8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20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8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8"/>
      <c r="L6" s="18"/>
      <c r="M6" s="18"/>
      <c r="N6" s="18"/>
      <c r="O6" s="18"/>
      <c r="P6" s="18"/>
      <c r="Q6" s="18">
        <f>Q4*2</f>
        <v>4.7385708426351183</v>
      </c>
      <c r="R6" s="18">
        <f>R4*2</f>
        <v>4.9424896967737331</v>
      </c>
    </row>
    <row r="7" spans="1:18" x14ac:dyDescent="0.25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20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8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20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8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zoomScaleNormal="100" workbookViewId="0">
      <selection activeCell="B2" sqref="B2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2'!D3</f>
        <v>3.3125372594716755</v>
      </c>
      <c r="B2" s="14">
        <f>'Таблица 2'!E3</f>
        <v>5.9713927299860449E-2</v>
      </c>
      <c r="C2" s="38">
        <f>(A2-$L$2)*(A2-$L$2)</f>
        <v>20.631979474340977</v>
      </c>
      <c r="D2" s="37">
        <f>(B2-$M$2)*(B2-$M$2)</f>
        <v>5.1711132202208656E-3</v>
      </c>
      <c r="E2" s="16">
        <f>A2-$L$2</f>
        <v>-4.5422438809844827</v>
      </c>
      <c r="F2" s="14">
        <f>B2-$M$2</f>
        <v>-7.1910452788317675E-2</v>
      </c>
      <c r="G2" s="39">
        <f>E2*F2</f>
        <v>0.32663481415655948</v>
      </c>
      <c r="H2" s="18">
        <f>B2-($O$2+$N$2*A2)</f>
        <v>-3.4669520494468101E-3</v>
      </c>
      <c r="I2" s="36">
        <f>H2*H2</f>
        <v>1.2019756513163436E-5</v>
      </c>
      <c r="J2" s="24">
        <f>SQRT(4*$R$2+4*$Q$2*A2*A2)</f>
        <v>1.1505280102891599E-2</v>
      </c>
      <c r="K2" s="18"/>
      <c r="L2" s="18">
        <f>SUM(A:A)/COUNT(A:A)</f>
        <v>7.8547811404561587</v>
      </c>
      <c r="M2" s="18">
        <f>SUM(B:B)/COUNT(B:B)</f>
        <v>0.13162438008817812</v>
      </c>
      <c r="N2" s="18">
        <f>SUM(G:G)/SUM(C:C)</f>
        <v>1.5068213537674789E-2</v>
      </c>
      <c r="O2" s="18">
        <f>M2-N2*L2</f>
        <v>1.326686057208401E-2</v>
      </c>
      <c r="P2" s="18">
        <f>SUM(C:C)</f>
        <v>49.865867689738636</v>
      </c>
      <c r="Q2" s="35">
        <f>1/P2*SUM(I:I)/(COUNT(I:I)-2)</f>
        <v>3.8870155584869124E-7</v>
      </c>
      <c r="R2" s="35">
        <f>(1/COUNT(I:I)+L2*L2/P2)*SUM(I:I)/(COUNT(I:I)-2)</f>
        <v>2.8827683056144056E-5</v>
      </c>
    </row>
    <row r="3" spans="1:18" ht="19.5" thickTop="1" thickBot="1" x14ac:dyDescent="0.3">
      <c r="A3" s="13">
        <f>'Таблица 2'!D9</f>
        <v>5.9691389829686248</v>
      </c>
      <c r="B3" s="14">
        <f>'Таблица 2'!E9</f>
        <v>0.10823201250779067</v>
      </c>
      <c r="C3" s="38">
        <f t="shared" ref="C3:C5" si="0">(A3-$L$2)*(A3-$L$2)</f>
        <v>3.5556463460942416</v>
      </c>
      <c r="D3" s="37">
        <f t="shared" ref="D3:D5" si="1">(B3-$M$2)*(B3-$M$2)</f>
        <v>5.4720286101596154E-4</v>
      </c>
      <c r="E3" s="20">
        <f>A3-$L$2</f>
        <v>-1.8856421574875339</v>
      </c>
      <c r="F3" s="14">
        <f>B3-$M$2</f>
        <v>-2.3392367580387444E-2</v>
      </c>
      <c r="G3" s="39">
        <f>E3*F3</f>
        <v>4.4109634473023226E-2</v>
      </c>
      <c r="H3" s="18">
        <f>B3-($O$2+$N$2*A3)</f>
        <v>5.0208911042765036E-3</v>
      </c>
      <c r="I3" s="37">
        <f>H3*H3</f>
        <v>2.5209347481002927E-5</v>
      </c>
      <c r="J3" s="17">
        <f t="shared" ref="J3:J5" si="2">SQRT(4*$R$2+4*$Q$2*A3*A3)</f>
        <v>1.3065582354102521E-2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2'!D15</f>
        <v>9.4845236661447672</v>
      </c>
      <c r="B4" s="14">
        <f>'Таблица 2'!E15</f>
        <v>0.1558105596952909</v>
      </c>
      <c r="C4" s="38">
        <f t="shared" si="0"/>
        <v>2.6560607000378846</v>
      </c>
      <c r="D4" s="37">
        <f t="shared" si="1"/>
        <v>5.8497128398751807E-4</v>
      </c>
      <c r="E4" s="20">
        <f t="shared" ref="E4:E5" si="3">A4-$L$2</f>
        <v>1.6297425256886084</v>
      </c>
      <c r="F4" s="14">
        <f t="shared" ref="F4:F5" si="4">B4-$M$2</f>
        <v>2.4186179607112779E-2</v>
      </c>
      <c r="G4" s="39">
        <f t="shared" ref="G4:G5" si="5">E4*F4</f>
        <v>3.9417245439654296E-2</v>
      </c>
      <c r="H4" s="18">
        <f t="shared" ref="H4:H5" si="6">B4-($O$2+$N$2*A4)</f>
        <v>-3.7112878139261563E-4</v>
      </c>
      <c r="I4" s="37">
        <f t="shared" ref="I4:I5" si="7">H4*H4</f>
        <v>1.3773657237796788E-7</v>
      </c>
      <c r="J4" s="17">
        <f t="shared" si="2"/>
        <v>1.59742034225391E-2</v>
      </c>
      <c r="K4" s="18"/>
      <c r="L4" s="18"/>
      <c r="M4" s="18"/>
      <c r="N4" s="18"/>
      <c r="O4" s="18"/>
      <c r="P4" s="18"/>
      <c r="Q4" s="18">
        <f>SQRT(Q2)</f>
        <v>6.2345934578662886E-4</v>
      </c>
      <c r="R4" s="18">
        <f>SQRT(R2)</f>
        <v>5.36914174297383E-3</v>
      </c>
    </row>
    <row r="5" spans="1:18" ht="19.5" thickTop="1" thickBot="1" x14ac:dyDescent="0.3">
      <c r="A5" s="13">
        <f>'Таблица 2'!D21</f>
        <v>12.65292465323957</v>
      </c>
      <c r="B5" s="14">
        <f>'Таблица 2'!E21</f>
        <v>0.20274102084977044</v>
      </c>
      <c r="C5" s="38">
        <f t="shared" si="0"/>
        <v>23.022181169265529</v>
      </c>
      <c r="D5" s="37">
        <f t="shared" si="1"/>
        <v>5.0575765932133754E-3</v>
      </c>
      <c r="E5" s="20">
        <f t="shared" si="3"/>
        <v>4.7981435127834109</v>
      </c>
      <c r="F5" s="14">
        <f t="shared" si="4"/>
        <v>7.1116640761592326E-2</v>
      </c>
      <c r="G5" s="39">
        <f t="shared" si="5"/>
        <v>0.34122784852118249</v>
      </c>
      <c r="H5" s="18">
        <f t="shared" si="6"/>
        <v>-1.1828102734371404E-3</v>
      </c>
      <c r="I5" s="37">
        <f t="shared" si="7"/>
        <v>1.3990401429484429E-6</v>
      </c>
      <c r="J5" s="17">
        <f t="shared" si="2"/>
        <v>1.9084804696777001E-2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1.2469186915732577E-3</v>
      </c>
      <c r="R6" s="18">
        <f>R4*2</f>
        <v>1.073828348594766E-2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workbookViewId="0">
      <selection activeCell="M18" sqref="M18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2'!D4</f>
        <v>2.5044153737473227</v>
      </c>
      <c r="B2" s="14">
        <f>'Таблица 2'!E4</f>
        <v>5.982806885936582E-2</v>
      </c>
      <c r="C2" s="15">
        <f>(A2-$L$2)*(A2-$L$2)</f>
        <v>11.406407701829792</v>
      </c>
      <c r="D2" s="14">
        <f>(B2-$M$2)*(B2-$M$2)</f>
        <v>5.2628501965040824E-3</v>
      </c>
      <c r="E2" s="16">
        <f>A2-$L$2</f>
        <v>-3.3773373686722197</v>
      </c>
      <c r="F2" s="14">
        <f>B2-$M$2</f>
        <v>-7.2545504316284704E-2</v>
      </c>
      <c r="G2" s="17">
        <f>E2*F2</f>
        <v>0.24501064265656014</v>
      </c>
      <c r="H2" s="18">
        <f>B2-($O$2+$N$2*A2)</f>
        <v>-1.4590431312015706E-3</v>
      </c>
      <c r="I2" s="19">
        <f>H2*H2</f>
        <v>2.1288068587064834E-6</v>
      </c>
      <c r="J2" s="24">
        <f>SQRT(4*$R$2+4*$Q$2*A2*A2)</f>
        <v>6.4358003409408435E-3</v>
      </c>
      <c r="K2" s="18"/>
      <c r="L2" s="18">
        <f>SUM(A:A)/COUNT(A:A)</f>
        <v>5.8817527424195424</v>
      </c>
      <c r="M2" s="18">
        <f>SUM(B:B)/COUNT(B:B)</f>
        <v>0.13237357317565052</v>
      </c>
      <c r="N2" s="18">
        <f>SUM(G:G)/SUM(C:C)</f>
        <v>2.1048078241893361E-2</v>
      </c>
      <c r="O2" s="18">
        <f>M2-N2*L2</f>
        <v>8.57398125373314E-3</v>
      </c>
      <c r="P2" s="18">
        <f>SUM(C:C)</f>
        <v>26.16852966784834</v>
      </c>
      <c r="Q2" s="18">
        <f>1/P2*SUM(I:I)/(COUNT(I:I)-2)</f>
        <v>2.1841481978405469E-7</v>
      </c>
      <c r="R2" s="18">
        <f>(1/COUNT(I:I)+L2*L2/P2)*SUM(I:I)/(COUNT(I:I)-2)</f>
        <v>8.9849627100450723E-6</v>
      </c>
    </row>
    <row r="3" spans="1:18" ht="19.5" thickTop="1" thickBot="1" x14ac:dyDescent="0.3">
      <c r="A3" s="13">
        <f>'Таблица 2'!D10</f>
        <v>4.7054354464111947</v>
      </c>
      <c r="B3" s="14">
        <f>'Таблица 2'!E10</f>
        <v>0.10855757160398921</v>
      </c>
      <c r="C3" s="15">
        <f t="shared" ref="C3:C5" si="0">(A3-$L$2)*(A3-$L$2)</f>
        <v>1.3837223808883907</v>
      </c>
      <c r="D3" s="14">
        <f t="shared" ref="D3:D5" si="1">(B3-$M$2)*(B3-$M$2)</f>
        <v>5.6720193086137369E-4</v>
      </c>
      <c r="E3" s="20">
        <f>A3-$L$2</f>
        <v>-1.1763172960083477</v>
      </c>
      <c r="F3" s="14">
        <f>B3-$M$2</f>
        <v>-2.3816001571661305E-2</v>
      </c>
      <c r="G3" s="17">
        <f>E3*F3</f>
        <v>2.8015174570507183E-2</v>
      </c>
      <c r="H3" s="18">
        <f>B3-($O$2+$N$2*A3)</f>
        <v>9.4321691201483537E-4</v>
      </c>
      <c r="I3" s="14">
        <f>H3*H3</f>
        <v>8.8965814311080168E-7</v>
      </c>
      <c r="J3" s="17">
        <f t="shared" ref="J3:J5" si="2">SQRT(4*$R$2+4*$Q$2*A3*A3)</f>
        <v>7.435297450188178E-3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2'!D16</f>
        <v>6.931690882015304</v>
      </c>
      <c r="B4" s="14">
        <f>'Таблица 2'!E16</f>
        <v>0.15676532681505367</v>
      </c>
      <c r="C4" s="15">
        <f t="shared" si="0"/>
        <v>1.1023700969778092</v>
      </c>
      <c r="D4" s="14">
        <f t="shared" si="1"/>
        <v>5.9495764560533722E-4</v>
      </c>
      <c r="E4" s="20">
        <f t="shared" ref="E4:E5" si="3">A4-$L$2</f>
        <v>1.0499381395957617</v>
      </c>
      <c r="F4" s="14">
        <f t="shared" ref="F4:F5" si="4">B4-$M$2</f>
        <v>2.4391753639403158E-2</v>
      </c>
      <c r="G4" s="17">
        <f t="shared" ref="G4:G5" si="5">E4*F4</f>
        <v>2.5609832437633099E-2</v>
      </c>
      <c r="H4" s="18">
        <f t="shared" ref="H4:H5" si="6">B4-($O$2+$N$2*A4)</f>
        <v>2.2925735280436288E-3</v>
      </c>
      <c r="I4" s="14">
        <f t="shared" ref="I4:I5" si="7">H4*H4</f>
        <v>5.2558933814864116E-6</v>
      </c>
      <c r="J4" s="17">
        <f t="shared" si="2"/>
        <v>8.8271018802120078E-3</v>
      </c>
      <c r="K4" s="18"/>
      <c r="L4" s="18"/>
      <c r="M4" s="18"/>
      <c r="N4" s="18"/>
      <c r="O4" s="18"/>
      <c r="P4" s="18"/>
      <c r="Q4" s="18">
        <f>SQRT(Q2)</f>
        <v>4.6734871325815661E-4</v>
      </c>
      <c r="R4" s="18">
        <f>SQRT(R2)</f>
        <v>2.9974927372797872E-3</v>
      </c>
    </row>
    <row r="5" spans="1:18" ht="19.5" thickTop="1" thickBot="1" x14ac:dyDescent="0.3">
      <c r="A5" s="13">
        <f>'Таблица 2'!D22</f>
        <v>9.3854692675043481</v>
      </c>
      <c r="B5" s="14">
        <f>'Таблица 2'!E22</f>
        <v>0.20434332542419342</v>
      </c>
      <c r="C5" s="15">
        <f t="shared" si="0"/>
        <v>12.276029488152346</v>
      </c>
      <c r="D5" s="14">
        <f t="shared" si="1"/>
        <v>5.1796452387166464E-3</v>
      </c>
      <c r="E5" s="20">
        <f t="shared" si="3"/>
        <v>3.5037165250848057</v>
      </c>
      <c r="F5" s="14">
        <f t="shared" si="4"/>
        <v>7.1969752248542906E-2</v>
      </c>
      <c r="G5" s="17">
        <f t="shared" si="5"/>
        <v>0.25216161025947914</v>
      </c>
      <c r="H5" s="18">
        <f t="shared" si="6"/>
        <v>-1.7767473088567964E-3</v>
      </c>
      <c r="I5" s="14">
        <f t="shared" si="7"/>
        <v>3.1568309995298686E-6</v>
      </c>
      <c r="J5" s="17">
        <f t="shared" si="2"/>
        <v>1.0625342578786383E-2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9.3469742651631322E-4</v>
      </c>
      <c r="R6" s="18">
        <f>R4*2</f>
        <v>5.9949854745595743E-3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2'!D5</f>
        <v>1.6964714484461114</v>
      </c>
      <c r="B2" s="14">
        <f>'Таблица 2'!E5</f>
        <v>5.994218528320714E-2</v>
      </c>
      <c r="C2" s="15">
        <f>(A2-$L$2)*(A2-$L$2)</f>
        <v>5.7526921254503405</v>
      </c>
      <c r="D2" s="14">
        <f>(B2-$M$2)*(B2-$M$2)</f>
        <v>5.3434058603796302E-3</v>
      </c>
      <c r="E2" s="16">
        <f>A2-$L$2</f>
        <v>-2.39847704292752</v>
      </c>
      <c r="F2" s="14">
        <f>B2-$M$2</f>
        <v>-7.3098603682831248E-2</v>
      </c>
      <c r="G2" s="17">
        <f>E2*F2</f>
        <v>0.1753253228033278</v>
      </c>
      <c r="H2" s="18">
        <f>B2-($O$2+$N$2*A2)</f>
        <v>6.5373129611108471E-4</v>
      </c>
      <c r="I2" s="19">
        <f>H2*H2</f>
        <v>4.2736460751507874E-7</v>
      </c>
      <c r="J2" s="24">
        <f>SQRT(4*$R$2+4*$Q$2*A2*A2)</f>
        <v>6.3621625863156585E-3</v>
      </c>
      <c r="K2" s="18"/>
      <c r="L2" s="18">
        <f>SUM(A:A)/COUNT(A:A)</f>
        <v>4.0949484913736311</v>
      </c>
      <c r="M2" s="18">
        <f>SUM(B:B)/COUNT(B:B)</f>
        <v>0.13304078896603838</v>
      </c>
      <c r="N2" s="18">
        <f>SUM(G:G)/SUM(C:C)</f>
        <v>3.0749652241374853E-2</v>
      </c>
      <c r="O2" s="18">
        <f>M2-N2*L2</f>
        <v>7.1225469099566452E-3</v>
      </c>
      <c r="P2" s="18">
        <f>SUM(C:C)</f>
        <v>12.487027507432416</v>
      </c>
      <c r="Q2" s="18">
        <f>1/P2*SUM(I:I)/(COUNT(I:I)-2)</f>
        <v>4.4444445491750745E-7</v>
      </c>
      <c r="R2" s="18">
        <f>(1/COUNT(I:I)+L2*L2/P2)*SUM(I:I)/(COUNT(I:I)-2)</f>
        <v>8.8401602189180075E-6</v>
      </c>
    </row>
    <row r="3" spans="1:18" ht="19.5" thickTop="1" thickBot="1" x14ac:dyDescent="0.3">
      <c r="A3" s="13">
        <f>'Таблица 2'!D11</f>
        <v>3.3022578637767253</v>
      </c>
      <c r="B3" s="14">
        <f>'Таблица 2'!E11</f>
        <v>0.10891906242236025</v>
      </c>
      <c r="C3" s="15">
        <f t="shared" ref="C3:C5" si="0">(A3-$L$2)*(A3-$L$2)</f>
        <v>0.62835843107997658</v>
      </c>
      <c r="D3" s="14">
        <f t="shared" ref="D3:D5" si="1">(B3-$M$2)*(B3-$M$2)</f>
        <v>5.8185769144798586E-4</v>
      </c>
      <c r="E3" s="20">
        <f>A3-$L$2</f>
        <v>-0.79269062759690589</v>
      </c>
      <c r="F3" s="14">
        <f>B3-$M$2</f>
        <v>-2.4121726543678126E-2</v>
      </c>
      <c r="G3" s="17">
        <f>E3*F3</f>
        <v>1.9121066552629157E-2</v>
      </c>
      <c r="H3" s="18">
        <f>B3-($O$2+$N$2*A3)</f>
        <v>2.5323458992389247E-4</v>
      </c>
      <c r="I3" s="14">
        <f>H3*H3</f>
        <v>6.4127757533921986E-8</v>
      </c>
      <c r="J3" s="17">
        <f t="shared" ref="J3:J5" si="2">SQRT(4*$R$2+4*$Q$2*A3*A3)</f>
        <v>7.3991312100703324E-3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2'!D17</f>
        <v>4.9784222929325015</v>
      </c>
      <c r="B4" s="14">
        <f>'Таблица 2'!E17</f>
        <v>0.1574958551271764</v>
      </c>
      <c r="C4" s="15">
        <f t="shared" si="0"/>
        <v>0.78052595804088221</v>
      </c>
      <c r="D4" s="14">
        <f t="shared" si="1"/>
        <v>5.9805026094563775E-4</v>
      </c>
      <c r="E4" s="20">
        <f t="shared" ref="E4:E5" si="3">A4-$L$2</f>
        <v>0.88347380155887034</v>
      </c>
      <c r="F4" s="14">
        <f t="shared" ref="F4:F5" si="4">B4-$M$2</f>
        <v>2.4455066161138017E-2</v>
      </c>
      <c r="G4" s="17">
        <f t="shared" ref="G4:G5" si="5">E4*F4</f>
        <v>2.1605410268754295E-2</v>
      </c>
      <c r="H4" s="18">
        <f t="shared" ref="H4:H5" si="6">B4-($O$2+$N$2*A4)</f>
        <v>-2.7114460011626873E-3</v>
      </c>
      <c r="I4" s="14">
        <f t="shared" ref="I4:I5" si="7">H4*H4</f>
        <v>7.3519394172211273E-6</v>
      </c>
      <c r="J4" s="17">
        <f t="shared" si="2"/>
        <v>8.9119195690933618E-3</v>
      </c>
      <c r="K4" s="18"/>
      <c r="L4" s="18"/>
      <c r="M4" s="18"/>
      <c r="N4" s="18"/>
      <c r="O4" s="18"/>
      <c r="P4" s="18"/>
      <c r="Q4" s="18">
        <f>SQRT(Q2)</f>
        <v>6.6666667452146386E-4</v>
      </c>
      <c r="R4" s="18">
        <f>SQRT(R2)</f>
        <v>2.973240693068425E-3</v>
      </c>
    </row>
    <row r="5" spans="1:18" ht="19.5" thickTop="1" thickBot="1" x14ac:dyDescent="0.3">
      <c r="A5" s="13">
        <f>'Таблица 2'!D23</f>
        <v>6.4026423603391871</v>
      </c>
      <c r="B5" s="14">
        <f>'Таблица 2'!E23</f>
        <v>0.20580605303140981</v>
      </c>
      <c r="C5" s="15">
        <f t="shared" si="0"/>
        <v>5.3254509928612164</v>
      </c>
      <c r="D5" s="14">
        <f t="shared" si="1"/>
        <v>5.2947836545032346E-3</v>
      </c>
      <c r="E5" s="20">
        <f t="shared" si="3"/>
        <v>2.307693868965556</v>
      </c>
      <c r="F5" s="14">
        <f t="shared" si="4"/>
        <v>7.2765264065371427E-2</v>
      </c>
      <c r="G5" s="17">
        <f t="shared" si="5"/>
        <v>0.16791995375731733</v>
      </c>
      <c r="H5" s="18">
        <f t="shared" si="6"/>
        <v>1.8044801151277101E-3</v>
      </c>
      <c r="I5" s="14">
        <f t="shared" si="7"/>
        <v>3.2561484858913138E-6</v>
      </c>
      <c r="J5" s="17">
        <f t="shared" si="2"/>
        <v>1.0403776293290597E-2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1.3333333490429277E-3</v>
      </c>
      <c r="R6" s="18">
        <f>R4*2</f>
        <v>5.9464813861368499E-3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2'!D6</f>
        <v>1.2797399503418239</v>
      </c>
      <c r="B2" s="14">
        <f>'Таблица 2'!E6</f>
        <v>6.0001045690193884E-2</v>
      </c>
      <c r="C2" s="15">
        <f>(A2-$L$2)*(A2-$L$2)</f>
        <v>3.085415913620206</v>
      </c>
      <c r="D2" s="14">
        <f>(B2-$M$2)*(B2-$M$2)</f>
        <v>5.392448460714498E-3</v>
      </c>
      <c r="E2" s="16">
        <f>A2-$L$2</f>
        <v>-1.756535201360965</v>
      </c>
      <c r="F2" s="14">
        <f>B2-$M$2</f>
        <v>-7.34332925907214E-2</v>
      </c>
      <c r="G2" s="17">
        <f>E2*F2</f>
        <v>0.12898816338744146</v>
      </c>
      <c r="H2" s="18">
        <f>B2-($O$2+$N$2*A2)</f>
        <v>-2.2857243661977139E-4</v>
      </c>
      <c r="I2" s="19">
        <f>H2*H2</f>
        <v>5.2245358782299411E-8</v>
      </c>
      <c r="J2" s="24">
        <f>SQRT(4*$R$2+4*$Q$2*A2*A2)</f>
        <v>8.4811415795844479E-4</v>
      </c>
      <c r="K2" s="18"/>
      <c r="L2" s="18">
        <f>SUM(A:A)/COUNT(A:A)</f>
        <v>3.0362751517027888</v>
      </c>
      <c r="M2" s="18">
        <f>SUM(B:B)/COUNT(B:B)</f>
        <v>0.13343433828091528</v>
      </c>
      <c r="N2" s="18">
        <f>SUM(G:G)/SUM(C:C)</f>
        <v>4.1675635135226742E-2</v>
      </c>
      <c r="O2" s="18">
        <f>M2-N2*L2</f>
        <v>6.8956428883946153E-3</v>
      </c>
      <c r="P2" s="18">
        <f>SUM(C:C)</f>
        <v>6.8736044587720961</v>
      </c>
      <c r="Q2" s="18">
        <f>1/P2*SUM(I:I)/(COUNT(I:I)-2)</f>
        <v>1.4300035310106043E-8</v>
      </c>
      <c r="R2" s="18">
        <f>(1/COUNT(I:I)+L2*L2/P2)*SUM(I:I)/(COUNT(I:I)-2)</f>
        <v>1.5640474733465444E-7</v>
      </c>
    </row>
    <row r="3" spans="1:18" ht="19.5" thickTop="1" thickBot="1" x14ac:dyDescent="0.3">
      <c r="A3" s="13">
        <f>'Таблица 2'!D12</f>
        <v>2.4445510346300341</v>
      </c>
      <c r="B3" s="14">
        <f>'Таблица 2'!E12</f>
        <v>0.10914002742880551</v>
      </c>
      <c r="C3" s="15">
        <f t="shared" ref="C3:C5" si="0">(A3-$L$2)*(A3-$L$2)</f>
        <v>0.35013743072553116</v>
      </c>
      <c r="D3" s="14">
        <f t="shared" ref="D3:D5" si="1">(B3-$M$2)*(B3-$M$2)</f>
        <v>5.9021353977893858E-4</v>
      </c>
      <c r="E3" s="20">
        <f>A3-$L$2</f>
        <v>-0.59172411707275474</v>
      </c>
      <c r="F3" s="14">
        <f>B3-$M$2</f>
        <v>-2.4294310852109771E-2</v>
      </c>
      <c r="G3" s="17">
        <f>E3*F3</f>
        <v>1.4375529638855699E-2</v>
      </c>
      <c r="H3" s="18">
        <f>B3-($O$2+$N$2*A3)</f>
        <v>3.6616755172855231E-4</v>
      </c>
      <c r="I3" s="14">
        <f>H3*H3</f>
        <v>1.3407867593888203E-7</v>
      </c>
      <c r="J3" s="17">
        <f t="shared" ref="J3:J5" si="2">SQRT(4*$R$2+4*$Q$2*A3*A3)</f>
        <v>9.8358390373747169E-4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2'!D18</f>
        <v>3.6269280756846625</v>
      </c>
      <c r="B4" s="14">
        <f>'Таблица 2'!E18</f>
        <v>0.15800131801890974</v>
      </c>
      <c r="C4" s="15">
        <f t="shared" si="0"/>
        <v>0.34887087660833699</v>
      </c>
      <c r="D4" s="14">
        <f t="shared" si="1"/>
        <v>6.0353649344703031E-4</v>
      </c>
      <c r="E4" s="20">
        <f t="shared" ref="E4:E5" si="3">A4-$L$2</f>
        <v>0.59065292398187363</v>
      </c>
      <c r="F4" s="14">
        <f t="shared" ref="F4:F5" si="4">B4-$M$2</f>
        <v>2.456697973799446E-2</v>
      </c>
      <c r="G4" s="17">
        <f t="shared" ref="G4:G5" si="5">E4*F4</f>
        <v>1.4510558415649872E-2</v>
      </c>
      <c r="H4" s="18">
        <f t="shared" ref="H4:H5" si="6">B4-($O$2+$N$2*A4)</f>
        <v>-4.8856013428910661E-5</v>
      </c>
      <c r="I4" s="14">
        <f t="shared" ref="I4:I5" si="7">H4*H4</f>
        <v>2.3869100481658986E-9</v>
      </c>
      <c r="J4" s="17">
        <f t="shared" si="2"/>
        <v>1.1739098700185528E-3</v>
      </c>
      <c r="K4" s="18"/>
      <c r="L4" s="18"/>
      <c r="M4" s="18"/>
      <c r="N4" s="18"/>
      <c r="O4" s="18"/>
      <c r="P4" s="18"/>
      <c r="Q4" s="18">
        <f>SQRT(Q2)</f>
        <v>1.1958275506989309E-4</v>
      </c>
      <c r="R4" s="18">
        <f>SQRT(R2)</f>
        <v>3.9548040069598196E-4</v>
      </c>
    </row>
    <row r="5" spans="1:18" ht="19.5" thickTop="1" thickBot="1" x14ac:dyDescent="0.3">
      <c r="A5" s="13">
        <f>'Таблица 2'!D24</f>
        <v>4.793881546154636</v>
      </c>
      <c r="B5" s="14">
        <f>'Таблица 2'!E24</f>
        <v>0.20659496198575206</v>
      </c>
      <c r="C5" s="15">
        <f t="shared" si="0"/>
        <v>3.0891802378180224</v>
      </c>
      <c r="D5" s="14">
        <f t="shared" si="1"/>
        <v>5.3524768608807253E-3</v>
      </c>
      <c r="E5" s="20">
        <f t="shared" si="3"/>
        <v>1.7576063944518472</v>
      </c>
      <c r="F5" s="14">
        <f t="shared" si="4"/>
        <v>7.316062370483678E-2</v>
      </c>
      <c r="G5" s="17">
        <f t="shared" si="5"/>
        <v>0.12858758004570653</v>
      </c>
      <c r="H5" s="18">
        <f t="shared" si="6"/>
        <v>-8.8739101679807808E-5</v>
      </c>
      <c r="I5" s="14">
        <f t="shared" si="7"/>
        <v>7.8746281669392684E-9</v>
      </c>
      <c r="J5" s="17">
        <f t="shared" si="2"/>
        <v>1.392893610855101E-3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2.3916551013978619E-4</v>
      </c>
      <c r="R6" s="18">
        <f>R4*2</f>
        <v>7.9096080139196391E-4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2'!D7</f>
        <v>0.99283407820710023</v>
      </c>
      <c r="B2" s="14">
        <f>'Таблица 2'!E7</f>
        <v>6.0041569136291807E-2</v>
      </c>
      <c r="C2" s="15">
        <f>(A2-$L$2)*(A2-$L$2)</f>
        <v>1.8305625806933568</v>
      </c>
      <c r="D2" s="14">
        <f>(B2-$M$2)*(B2-$M$2)</f>
        <v>5.4242160035315847E-3</v>
      </c>
      <c r="E2" s="16">
        <f>A2-$L$2</f>
        <v>-1.3529828456759372</v>
      </c>
      <c r="F2" s="14">
        <f>B2-$M$2</f>
        <v>-7.3649277006170161E-2</v>
      </c>
      <c r="G2" s="17">
        <f>E2*F2</f>
        <v>9.9646208385783475E-2</v>
      </c>
      <c r="H2" s="18">
        <f>B2-($O$2+$N$2*A2)</f>
        <v>-6.1516313837906011E-4</v>
      </c>
      <c r="I2" s="19">
        <f>H2*H2</f>
        <v>3.7842568682037465E-7</v>
      </c>
      <c r="J2" s="24">
        <f>SQRT(4*$R$2+4*$Q$2*A2*A2)</f>
        <v>2.3025283137214554E-3</v>
      </c>
      <c r="K2" s="18"/>
      <c r="L2" s="18">
        <f>SUM(A:A)/COUNT(A:A)</f>
        <v>2.3458169238830373</v>
      </c>
      <c r="M2" s="18">
        <f>SUM(B:B)/COUNT(B:B)</f>
        <v>0.13369084614246196</v>
      </c>
      <c r="N2" s="18">
        <f>SUM(G:G)/SUM(C:C)</f>
        <v>5.3980073805964597E-2</v>
      </c>
      <c r="O2" s="18">
        <f>M2-N2*L2</f>
        <v>7.0634754559747714E-3</v>
      </c>
      <c r="P2" s="18">
        <f>SUM(C:C)</f>
        <v>4.1240959686866416</v>
      </c>
      <c r="Q2" s="18">
        <f>1/P2*SUM(I:I)/(COUNT(I:I)-2)</f>
        <v>1.7626058085507206E-7</v>
      </c>
      <c r="R2" s="18">
        <f>(1/COUNT(I:I)+L2*L2/P2)*SUM(I:I)/(COUNT(I:I)-2)</f>
        <v>1.1516656660348019E-6</v>
      </c>
    </row>
    <row r="3" spans="1:18" ht="19.5" thickTop="1" thickBot="1" x14ac:dyDescent="0.3">
      <c r="A3" s="13">
        <f>'Таблица 2'!D13</f>
        <v>1.8822818538408732</v>
      </c>
      <c r="B3" s="14">
        <f>'Таблица 2'!E13</f>
        <v>0.10928488090196795</v>
      </c>
      <c r="C3" s="15">
        <f t="shared" ref="C3:C5" si="0">(A3-$L$2)*(A3-$L$2)</f>
        <v>0.21486476115899397</v>
      </c>
      <c r="D3" s="14">
        <f t="shared" ref="D3:D5" si="1">(B3-$M$2)*(B3-$M$2)</f>
        <v>5.9565113932020207E-4</v>
      </c>
      <c r="E3" s="20">
        <f>A3-$L$2</f>
        <v>-0.4635350700421641</v>
      </c>
      <c r="F3" s="14">
        <f>B3-$M$2</f>
        <v>-2.4405965240494015E-2</v>
      </c>
      <c r="G3" s="17">
        <f>E3*F3</f>
        <v>1.1313020807199016E-2</v>
      </c>
      <c r="H3" s="18">
        <f>B3-($O$2+$N$2*A3)</f>
        <v>6.1569205203497457E-4</v>
      </c>
      <c r="I3" s="14">
        <f>H3*H3</f>
        <v>3.7907670293903786E-7</v>
      </c>
      <c r="J3" s="17">
        <f t="shared" ref="J3:J5" si="2">SQRT(4*$R$2+4*$Q$2*A3*A3)</f>
        <v>2.6654487472800924E-3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2'!D19</f>
        <v>2.7910424284301949</v>
      </c>
      <c r="B4" s="14">
        <f>'Таблица 2'!E19</f>
        <v>0.15831394175863983</v>
      </c>
      <c r="C4" s="15">
        <f t="shared" si="0"/>
        <v>0.19822574989927105</v>
      </c>
      <c r="D4" s="14">
        <f t="shared" si="1"/>
        <v>6.062968377234378E-4</v>
      </c>
      <c r="E4" s="20">
        <f t="shared" ref="E4:E5" si="3">A4-$L$2</f>
        <v>0.44522550454715759</v>
      </c>
      <c r="F4" s="14">
        <f t="shared" ref="F4:F5" si="4">B4-$M$2</f>
        <v>2.462309561617787E-2</v>
      </c>
      <c r="G4" s="17">
        <f t="shared" ref="G4:G5" si="5">E4*F4</f>
        <v>1.0962830169225696E-2</v>
      </c>
      <c r="H4" s="18">
        <f t="shared" ref="H4:H5" si="6">B4-($O$2+$N$2*A4)</f>
        <v>5.8979002042447437E-4</v>
      </c>
      <c r="I4" s="14">
        <f t="shared" ref="I4:I5" si="7">H4*H4</f>
        <v>3.4785226819230189E-7</v>
      </c>
      <c r="J4" s="17">
        <f t="shared" si="2"/>
        <v>3.1778742006883464E-3</v>
      </c>
      <c r="K4" s="18"/>
      <c r="L4" s="18"/>
      <c r="M4" s="18"/>
      <c r="N4" s="18"/>
      <c r="O4" s="18"/>
      <c r="P4" s="18"/>
      <c r="Q4" s="18">
        <f>SQRT(Q2)</f>
        <v>4.1983399201955059E-4</v>
      </c>
      <c r="R4" s="18">
        <f>SQRT(R2)</f>
        <v>1.0731568692576132E-3</v>
      </c>
    </row>
    <row r="5" spans="1:18" ht="19.5" thickTop="1" thickBot="1" x14ac:dyDescent="0.3">
      <c r="A5" s="13">
        <f>'Таблица 2'!D25</f>
        <v>3.7171093350539808</v>
      </c>
      <c r="B5" s="14">
        <f>'Таблица 2'!E25</f>
        <v>0.20712299277294824</v>
      </c>
      <c r="C5" s="15">
        <f t="shared" si="0"/>
        <v>1.8804428769350199</v>
      </c>
      <c r="D5" s="14">
        <f t="shared" si="1"/>
        <v>5.392280158761237E-3</v>
      </c>
      <c r="E5" s="20">
        <f t="shared" si="3"/>
        <v>1.3712924111709435</v>
      </c>
      <c r="F5" s="14">
        <f t="shared" si="4"/>
        <v>7.3432146630486278E-2</v>
      </c>
      <c r="G5" s="17">
        <f t="shared" si="5"/>
        <v>0.1006969454103778</v>
      </c>
      <c r="H5" s="18">
        <f t="shared" si="6"/>
        <v>-5.903189340804027E-4</v>
      </c>
      <c r="I5" s="14">
        <f t="shared" si="7"/>
        <v>3.4847644393382282E-7</v>
      </c>
      <c r="J5" s="17">
        <f t="shared" si="2"/>
        <v>3.7878969386517213E-3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8.3966798403910118E-4</v>
      </c>
      <c r="R6" s="18">
        <f>R4*2</f>
        <v>2.1463137385152264E-3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5.5703125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0.2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2'!D8</f>
        <v>0.76046229541029375</v>
      </c>
      <c r="B2" s="14">
        <f>'Таблица 2'!E8</f>
        <v>6.0074390024009376E-2</v>
      </c>
      <c r="C2" s="15">
        <f>(A2-$L$2)*(A2-$L$2)</f>
        <v>1.139713268394245</v>
      </c>
      <c r="D2" s="14">
        <f>(B2-$M$2)*(B2-$M$2)</f>
        <v>5.4479866371040997E-3</v>
      </c>
      <c r="E2" s="16">
        <f>A2-$L$2</f>
        <v>-1.0675735423820905</v>
      </c>
      <c r="F2" s="14">
        <f>B2-$M$2</f>
        <v>-7.3810477827366078E-2</v>
      </c>
      <c r="G2" s="17">
        <f>E2*F2</f>
        <v>7.8798113279075946E-2</v>
      </c>
      <c r="H2" s="18">
        <f>B2-($O$2+$N$2*A2)</f>
        <v>1.2731467683887721E-3</v>
      </c>
      <c r="I2" s="19">
        <f>H2*H2</f>
        <v>1.6209026938587736E-6</v>
      </c>
      <c r="J2" s="24">
        <f>SQRT(4*$R$2+4*$Q$2*A2*A2)</f>
        <v>5.093057894376439E-3</v>
      </c>
      <c r="K2" s="18"/>
      <c r="L2" s="18">
        <f>SUM(A:A)/COUNT(A:A)</f>
        <v>1.8280358377923842</v>
      </c>
      <c r="M2" s="18">
        <f>SUM(B:B)/COUNT(B:B)</f>
        <v>0.13388486785137546</v>
      </c>
      <c r="N2" s="18">
        <f>SUM(G:G)/SUM(C:C)</f>
        <v>7.0331102837393106E-2</v>
      </c>
      <c r="O2" s="18">
        <f>M2-N2*L2</f>
        <v>5.3170913531592201E-3</v>
      </c>
      <c r="P2" s="18">
        <f>SUM(C:C)</f>
        <v>2.4411062238701184</v>
      </c>
      <c r="Q2" s="18">
        <f>1/P2*SUM(I:I)/(COUNT(I:I)-2)</f>
        <v>1.4314322619107789E-6</v>
      </c>
      <c r="R2" s="18">
        <f>(1/COUNT(I:I)+L2*L2/P2)*SUM(I:I)/(COUNT(I:I)-2)</f>
        <v>5.657008246727862E-6</v>
      </c>
    </row>
    <row r="3" spans="1:18" ht="19.5" thickTop="1" thickBot="1" x14ac:dyDescent="0.3">
      <c r="A3" s="13">
        <f>'Таблица 2'!D14</f>
        <v>1.4985351462151659</v>
      </c>
      <c r="B3" s="14">
        <f>'Таблица 2'!E14</f>
        <v>0.1093837428800266</v>
      </c>
      <c r="C3" s="15">
        <f t="shared" ref="C3:C5" si="0">(A3-$L$2)*(A3-$L$2)</f>
        <v>0.10857070574986513</v>
      </c>
      <c r="D3" s="14">
        <f t="shared" ref="D3:D5" si="1">(B3-$M$2)*(B3-$M$2)</f>
        <v>6.0030512486165474E-4</v>
      </c>
      <c r="E3" s="20">
        <f>A3-$L$2</f>
        <v>-0.32950069157721829</v>
      </c>
      <c r="F3" s="14">
        <f>B3-$M$2</f>
        <v>-2.4501124971348862E-2</v>
      </c>
      <c r="G3" s="17">
        <f>E3*F3</f>
        <v>8.0731376224793018E-3</v>
      </c>
      <c r="H3" s="18">
        <f>B3-($O$2+$N$2*A3)</f>
        <v>-1.3269779470393706E-3</v>
      </c>
      <c r="I3" s="14">
        <f>H3*H3</f>
        <v>1.7608704719288225E-6</v>
      </c>
      <c r="J3" s="17">
        <f t="shared" ref="J3:J5" si="2">SQRT(4*$R$2+4*$Q$2*A3*A3)</f>
        <v>5.9569936681819063E-3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2'!D20</f>
        <v>2.1972448189185156</v>
      </c>
      <c r="B4" s="14">
        <f>'Таблица 2'!E20</f>
        <v>0.15853602384599005</v>
      </c>
      <c r="C4" s="15">
        <f t="shared" si="0"/>
        <v>0.13631527174419608</v>
      </c>
      <c r="D4" s="14">
        <f t="shared" si="1"/>
        <v>6.0767949187082301E-4</v>
      </c>
      <c r="E4" s="20">
        <f t="shared" ref="E4:E5" si="3">A4-$L$2</f>
        <v>0.36920898112613143</v>
      </c>
      <c r="F4" s="14">
        <f t="shared" ref="F4:F5" si="4">B4-$M$2</f>
        <v>2.4651155994614593E-2</v>
      </c>
      <c r="G4" s="17">
        <f t="shared" ref="G4:G5" si="5">E4*F4</f>
        <v>9.1014281883529807E-3</v>
      </c>
      <c r="H4" s="18">
        <f t="shared" ref="H4:H5" si="6">B4-($O$2+$N$2*A4)</f>
        <v>-1.3157188254564745E-3</v>
      </c>
      <c r="I4" s="14">
        <f t="shared" ref="I4:I5" si="7">H4*H4</f>
        <v>1.7311160276605646E-6</v>
      </c>
      <c r="J4" s="17">
        <f t="shared" si="2"/>
        <v>7.0902181343104548E-3</v>
      </c>
      <c r="K4" s="18"/>
      <c r="L4" s="18"/>
      <c r="M4" s="18"/>
      <c r="N4" s="18"/>
      <c r="O4" s="18"/>
      <c r="P4" s="18"/>
      <c r="Q4" s="18">
        <f>SQRT(Q2)</f>
        <v>1.1964247832232408E-3</v>
      </c>
      <c r="R4" s="18">
        <f>SQRT(R2)</f>
        <v>2.3784466037159342E-3</v>
      </c>
    </row>
    <row r="5" spans="1:18" ht="19.5" thickTop="1" thickBot="1" x14ac:dyDescent="0.3">
      <c r="A5" s="13">
        <f>'Таблица 2'!D26</f>
        <v>2.855901090625562</v>
      </c>
      <c r="B5" s="14">
        <f>'Таблица 2'!E26</f>
        <v>0.20754531465547579</v>
      </c>
      <c r="C5" s="15">
        <f t="shared" si="0"/>
        <v>1.0565069779818124</v>
      </c>
      <c r="D5" s="14">
        <f t="shared" si="1"/>
        <v>5.4258614233796947E-3</v>
      </c>
      <c r="E5" s="20">
        <f t="shared" si="3"/>
        <v>1.0278652528331778</v>
      </c>
      <c r="F5" s="14">
        <f t="shared" si="4"/>
        <v>7.3660446804100332E-2</v>
      </c>
      <c r="G5" s="17">
        <f t="shared" si="5"/>
        <v>7.5713013778101426E-2</v>
      </c>
      <c r="H5" s="18">
        <f t="shared" si="6"/>
        <v>1.3695500041070452E-3</v>
      </c>
      <c r="I5" s="14">
        <f t="shared" si="7"/>
        <v>1.8756672137496075E-6</v>
      </c>
      <c r="J5" s="17">
        <f t="shared" si="2"/>
        <v>8.3263472438373162E-3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2.3928495664464816E-3</v>
      </c>
      <c r="R6" s="18">
        <f>R4*2</f>
        <v>4.7568932074318684E-3</v>
      </c>
    </row>
    <row r="7" spans="1:18" x14ac:dyDescent="0.25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25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25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25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25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25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25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25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25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25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25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25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25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25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"/>
  <sheetViews>
    <sheetView workbookViewId="0">
      <selection activeCell="A2" sqref="A2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9" bestFit="1" customWidth="1"/>
    <col min="4" max="4" width="9.7109375" customWidth="1"/>
    <col min="5" max="5" width="9" bestFit="1" customWidth="1"/>
    <col min="6" max="6" width="10.140625" bestFit="1" customWidth="1"/>
    <col min="7" max="7" width="14" customWidth="1"/>
    <col min="8" max="10" width="9" bestFit="1" customWidth="1"/>
    <col min="12" max="12" width="9" bestFit="1" customWidth="1"/>
    <col min="13" max="14" width="9.42578125" bestFit="1" customWidth="1"/>
    <col min="15" max="18" width="9" bestFit="1" customWidth="1"/>
  </cols>
  <sheetData>
    <row r="1" spans="1:18" ht="52.5" thickTop="1" thickBot="1" x14ac:dyDescent="0.3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6.5" thickTop="1" thickBot="1" x14ac:dyDescent="0.3">
      <c r="A2" s="13">
        <f>'Таблица 3'!B3</f>
        <v>5.9290000000000002E-3</v>
      </c>
      <c r="B2" s="14">
        <f>'Таблица 3'!B4</f>
        <v>1.5068213537674789E-2</v>
      </c>
      <c r="C2" s="15">
        <f>(A2-$L$2)*(A2-$L$2)</f>
        <v>2.3575043402777784E-4</v>
      </c>
      <c r="D2" s="14">
        <f>(B2-$M$2)*(B2-$M$2)</f>
        <v>5.6361509579347987E-4</v>
      </c>
      <c r="E2" s="16">
        <f>A2-$L$2</f>
        <v>-1.5354166666666669E-2</v>
      </c>
      <c r="F2" s="14">
        <f>B2-$M$2</f>
        <v>-2.3740579095579785E-2</v>
      </c>
      <c r="G2" s="17">
        <f>E2*F2</f>
        <v>3.6451680819671469E-4</v>
      </c>
      <c r="H2" s="18">
        <f>B2-($O$2+$N$2*A2)</f>
        <v>5.9019714337188271E-4</v>
      </c>
      <c r="I2" s="19">
        <f>H2*H2</f>
        <v>3.4833266804433067E-7</v>
      </c>
      <c r="J2" s="24">
        <f>SQRT(4*$R$2+4*$Q$2*A2*A2)</f>
        <v>1.059811516997922E-3</v>
      </c>
      <c r="K2" s="18"/>
      <c r="L2" s="18">
        <f>SUM(A:A)/COUNT(A:A)</f>
        <v>2.1283166666666669E-2</v>
      </c>
      <c r="M2" s="18">
        <f>SUM(B:B)/COUNT(B:B)</f>
        <v>3.8808792633254575E-2</v>
      </c>
      <c r="N2" s="18">
        <f>SUM(G:G)/SUM(C:C)</f>
        <v>1.5846367156983445</v>
      </c>
      <c r="O2" s="18">
        <f>M2-N2*L2</f>
        <v>5.0827053069274208E-3</v>
      </c>
      <c r="P2" s="18">
        <f>SUM(C:C)</f>
        <v>8.6596927083333294E-4</v>
      </c>
      <c r="Q2" s="18">
        <f>1/P2*SUM(I:I)/(COUNT(I:I)-2)</f>
        <v>4.4398473128325365E-4</v>
      </c>
      <c r="R2" s="18">
        <f>(1/COUNT(I:I)+L2*L2/P2)*SUM(I:I)/(COUNT(I:I)-2)</f>
        <v>2.6519269942818501E-7</v>
      </c>
    </row>
    <row r="3" spans="1:18" ht="19.5" thickTop="1" thickBot="1" x14ac:dyDescent="0.3">
      <c r="A3" s="13">
        <f>'Таблица 3'!C3</f>
        <v>1.0404000000000002E-2</v>
      </c>
      <c r="B3" s="14">
        <f>'Таблица 3'!C4</f>
        <v>2.1048078241893361E-2</v>
      </c>
      <c r="C3" s="15">
        <f>(A3-$L$2)*(A3-$L$2)</f>
        <v>1.1835626736111112E-4</v>
      </c>
      <c r="D3" s="14">
        <f>(B3-$M$2)*(B3-$M$2)</f>
        <v>3.1544297569150538E-4</v>
      </c>
      <c r="E3" s="20">
        <f>A3-$L$2</f>
        <v>-1.0879166666666667E-2</v>
      </c>
      <c r="F3" s="14">
        <f>B3-$M$2</f>
        <v>-1.7760714391361215E-2</v>
      </c>
      <c r="G3" s="17">
        <f>E3*F3</f>
        <v>1.932217719826839E-4</v>
      </c>
      <c r="H3" s="18">
        <f>B3-($O$2+$N$2*A3)</f>
        <v>-5.2118745515963849E-4</v>
      </c>
      <c r="I3" s="14">
        <f>H3*H3</f>
        <v>2.7163636341578021E-7</v>
      </c>
      <c r="J3" s="17">
        <f t="shared" ref="J3:J7" si="0">SQRT(4*$R$2+4*$Q$2*A3*A3)</f>
        <v>1.1193766740417279E-3</v>
      </c>
      <c r="K3" s="27"/>
      <c r="L3" s="18"/>
      <c r="M3" s="18"/>
      <c r="N3" s="34" t="s">
        <v>57</v>
      </c>
      <c r="O3" s="34" t="s">
        <v>56</v>
      </c>
      <c r="P3" s="18"/>
      <c r="Q3" s="34" t="s">
        <v>58</v>
      </c>
      <c r="R3" s="34" t="s">
        <v>59</v>
      </c>
    </row>
    <row r="4" spans="1:18" ht="16.5" thickTop="1" thickBot="1" x14ac:dyDescent="0.3">
      <c r="A4" s="13">
        <f>'Таблица 3'!D3</f>
        <v>1.6129000000000001E-2</v>
      </c>
      <c r="B4" s="14">
        <f>'Таблица 3'!D4</f>
        <v>3.0749652241374853E-2</v>
      </c>
      <c r="C4" s="15">
        <f t="shared" ref="C4:C7" si="1">(A4-$L$2)*(A4-$L$2)</f>
        <v>2.6565434027777793E-5</v>
      </c>
      <c r="D4" s="14">
        <f t="shared" ref="D4:D7" si="2">(B4-$M$2)*(B4-$M$2)</f>
        <v>6.4949743856027248E-5</v>
      </c>
      <c r="E4" s="20">
        <f t="shared" ref="E4:E7" si="3">A4-$L$2</f>
        <v>-5.154166666666668E-3</v>
      </c>
      <c r="F4" s="14">
        <f t="shared" ref="F4:F7" si="4">B4-$M$2</f>
        <v>-8.0591403918797225E-3</v>
      </c>
      <c r="G4" s="17">
        <f t="shared" ref="G4:G7" si="5">E4*F4</f>
        <v>4.1538152769813416E-5</v>
      </c>
      <c r="H4" s="18">
        <f t="shared" ref="H4:H7" si="6">B4-($O$2+$N$2*A4)</f>
        <v>1.0834134694883216E-4</v>
      </c>
      <c r="I4" s="14">
        <f t="shared" ref="I4:I7" si="7">H4*H4</f>
        <v>1.1737847458687224E-8</v>
      </c>
      <c r="J4" s="17">
        <f t="shared" si="0"/>
        <v>1.234006398617687E-3</v>
      </c>
      <c r="K4" s="18"/>
      <c r="L4" s="18"/>
      <c r="M4" s="18"/>
      <c r="N4" s="18"/>
      <c r="O4" s="18"/>
      <c r="P4" s="18"/>
      <c r="Q4" s="18">
        <f>SQRT(Q2)</f>
        <v>2.1070945191975932E-2</v>
      </c>
      <c r="R4" s="18">
        <f>SQRT(R2)</f>
        <v>5.1496863926668872E-4</v>
      </c>
    </row>
    <row r="5" spans="1:18" ht="19.5" thickTop="1" thickBot="1" x14ac:dyDescent="0.3">
      <c r="A5" s="13">
        <f>'Таблица 3'!E3</f>
        <v>2.3104E-2</v>
      </c>
      <c r="B5" s="14">
        <f>'Таблица 3'!E4</f>
        <v>4.1675635135226742E-2</v>
      </c>
      <c r="C5" s="15">
        <f t="shared" si="1"/>
        <v>3.3154340277777676E-6</v>
      </c>
      <c r="D5" s="14">
        <f t="shared" si="2"/>
        <v>8.2187859311140325E-6</v>
      </c>
      <c r="E5" s="20">
        <f t="shared" si="3"/>
        <v>1.8208333333333306E-3</v>
      </c>
      <c r="F5" s="14">
        <f t="shared" si="4"/>
        <v>2.8668425019721666E-3</v>
      </c>
      <c r="G5" s="17">
        <f t="shared" si="5"/>
        <v>5.2200423890076457E-6</v>
      </c>
      <c r="H5" s="18">
        <f t="shared" si="6"/>
        <v>-1.8516851195228556E-5</v>
      </c>
      <c r="I5" s="14">
        <f t="shared" si="7"/>
        <v>3.4287377818623721E-10</v>
      </c>
      <c r="J5" s="17">
        <f t="shared" si="0"/>
        <v>1.4173065262960429E-3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.75" thickTop="1" x14ac:dyDescent="0.25">
      <c r="A6" s="13">
        <f>'Таблица 3'!F3</f>
        <v>3.1328999999999996E-2</v>
      </c>
      <c r="B6" s="14">
        <f>'Таблица 3'!F4</f>
        <v>5.3980073805964597E-2</v>
      </c>
      <c r="C6" s="15">
        <f t="shared" si="1"/>
        <v>1.0091876736111099E-4</v>
      </c>
      <c r="D6" s="14">
        <f t="shared" si="2"/>
        <v>2.3016777242142558E-4</v>
      </c>
      <c r="E6" s="20">
        <f t="shared" si="3"/>
        <v>1.0045833333333327E-2</v>
      </c>
      <c r="F6" s="14">
        <f t="shared" si="4"/>
        <v>1.5171281172710022E-2</v>
      </c>
      <c r="G6" s="17">
        <f t="shared" si="5"/>
        <v>1.5240816211418266E-4</v>
      </c>
      <c r="H6" s="18">
        <f t="shared" si="6"/>
        <v>-7.4771516707625163E-4</v>
      </c>
      <c r="I6" s="14">
        <f t="shared" si="7"/>
        <v>5.5907797107586694E-7</v>
      </c>
      <c r="J6" s="17">
        <f t="shared" si="0"/>
        <v>1.6744748240465203E-3</v>
      </c>
      <c r="K6" s="18"/>
      <c r="L6" s="18"/>
      <c r="M6" s="18"/>
      <c r="N6" s="18"/>
      <c r="O6" s="18"/>
      <c r="P6" s="18"/>
      <c r="Q6" s="18">
        <f>Q4*2</f>
        <v>4.2141890383951865E-2</v>
      </c>
      <c r="R6" s="18">
        <f>R4*2</f>
        <v>1.0299372785333774E-3</v>
      </c>
    </row>
    <row r="7" spans="1:18" x14ac:dyDescent="0.25">
      <c r="A7" s="13">
        <f>'Таблица 3'!G3</f>
        <v>4.0803999999999993E-2</v>
      </c>
      <c r="B7" s="14">
        <f>'Таблица 3'!G4</f>
        <v>7.0331102837393106E-2</v>
      </c>
      <c r="C7" s="15">
        <f t="shared" si="1"/>
        <v>3.8106293402777742E-4</v>
      </c>
      <c r="D7" s="14">
        <f t="shared" si="2"/>
        <v>9.9365604060593603E-4</v>
      </c>
      <c r="E7" s="20">
        <f t="shared" si="3"/>
        <v>1.9520833333333324E-2</v>
      </c>
      <c r="F7" s="14">
        <f t="shared" si="4"/>
        <v>3.152231020413853E-2</v>
      </c>
      <c r="G7" s="17">
        <f t="shared" si="5"/>
        <v>6.1534176377662055E-4</v>
      </c>
      <c r="H7" s="18">
        <f t="shared" si="6"/>
        <v>5.8888098311044024E-4</v>
      </c>
      <c r="I7" s="14">
        <f t="shared" si="7"/>
        <v>3.4678081226911859E-7</v>
      </c>
      <c r="J7" s="17">
        <f t="shared" si="0"/>
        <v>2.0044075096961561E-3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9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s">
        <v>75</v>
      </c>
    </row>
    <row r="3" spans="1:1" x14ac:dyDescent="0.25">
      <c r="A3" t="s">
        <v>76</v>
      </c>
    </row>
    <row r="5" spans="1:1" x14ac:dyDescent="0.25">
      <c r="A5" t="s">
        <v>74</v>
      </c>
    </row>
    <row r="7" spans="1:1" x14ac:dyDescent="0.25">
      <c r="A7" t="s">
        <v>73</v>
      </c>
    </row>
    <row r="9" spans="1:1" x14ac:dyDescent="0.25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"/>
  <sheetViews>
    <sheetView workbookViewId="0">
      <selection sqref="A1:G18"/>
    </sheetView>
  </sheetViews>
  <sheetFormatPr defaultRowHeight="15" x14ac:dyDescent="0.25"/>
  <cols>
    <col min="1" max="1" width="13.42578125" bestFit="1" customWidth="1"/>
  </cols>
  <sheetData>
    <row r="1" spans="1:7" x14ac:dyDescent="0.25">
      <c r="A1" s="52" t="s">
        <v>0</v>
      </c>
      <c r="B1" s="52" t="s">
        <v>1</v>
      </c>
      <c r="C1" s="52"/>
      <c r="D1" s="52"/>
      <c r="E1" s="52"/>
      <c r="F1" s="52"/>
      <c r="G1" s="52"/>
    </row>
    <row r="2" spans="1:7" x14ac:dyDescent="0.25">
      <c r="A2" s="52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51">
        <f>0.047+0.22</f>
        <v>0.26700000000000002</v>
      </c>
      <c r="B3" s="12">
        <v>4.2</v>
      </c>
      <c r="C3" s="12">
        <v>4.97</v>
      </c>
      <c r="D3" s="12">
        <v>6</v>
      </c>
      <c r="E3" s="12">
        <v>6.86</v>
      </c>
      <c r="F3" s="12">
        <v>7.78</v>
      </c>
      <c r="G3" s="12">
        <v>8.8800000000000008</v>
      </c>
    </row>
    <row r="4" spans="1:7" x14ac:dyDescent="0.25">
      <c r="A4" s="51"/>
      <c r="B4" s="12">
        <v>4.3</v>
      </c>
      <c r="C4" s="12">
        <v>4.87</v>
      </c>
      <c r="D4" s="12">
        <v>5.93</v>
      </c>
      <c r="E4" s="12">
        <v>6.87</v>
      </c>
      <c r="F4" s="12">
        <v>7.8</v>
      </c>
      <c r="G4" s="12">
        <v>8.94</v>
      </c>
    </row>
    <row r="5" spans="1:7" x14ac:dyDescent="0.25">
      <c r="A5" s="51"/>
      <c r="B5" s="12">
        <v>4.3600000000000003</v>
      </c>
      <c r="C5" s="12">
        <v>4.95</v>
      </c>
      <c r="D5" s="12">
        <v>6.04</v>
      </c>
      <c r="E5" s="12">
        <v>6.96</v>
      </c>
      <c r="F5" s="12">
        <v>7.91</v>
      </c>
      <c r="G5" s="12">
        <v>9.02</v>
      </c>
    </row>
    <row r="6" spans="1:7" x14ac:dyDescent="0.25">
      <c r="A6" s="51"/>
      <c r="B6" s="12">
        <f>SUM(B3:B5)/3</f>
        <v>4.2866666666666662</v>
      </c>
      <c r="C6" s="12">
        <f t="shared" ref="C6:G6" si="0">SUM(C3:C5)/3</f>
        <v>4.93</v>
      </c>
      <c r="D6" s="12">
        <f t="shared" si="0"/>
        <v>5.9899999999999993</v>
      </c>
      <c r="E6" s="12">
        <f t="shared" si="0"/>
        <v>6.8966666666666674</v>
      </c>
      <c r="F6" s="12">
        <f t="shared" si="0"/>
        <v>7.830000000000001</v>
      </c>
      <c r="G6" s="12">
        <f t="shared" si="0"/>
        <v>8.9466666666666672</v>
      </c>
    </row>
    <row r="7" spans="1:7" x14ac:dyDescent="0.25">
      <c r="A7" s="51">
        <f>0.047+0.22*2</f>
        <v>0.48699999999999999</v>
      </c>
      <c r="B7" s="12">
        <v>3.27</v>
      </c>
      <c r="C7" s="12">
        <v>3.52</v>
      </c>
      <c r="D7" s="12">
        <v>4.3600000000000003</v>
      </c>
      <c r="E7" s="12">
        <v>4.99</v>
      </c>
      <c r="F7" s="12">
        <v>5.67</v>
      </c>
      <c r="G7" s="12">
        <v>6.36</v>
      </c>
    </row>
    <row r="8" spans="1:7" x14ac:dyDescent="0.25">
      <c r="A8" s="51"/>
      <c r="B8" s="12">
        <v>3.18</v>
      </c>
      <c r="C8" s="12">
        <v>3.63</v>
      </c>
      <c r="D8" s="12">
        <v>4.3499999999999996</v>
      </c>
      <c r="E8" s="12">
        <v>5.0199999999999996</v>
      </c>
      <c r="F8" s="12">
        <v>5.74</v>
      </c>
      <c r="G8" s="12">
        <v>6.39</v>
      </c>
    </row>
    <row r="9" spans="1:7" x14ac:dyDescent="0.25">
      <c r="A9" s="51"/>
      <c r="B9" s="12">
        <v>3.13</v>
      </c>
      <c r="C9" s="12">
        <v>3.64</v>
      </c>
      <c r="D9" s="12">
        <v>4.17</v>
      </c>
      <c r="E9" s="12">
        <v>4.96</v>
      </c>
      <c r="F9" s="12">
        <v>5.65</v>
      </c>
      <c r="G9" s="12">
        <v>6.37</v>
      </c>
    </row>
    <row r="10" spans="1:7" x14ac:dyDescent="0.25">
      <c r="A10" s="51"/>
      <c r="B10" s="12">
        <f>SUM(B7:B9)/3</f>
        <v>3.1933333333333334</v>
      </c>
      <c r="C10" s="12">
        <f t="shared" ref="C10:G10" si="1">SUM(C7:C9)/3</f>
        <v>3.5966666666666671</v>
      </c>
      <c r="D10" s="12">
        <f t="shared" si="1"/>
        <v>4.2933333333333339</v>
      </c>
      <c r="E10" s="12">
        <f t="shared" si="1"/>
        <v>4.9899999999999993</v>
      </c>
      <c r="F10" s="12">
        <f t="shared" si="1"/>
        <v>5.6866666666666674</v>
      </c>
      <c r="G10" s="12">
        <f t="shared" si="1"/>
        <v>6.373333333333334</v>
      </c>
    </row>
    <row r="11" spans="1:7" x14ac:dyDescent="0.25">
      <c r="A11" s="51">
        <f>0.047+0.22*3</f>
        <v>0.70700000000000007</v>
      </c>
      <c r="B11" s="12">
        <v>2.5099999999999998</v>
      </c>
      <c r="C11" s="12">
        <v>2.94</v>
      </c>
      <c r="D11" s="12">
        <v>3.45</v>
      </c>
      <c r="E11" s="12">
        <v>4.1399999999999997</v>
      </c>
      <c r="F11" s="12">
        <v>4.6399999999999997</v>
      </c>
      <c r="G11" s="12">
        <v>5.24</v>
      </c>
    </row>
    <row r="12" spans="1:7" x14ac:dyDescent="0.25">
      <c r="A12" s="51"/>
      <c r="B12" s="12">
        <v>2.56</v>
      </c>
      <c r="C12" s="12">
        <v>2.93</v>
      </c>
      <c r="D12" s="12">
        <v>3.55</v>
      </c>
      <c r="E12" s="12">
        <v>4.08</v>
      </c>
      <c r="F12" s="12">
        <v>4.75</v>
      </c>
      <c r="G12" s="12">
        <v>5.27</v>
      </c>
    </row>
    <row r="13" spans="1:7" x14ac:dyDescent="0.25">
      <c r="A13" s="51"/>
      <c r="B13" s="12">
        <v>2.5299999999999998</v>
      </c>
      <c r="C13" s="12">
        <v>3.02</v>
      </c>
      <c r="D13" s="12">
        <v>3.49</v>
      </c>
      <c r="E13" s="12">
        <v>4.07</v>
      </c>
      <c r="F13" s="12">
        <v>4.62</v>
      </c>
      <c r="G13" s="12">
        <v>5.28</v>
      </c>
    </row>
    <row r="14" spans="1:7" x14ac:dyDescent="0.25">
      <c r="A14" s="51"/>
      <c r="B14" s="12">
        <f>SUM(B11:B13)/3</f>
        <v>2.5333333333333332</v>
      </c>
      <c r="C14" s="12">
        <f t="shared" ref="C14" si="2">SUM(C11:C13)/3</f>
        <v>2.9633333333333334</v>
      </c>
      <c r="D14" s="12">
        <f t="shared" ref="D14" si="3">SUM(D11:D13)/3</f>
        <v>3.4966666666666666</v>
      </c>
      <c r="E14" s="12">
        <f t="shared" ref="E14" si="4">SUM(E11:E13)/3</f>
        <v>4.0966666666666667</v>
      </c>
      <c r="F14" s="12">
        <f t="shared" ref="F14" si="5">SUM(F11:F13)/3</f>
        <v>4.6700000000000008</v>
      </c>
      <c r="G14" s="12">
        <f t="shared" ref="G14" si="6">SUM(G11:G13)/3</f>
        <v>5.2633333333333328</v>
      </c>
    </row>
    <row r="15" spans="1:7" x14ac:dyDescent="0.25">
      <c r="A15" s="51">
        <f>0.047+0.22*4</f>
        <v>0.92700000000000005</v>
      </c>
      <c r="B15" s="12">
        <v>2.23</v>
      </c>
      <c r="C15" s="12">
        <v>2.59</v>
      </c>
      <c r="D15" s="12">
        <v>3.1</v>
      </c>
      <c r="E15" s="12">
        <v>3.55</v>
      </c>
      <c r="F15" s="12">
        <v>4.0599999999999996</v>
      </c>
      <c r="G15" s="12">
        <v>4.6100000000000003</v>
      </c>
    </row>
    <row r="16" spans="1:7" x14ac:dyDescent="0.25">
      <c r="A16" s="51"/>
      <c r="B16" s="12">
        <v>2.23</v>
      </c>
      <c r="C16" s="12">
        <v>2.59</v>
      </c>
      <c r="D16" s="12">
        <v>3.06</v>
      </c>
      <c r="E16" s="12">
        <v>3.56</v>
      </c>
      <c r="F16" s="12">
        <v>4.01</v>
      </c>
      <c r="G16" s="12">
        <v>4.5599999999999996</v>
      </c>
    </row>
    <row r="17" spans="1:7" x14ac:dyDescent="0.25">
      <c r="A17" s="51"/>
      <c r="B17" s="12">
        <v>2.12</v>
      </c>
      <c r="C17" s="12">
        <v>2.46</v>
      </c>
      <c r="D17" s="12">
        <v>3.09</v>
      </c>
      <c r="E17" s="12">
        <v>3.58</v>
      </c>
      <c r="F17" s="12">
        <v>4.07</v>
      </c>
      <c r="G17" s="12">
        <v>4.68</v>
      </c>
    </row>
    <row r="18" spans="1:7" x14ac:dyDescent="0.25">
      <c r="A18" s="51"/>
      <c r="B18" s="12">
        <f>SUM(B15:B17)/3</f>
        <v>2.1933333333333334</v>
      </c>
      <c r="C18" s="12">
        <f t="shared" ref="C18" si="7">SUM(C15:C17)/3</f>
        <v>2.5466666666666664</v>
      </c>
      <c r="D18" s="12">
        <f t="shared" ref="D18" si="8">SUM(D15:D17)/3</f>
        <v>3.0833333333333335</v>
      </c>
      <c r="E18" s="12">
        <f t="shared" ref="E18" si="9">SUM(E15:E17)/3</f>
        <v>3.563333333333333</v>
      </c>
      <c r="F18" s="12">
        <f t="shared" ref="F18" si="10">SUM(F15:F17)/3</f>
        <v>4.0466666666666669</v>
      </c>
      <c r="G18" s="12">
        <f t="shared" ref="G18" si="11">SUM(G15:G17)/3</f>
        <v>4.6166666666666663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6"/>
  <sheetViews>
    <sheetView workbookViewId="0">
      <selection activeCell="D31" sqref="D31"/>
    </sheetView>
  </sheetViews>
  <sheetFormatPr defaultRowHeight="15" x14ac:dyDescent="0.25"/>
  <cols>
    <col min="1" max="1" width="13.42578125" bestFit="1" customWidth="1"/>
  </cols>
  <sheetData>
    <row r="1" spans="1:5" ht="18" customHeight="1" x14ac:dyDescent="0.25"/>
    <row r="2" spans="1:5" ht="18.75" x14ac:dyDescent="0.35">
      <c r="A2" s="21" t="s">
        <v>0</v>
      </c>
      <c r="B2" s="21" t="s">
        <v>8</v>
      </c>
      <c r="C2" s="22" t="s">
        <v>9</v>
      </c>
      <c r="D2" s="23" t="s">
        <v>10</v>
      </c>
      <c r="E2" s="2" t="s">
        <v>11</v>
      </c>
    </row>
    <row r="3" spans="1:5" x14ac:dyDescent="0.25">
      <c r="A3" s="51">
        <f>'Таблица 1'!A3</f>
        <v>0.26700000000000002</v>
      </c>
      <c r="B3" s="12">
        <f>'Таблица 1'!B6</f>
        <v>4.2866666666666662</v>
      </c>
      <c r="C3" s="12">
        <f>'Параметры установки'!$A$2*2/B3/B3</f>
        <v>7.6188356967848536E-2</v>
      </c>
      <c r="D3" s="12">
        <f>2*C3/'Параметры установки'!$B$2</f>
        <v>3.3125372594716755</v>
      </c>
      <c r="E3" s="12">
        <f>$A$3*'Параметры установки'!$B$2/2*(9.8-C3)</f>
        <v>5.9713927299860449E-2</v>
      </c>
    </row>
    <row r="4" spans="1:5" x14ac:dyDescent="0.25">
      <c r="A4" s="51"/>
      <c r="B4" s="12">
        <f>'Таблица 1'!C6</f>
        <v>4.93</v>
      </c>
      <c r="C4" s="12">
        <f>'Параметры установки'!$A$2*2/B4/B4</f>
        <v>5.7601553596188425E-2</v>
      </c>
      <c r="D4" s="12">
        <f>2*C4/'Параметры установки'!$B$2</f>
        <v>2.5044153737473227</v>
      </c>
      <c r="E4" s="12">
        <f>$A$3*'Параметры установки'!$B$2/2*(9.8-C4)</f>
        <v>5.982806885936582E-2</v>
      </c>
    </row>
    <row r="5" spans="1:5" x14ac:dyDescent="0.25">
      <c r="A5" s="51"/>
      <c r="B5" s="12">
        <f>'Таблица 1'!D6</f>
        <v>5.9899999999999993</v>
      </c>
      <c r="C5" s="12">
        <f>'Параметры установки'!$A$2*2/B5/B5</f>
        <v>3.901884331426056E-2</v>
      </c>
      <c r="D5" s="12">
        <f>2*C5/'Параметры установки'!$B$2</f>
        <v>1.6964714484461114</v>
      </c>
      <c r="E5" s="12">
        <f>$A$3*'Параметры установки'!$B$2/2*(9.8-C5)</f>
        <v>5.994218528320714E-2</v>
      </c>
    </row>
    <row r="6" spans="1:5" x14ac:dyDescent="0.25">
      <c r="A6" s="51"/>
      <c r="B6" s="12">
        <f>'Таблица 1'!E6</f>
        <v>6.8966666666666674</v>
      </c>
      <c r="C6" s="12">
        <f>'Параметры установки'!$A$2*2/B6/B6</f>
        <v>2.9434018857861947E-2</v>
      </c>
      <c r="D6" s="12">
        <f>2*C6/'Параметры установки'!$B$2</f>
        <v>1.2797399503418239</v>
      </c>
      <c r="E6" s="12">
        <f>$A$3*'Параметры установки'!$B$2/2*(9.8-C6)</f>
        <v>6.0001045690193884E-2</v>
      </c>
    </row>
    <row r="7" spans="1:5" x14ac:dyDescent="0.25">
      <c r="A7" s="51"/>
      <c r="B7" s="12">
        <f>'Таблица 1'!F6</f>
        <v>7.830000000000001</v>
      </c>
      <c r="C7" s="12">
        <f>'Параметры установки'!$A$2*2/B7/B7</f>
        <v>2.2835183798763304E-2</v>
      </c>
      <c r="D7" s="12">
        <f>2*C7/'Параметры установки'!$B$2</f>
        <v>0.99283407820710023</v>
      </c>
      <c r="E7" s="12">
        <f>$A$3*'Параметры установки'!$B$2/2*(9.8-C7)</f>
        <v>6.0041569136291807E-2</v>
      </c>
    </row>
    <row r="8" spans="1:5" x14ac:dyDescent="0.25">
      <c r="A8" s="51"/>
      <c r="B8" s="12">
        <f>'Таблица 1'!G6</f>
        <v>8.9466666666666672</v>
      </c>
      <c r="C8" s="12">
        <f>'Параметры установки'!$A$2*2/B8/B8</f>
        <v>1.7490632794436755E-2</v>
      </c>
      <c r="D8" s="12">
        <f>2*C8/'Параметры установки'!$B$2</f>
        <v>0.76046229541029375</v>
      </c>
      <c r="E8" s="12">
        <f>$A$3*'Параметры установки'!$B$2/2*(9.8-C8)</f>
        <v>6.0074390024009376E-2</v>
      </c>
    </row>
    <row r="9" spans="1:5" x14ac:dyDescent="0.25">
      <c r="A9" s="51">
        <f>'Таблица 1'!A7</f>
        <v>0.48699999999999999</v>
      </c>
      <c r="B9" s="12">
        <f>'Таблица 1'!B10</f>
        <v>3.1933333333333334</v>
      </c>
      <c r="C9" s="12">
        <f>'Параметры установки'!$A$2*2/B9/B9</f>
        <v>0.13729019660827838</v>
      </c>
      <c r="D9" s="12">
        <f>2*C9/'Параметры установки'!$B$2</f>
        <v>5.9691389829686248</v>
      </c>
      <c r="E9" s="12">
        <f>$A$9*'Параметры установки'!$B$2/2*(9.8-C9)</f>
        <v>0.10823201250779067</v>
      </c>
    </row>
    <row r="10" spans="1:5" x14ac:dyDescent="0.25">
      <c r="A10" s="51"/>
      <c r="B10" s="12">
        <f>'Таблица 1'!C10</f>
        <v>3.5966666666666671</v>
      </c>
      <c r="C10" s="12">
        <f>'Параметры установки'!$A$2*2/B10/B10</f>
        <v>0.10822501526745747</v>
      </c>
      <c r="D10" s="12">
        <f>2*C10/'Параметры установки'!$B$2</f>
        <v>4.7054354464111947</v>
      </c>
      <c r="E10" s="12">
        <f>$A$9*'Параметры установки'!$B$2/2*(9.8-C10)</f>
        <v>0.10855757160398921</v>
      </c>
    </row>
    <row r="11" spans="1:5" x14ac:dyDescent="0.25">
      <c r="A11" s="51"/>
      <c r="B11" s="12">
        <f>'Таблица 1'!D10</f>
        <v>4.2933333333333339</v>
      </c>
      <c r="C11" s="12">
        <f>'Параметры установки'!$A$2*2/B11/B11</f>
        <v>7.5951930866864678E-2</v>
      </c>
      <c r="D11" s="12">
        <f>2*C11/'Параметры установки'!$B$2</f>
        <v>3.3022578637767253</v>
      </c>
      <c r="E11" s="12">
        <f>$A$9*'Параметры установки'!$B$2/2*(9.8-C11)</f>
        <v>0.10891906242236025</v>
      </c>
    </row>
    <row r="12" spans="1:5" x14ac:dyDescent="0.25">
      <c r="A12" s="51"/>
      <c r="B12" s="12">
        <f>'Таблица 1'!E10</f>
        <v>4.9899999999999993</v>
      </c>
      <c r="C12" s="12">
        <f>'Параметры установки'!$A$2*2/B12/B12</f>
        <v>5.6224673796490786E-2</v>
      </c>
      <c r="D12" s="12">
        <f>2*C12/'Параметры установки'!$B$2</f>
        <v>2.4445510346300341</v>
      </c>
      <c r="E12" s="12">
        <f>$A$9*'Параметры установки'!$B$2/2*(9.8-C12)</f>
        <v>0.10914002742880551</v>
      </c>
    </row>
    <row r="13" spans="1:5" x14ac:dyDescent="0.25">
      <c r="A13" s="51"/>
      <c r="B13" s="12">
        <f>'Таблица 1'!F10</f>
        <v>5.6866666666666674</v>
      </c>
      <c r="C13" s="12">
        <f>'Параметры установки'!$A$2*2/B13/B13</f>
        <v>4.3292482638340082E-2</v>
      </c>
      <c r="D13" s="12">
        <f>2*C13/'Параметры установки'!$B$2</f>
        <v>1.8822818538408732</v>
      </c>
      <c r="E13" s="12">
        <f>$A$9*'Параметры установки'!$B$2/2*(9.8-C13)</f>
        <v>0.10928488090196795</v>
      </c>
    </row>
    <row r="14" spans="1:5" x14ac:dyDescent="0.25">
      <c r="A14" s="51"/>
      <c r="B14" s="12">
        <f>'Таблица 1'!G10</f>
        <v>6.373333333333334</v>
      </c>
      <c r="C14" s="12">
        <f>'Параметры установки'!$A$2*2/B14/B14</f>
        <v>3.4466308362948818E-2</v>
      </c>
      <c r="D14" s="12">
        <f>2*C14/'Параметры установки'!$B$2</f>
        <v>1.4985351462151659</v>
      </c>
      <c r="E14" s="12">
        <f>$A$9*'Параметры установки'!$B$2/2*(9.8-C14)</f>
        <v>0.1093837428800266</v>
      </c>
    </row>
    <row r="15" spans="1:5" x14ac:dyDescent="0.25">
      <c r="A15" s="51">
        <f>'Таблица 1'!A11</f>
        <v>0.70700000000000007</v>
      </c>
      <c r="B15" s="12">
        <f>'Таблица 1'!B14</f>
        <v>2.5333333333333332</v>
      </c>
      <c r="C15" s="12">
        <f>'Параметры установки'!$A$2*2/B15/B15</f>
        <v>0.21814404432132964</v>
      </c>
      <c r="D15" s="12">
        <f>2*C15/'Параметры установки'!$B$2</f>
        <v>9.4845236661447672</v>
      </c>
      <c r="E15" s="12">
        <f>$A$15*'Параметры установки'!$B$2/2*(9.8-C15)</f>
        <v>0.1558105596952909</v>
      </c>
    </row>
    <row r="16" spans="1:5" x14ac:dyDescent="0.25">
      <c r="A16" s="51"/>
      <c r="B16" s="12">
        <f>'Таблица 1'!C14</f>
        <v>2.9633333333333334</v>
      </c>
      <c r="C16" s="12">
        <f>'Параметры установки'!$A$2*2/B16/B16</f>
        <v>0.15942889028635199</v>
      </c>
      <c r="D16" s="12">
        <f>2*C16/'Параметры установки'!$B$2</f>
        <v>6.931690882015304</v>
      </c>
      <c r="E16" s="12">
        <f>$A$15*'Параметры установки'!$B$2/2*(9.8-C16)</f>
        <v>0.15676532681505367</v>
      </c>
    </row>
    <row r="17" spans="1:5" x14ac:dyDescent="0.25">
      <c r="A17" s="51"/>
      <c r="B17" s="12">
        <f>'Таблица 1'!D14</f>
        <v>3.4966666666666666</v>
      </c>
      <c r="C17" s="12">
        <f>'Параметры установки'!$A$2*2/B17/B17</f>
        <v>0.11450371273744753</v>
      </c>
      <c r="D17" s="12">
        <f>2*C17/'Параметры установки'!$B$2</f>
        <v>4.9784222929325015</v>
      </c>
      <c r="E17" s="12">
        <f>$A$15*'Параметры установки'!$B$2/2*(9.8-C17)</f>
        <v>0.1574958551271764</v>
      </c>
    </row>
    <row r="18" spans="1:5" x14ac:dyDescent="0.25">
      <c r="A18" s="51"/>
      <c r="B18" s="12">
        <f>'Таблица 1'!E14</f>
        <v>4.0966666666666667</v>
      </c>
      <c r="C18" s="12">
        <f>'Параметры установки'!$A$2*2/B18/B18</f>
        <v>8.3419345740747233E-2</v>
      </c>
      <c r="D18" s="12">
        <f>2*C18/'Параметры установки'!$B$2</f>
        <v>3.6269280756846625</v>
      </c>
      <c r="E18" s="12">
        <f>$A$15*'Параметры установки'!$B$2/2*(9.8-C18)</f>
        <v>0.15800131801890974</v>
      </c>
    </row>
    <row r="19" spans="1:5" x14ac:dyDescent="0.25">
      <c r="A19" s="51"/>
      <c r="B19" s="12">
        <f>'Таблица 1'!F14</f>
        <v>4.6700000000000008</v>
      </c>
      <c r="C19" s="12">
        <f>'Параметры установки'!$A$2*2/B19/B19</f>
        <v>6.4193975853894483E-2</v>
      </c>
      <c r="D19" s="12">
        <f>2*C19/'Параметры установки'!$B$2</f>
        <v>2.7910424284301949</v>
      </c>
      <c r="E19" s="12">
        <f>$A$15*'Параметры установки'!$B$2/2*(9.8-C19)</f>
        <v>0.15831394175863983</v>
      </c>
    </row>
    <row r="20" spans="1:5" x14ac:dyDescent="0.25">
      <c r="A20" s="51"/>
      <c r="B20" s="12">
        <f>'Таблица 1'!G14</f>
        <v>5.2633333333333328</v>
      </c>
      <c r="C20" s="12">
        <f>'Параметры установки'!$A$2*2/B20/B20</f>
        <v>5.0536630835125856E-2</v>
      </c>
      <c r="D20" s="12">
        <f>2*C20/'Параметры установки'!$B$2</f>
        <v>2.1972448189185156</v>
      </c>
      <c r="E20" s="12">
        <f>$A$15*'Параметры установки'!$B$2/2*(9.8-C20)</f>
        <v>0.15853602384599005</v>
      </c>
    </row>
    <row r="21" spans="1:5" x14ac:dyDescent="0.25">
      <c r="A21" s="51">
        <f>'Таблица 1'!A15</f>
        <v>0.92700000000000005</v>
      </c>
      <c r="B21" s="12">
        <f>'Таблица 1'!B18</f>
        <v>2.1933333333333334</v>
      </c>
      <c r="C21" s="12">
        <f>'Параметры установки'!$A$2*2/B21/B21</f>
        <v>0.29101726702451008</v>
      </c>
      <c r="D21" s="12">
        <f>2*C21/'Параметры установки'!$B$2</f>
        <v>12.65292465323957</v>
      </c>
      <c r="E21" s="12">
        <f>$A$21*'Параметры установки'!$B$2/2*(9.8-C21)</f>
        <v>0.20274102084977044</v>
      </c>
    </row>
    <row r="22" spans="1:5" x14ac:dyDescent="0.25">
      <c r="A22" s="51"/>
      <c r="B22" s="12">
        <f>'Таблица 1'!C18</f>
        <v>2.5466666666666664</v>
      </c>
      <c r="C22" s="12">
        <f>'Параметры установки'!$A$2*2/B22/B22</f>
        <v>0.21586579315259999</v>
      </c>
      <c r="D22" s="12">
        <f>2*C22/'Параметры установки'!$B$2</f>
        <v>9.3854692675043481</v>
      </c>
      <c r="E22" s="12">
        <f>$A$21*'Параметры установки'!$B$2/2*(9.8-C22)</f>
        <v>0.20434332542419342</v>
      </c>
    </row>
    <row r="23" spans="1:5" x14ac:dyDescent="0.25">
      <c r="A23" s="51"/>
      <c r="B23" s="12">
        <f>'Таблица 1'!D18</f>
        <v>3.0833333333333335</v>
      </c>
      <c r="C23" s="12">
        <f>'Параметры установки'!$A$2*2/B23/B23</f>
        <v>0.14726077428780129</v>
      </c>
      <c r="D23" s="12">
        <f>2*C23/'Параметры установки'!$B$2</f>
        <v>6.4026423603391871</v>
      </c>
      <c r="E23" s="12">
        <f>$A$21*'Параметры установки'!$B$2/2*(9.8-C23)</f>
        <v>0.20580605303140981</v>
      </c>
    </row>
    <row r="24" spans="1:5" x14ac:dyDescent="0.25">
      <c r="A24" s="51"/>
      <c r="B24" s="12">
        <f>'Таблица 1'!E18</f>
        <v>3.563333333333333</v>
      </c>
      <c r="C24" s="12">
        <f>'Параметры установки'!$A$2*2/B24/B24</f>
        <v>0.11025927556155662</v>
      </c>
      <c r="D24" s="12">
        <f>2*C24/'Параметры установки'!$B$2</f>
        <v>4.793881546154636</v>
      </c>
      <c r="E24" s="12">
        <f>$A$21*'Параметры установки'!$B$2/2*(9.8-C24)</f>
        <v>0.20659496198575206</v>
      </c>
    </row>
    <row r="25" spans="1:5" x14ac:dyDescent="0.25">
      <c r="A25" s="51"/>
      <c r="B25" s="12">
        <f>'Таблица 1'!F18</f>
        <v>4.0466666666666669</v>
      </c>
      <c r="C25" s="12">
        <f>'Параметры установки'!$A$2*2/B25/B25</f>
        <v>8.5493514706241558E-2</v>
      </c>
      <c r="D25" s="12">
        <f>2*C25/'Параметры установки'!$B$2</f>
        <v>3.7171093350539808</v>
      </c>
      <c r="E25" s="12">
        <f>$A$21*'Параметры установки'!$B$2/2*(9.8-C25)</f>
        <v>0.20712299277294824</v>
      </c>
    </row>
    <row r="26" spans="1:5" x14ac:dyDescent="0.25">
      <c r="A26" s="51"/>
      <c r="B26" s="12">
        <f>'Таблица 1'!G18</f>
        <v>4.6166666666666663</v>
      </c>
      <c r="C26" s="12">
        <f>'Параметры установки'!$A$2*2/B26/B26</f>
        <v>6.5685725084387928E-2</v>
      </c>
      <c r="D26" s="12">
        <f>2*C26/'Параметры установки'!$B$2</f>
        <v>2.855901090625562</v>
      </c>
      <c r="E26" s="12">
        <f>$A$21*'Параметры установки'!$B$2/2*(9.8-C26)</f>
        <v>0.20754531465547579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"/>
  <sheetViews>
    <sheetView workbookViewId="0">
      <selection activeCell="A2" sqref="A2:G4"/>
    </sheetView>
  </sheetViews>
  <sheetFormatPr defaultRowHeight="15" x14ac:dyDescent="0.25"/>
  <cols>
    <col min="1" max="1" width="12.85546875" bestFit="1" customWidth="1"/>
  </cols>
  <sheetData>
    <row r="1" spans="1:7" ht="30" x14ac:dyDescent="0.25">
      <c r="A1" s="32" t="s">
        <v>51</v>
      </c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</row>
    <row r="2" spans="1:7" x14ac:dyDescent="0.25">
      <c r="A2" s="32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</row>
    <row r="3" spans="1:7" ht="17.25" x14ac:dyDescent="0.25">
      <c r="A3" s="32" t="s">
        <v>53</v>
      </c>
      <c r="B3" s="2">
        <f>B2*B2</f>
        <v>5.9290000000000002E-3</v>
      </c>
      <c r="C3" s="2">
        <f t="shared" ref="C3:G3" si="0">C2*C2</f>
        <v>1.0404000000000002E-2</v>
      </c>
      <c r="D3" s="2">
        <f t="shared" si="0"/>
        <v>1.6129000000000001E-2</v>
      </c>
      <c r="E3" s="2">
        <f t="shared" si="0"/>
        <v>2.3104E-2</v>
      </c>
      <c r="F3" s="2">
        <f t="shared" si="0"/>
        <v>3.1328999999999996E-2</v>
      </c>
      <c r="G3" s="2">
        <f t="shared" si="0"/>
        <v>4.0803999999999993E-2</v>
      </c>
    </row>
    <row r="4" spans="1:7" x14ac:dyDescent="0.25">
      <c r="A4" s="32" t="s">
        <v>54</v>
      </c>
      <c r="B4" s="12">
        <f>'МНК рис.1'!N2</f>
        <v>1.5068213537674789E-2</v>
      </c>
      <c r="C4" s="12">
        <f>'МНК рис.2'!N2</f>
        <v>2.1048078241893361E-2</v>
      </c>
      <c r="D4" s="12">
        <f>'МНК рис.3'!N2</f>
        <v>3.0749652241374853E-2</v>
      </c>
      <c r="E4" s="12">
        <f>'МНК рис.4'!N2</f>
        <v>4.1675635135226742E-2</v>
      </c>
      <c r="F4" s="12">
        <f>'МНК рис.5'!N2</f>
        <v>5.3980073805964597E-2</v>
      </c>
      <c r="G4" s="12">
        <f>'МНК рис.6'!N2</f>
        <v>7.0331102837393106E-2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10" zoomScaleNormal="100" workbookViewId="0">
      <selection activeCell="R24" sqref="R24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51"/>
  <sheetViews>
    <sheetView topLeftCell="A31" workbookViewId="0">
      <selection activeCell="G35" sqref="G35"/>
    </sheetView>
  </sheetViews>
  <sheetFormatPr defaultRowHeight="15" x14ac:dyDescent="0.25"/>
  <cols>
    <col min="1" max="1" width="14.28515625" customWidth="1"/>
    <col min="2" max="2" width="11" customWidth="1"/>
    <col min="3" max="3" width="11.28515625" customWidth="1"/>
    <col min="4" max="4" width="10.7109375" customWidth="1"/>
    <col min="5" max="5" width="10" customWidth="1"/>
    <col min="6" max="6" width="10.28515625" customWidth="1"/>
    <col min="7" max="7" width="13.42578125" customWidth="1"/>
  </cols>
  <sheetData>
    <row r="1" spans="1:7" ht="47.45" customHeight="1" x14ac:dyDescent="0.25">
      <c r="A1" s="53" t="s">
        <v>62</v>
      </c>
      <c r="B1" s="53"/>
      <c r="C1" s="53"/>
      <c r="D1" s="53"/>
      <c r="E1" s="53"/>
      <c r="F1" s="53"/>
      <c r="G1" s="53"/>
    </row>
    <row r="2" spans="1:7" x14ac:dyDescent="0.25">
      <c r="A2" s="62" t="s">
        <v>65</v>
      </c>
      <c r="B2" s="55" t="s">
        <v>1</v>
      </c>
      <c r="C2" s="56"/>
      <c r="D2" s="56"/>
      <c r="E2" s="56"/>
      <c r="F2" s="56"/>
      <c r="G2" s="57"/>
    </row>
    <row r="3" spans="1:7" x14ac:dyDescent="0.25">
      <c r="A3" s="63"/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</row>
    <row r="4" spans="1:7" x14ac:dyDescent="0.25">
      <c r="A4" s="58">
        <f>0.047+0.22</f>
        <v>0.26700000000000002</v>
      </c>
      <c r="B4" s="41">
        <v>4.2</v>
      </c>
      <c r="C4" s="41">
        <v>4.97</v>
      </c>
      <c r="D4" s="41">
        <v>6</v>
      </c>
      <c r="E4" s="41">
        <v>6.86</v>
      </c>
      <c r="F4" s="41">
        <v>7.78</v>
      </c>
      <c r="G4" s="41">
        <v>8.8800000000000008</v>
      </c>
    </row>
    <row r="5" spans="1:7" x14ac:dyDescent="0.25">
      <c r="A5" s="59"/>
      <c r="B5" s="41">
        <v>4.3</v>
      </c>
      <c r="C5" s="41">
        <v>4.87</v>
      </c>
      <c r="D5" s="41">
        <v>5.93</v>
      </c>
      <c r="E5" s="41">
        <v>6.87</v>
      </c>
      <c r="F5" s="41">
        <v>7.8</v>
      </c>
      <c r="G5" s="41">
        <v>8.94</v>
      </c>
    </row>
    <row r="6" spans="1:7" x14ac:dyDescent="0.25">
      <c r="A6" s="59"/>
      <c r="B6" s="41">
        <v>4.3600000000000003</v>
      </c>
      <c r="C6" s="41">
        <v>4.95</v>
      </c>
      <c r="D6" s="41">
        <v>6.04</v>
      </c>
      <c r="E6" s="41">
        <v>6.96</v>
      </c>
      <c r="F6" s="41">
        <v>7.91</v>
      </c>
      <c r="G6" s="41">
        <v>9.02</v>
      </c>
    </row>
    <row r="7" spans="1:7" x14ac:dyDescent="0.25">
      <c r="A7" s="60"/>
      <c r="B7" s="41">
        <f>SUM(B4:B6)/3</f>
        <v>4.2866666666666662</v>
      </c>
      <c r="C7" s="41">
        <f t="shared" ref="C7:G7" si="0">SUM(C4:C6)/3</f>
        <v>4.93</v>
      </c>
      <c r="D7" s="41">
        <f t="shared" si="0"/>
        <v>5.9899999999999993</v>
      </c>
      <c r="E7" s="41">
        <f t="shared" si="0"/>
        <v>6.8966666666666674</v>
      </c>
      <c r="F7" s="41">
        <f t="shared" si="0"/>
        <v>7.830000000000001</v>
      </c>
      <c r="G7" s="41">
        <f t="shared" si="0"/>
        <v>8.9466666666666672</v>
      </c>
    </row>
    <row r="8" spans="1:7" x14ac:dyDescent="0.25">
      <c r="A8" s="58">
        <f>0.047+0.22*2</f>
        <v>0.48699999999999999</v>
      </c>
      <c r="B8" s="41">
        <v>3.27</v>
      </c>
      <c r="C8" s="41">
        <v>3.52</v>
      </c>
      <c r="D8" s="41">
        <v>4.3600000000000003</v>
      </c>
      <c r="E8" s="41">
        <v>4.99</v>
      </c>
      <c r="F8" s="41">
        <v>5.67</v>
      </c>
      <c r="G8" s="41">
        <v>6.36</v>
      </c>
    </row>
    <row r="9" spans="1:7" x14ac:dyDescent="0.25">
      <c r="A9" s="59"/>
      <c r="B9" s="41">
        <v>3.18</v>
      </c>
      <c r="C9" s="41">
        <v>3.63</v>
      </c>
      <c r="D9" s="41">
        <v>4.3499999999999996</v>
      </c>
      <c r="E9" s="41">
        <v>5.0199999999999996</v>
      </c>
      <c r="F9" s="41">
        <v>5.74</v>
      </c>
      <c r="G9" s="41">
        <v>6.39</v>
      </c>
    </row>
    <row r="10" spans="1:7" x14ac:dyDescent="0.25">
      <c r="A10" s="59"/>
      <c r="B10" s="41">
        <v>3.13</v>
      </c>
      <c r="C10" s="41">
        <v>3.64</v>
      </c>
      <c r="D10" s="41">
        <v>4.17</v>
      </c>
      <c r="E10" s="41">
        <v>4.96</v>
      </c>
      <c r="F10" s="41">
        <v>5.65</v>
      </c>
      <c r="G10" s="41">
        <v>6.37</v>
      </c>
    </row>
    <row r="11" spans="1:7" x14ac:dyDescent="0.25">
      <c r="A11" s="60"/>
      <c r="B11" s="41">
        <f>SUM(B8:B10)/3</f>
        <v>3.1933333333333334</v>
      </c>
      <c r="C11" s="41">
        <f t="shared" ref="C11:G11" si="1">SUM(C8:C10)/3</f>
        <v>3.5966666666666671</v>
      </c>
      <c r="D11" s="41">
        <f t="shared" si="1"/>
        <v>4.2933333333333339</v>
      </c>
      <c r="E11" s="41">
        <f t="shared" si="1"/>
        <v>4.9899999999999993</v>
      </c>
      <c r="F11" s="41">
        <f t="shared" si="1"/>
        <v>5.6866666666666674</v>
      </c>
      <c r="G11" s="41">
        <f t="shared" si="1"/>
        <v>6.373333333333334</v>
      </c>
    </row>
    <row r="12" spans="1:7" x14ac:dyDescent="0.25">
      <c r="A12" s="58">
        <f>0.047+0.22*3</f>
        <v>0.70700000000000007</v>
      </c>
      <c r="B12" s="41">
        <v>2.5099999999999998</v>
      </c>
      <c r="C12" s="41">
        <v>2.94</v>
      </c>
      <c r="D12" s="41">
        <v>3.45</v>
      </c>
      <c r="E12" s="41">
        <v>4.1399999999999997</v>
      </c>
      <c r="F12" s="41">
        <v>4.6399999999999997</v>
      </c>
      <c r="G12" s="41">
        <v>5.24</v>
      </c>
    </row>
    <row r="13" spans="1:7" x14ac:dyDescent="0.25">
      <c r="A13" s="59"/>
      <c r="B13" s="41">
        <v>2.56</v>
      </c>
      <c r="C13" s="41">
        <v>2.93</v>
      </c>
      <c r="D13" s="41">
        <v>3.55</v>
      </c>
      <c r="E13" s="41">
        <v>4.08</v>
      </c>
      <c r="F13" s="41">
        <v>4.75</v>
      </c>
      <c r="G13" s="41">
        <v>5.27</v>
      </c>
    </row>
    <row r="14" spans="1:7" x14ac:dyDescent="0.25">
      <c r="A14" s="59"/>
      <c r="B14" s="41">
        <v>2.5299999999999998</v>
      </c>
      <c r="C14" s="41">
        <v>3.02</v>
      </c>
      <c r="D14" s="41">
        <v>3.49</v>
      </c>
      <c r="E14" s="41">
        <v>4.07</v>
      </c>
      <c r="F14" s="41">
        <v>4.62</v>
      </c>
      <c r="G14" s="41">
        <v>5.28</v>
      </c>
    </row>
    <row r="15" spans="1:7" x14ac:dyDescent="0.25">
      <c r="A15" s="60"/>
      <c r="B15" s="41">
        <f>SUM(B12:B14)/3</f>
        <v>2.5333333333333332</v>
      </c>
      <c r="C15" s="41">
        <f t="shared" ref="C15" si="2">SUM(C12:C14)/3</f>
        <v>2.9633333333333334</v>
      </c>
      <c r="D15" s="41">
        <f t="shared" ref="D15:G15" si="3">SUM(D12:D14)/3</f>
        <v>3.4966666666666666</v>
      </c>
      <c r="E15" s="41">
        <f t="shared" si="3"/>
        <v>4.0966666666666667</v>
      </c>
      <c r="F15" s="41">
        <f t="shared" si="3"/>
        <v>4.6700000000000008</v>
      </c>
      <c r="G15" s="41">
        <f t="shared" si="3"/>
        <v>5.2633333333333328</v>
      </c>
    </row>
    <row r="16" spans="1:7" x14ac:dyDescent="0.25">
      <c r="A16" s="58">
        <f>0.047+0.22*4</f>
        <v>0.92700000000000005</v>
      </c>
      <c r="B16" s="41">
        <v>2.23</v>
      </c>
      <c r="C16" s="41">
        <v>2.59</v>
      </c>
      <c r="D16" s="41">
        <v>3.1</v>
      </c>
      <c r="E16" s="41">
        <v>3.55</v>
      </c>
      <c r="F16" s="41">
        <v>4.0599999999999996</v>
      </c>
      <c r="G16" s="41">
        <v>4.6100000000000003</v>
      </c>
    </row>
    <row r="17" spans="1:7" x14ac:dyDescent="0.25">
      <c r="A17" s="59"/>
      <c r="B17" s="41">
        <v>2.23</v>
      </c>
      <c r="C17" s="41">
        <v>2.59</v>
      </c>
      <c r="D17" s="41">
        <v>3.06</v>
      </c>
      <c r="E17" s="41">
        <v>3.56</v>
      </c>
      <c r="F17" s="41">
        <v>4.01</v>
      </c>
      <c r="G17" s="41">
        <v>4.5599999999999996</v>
      </c>
    </row>
    <row r="18" spans="1:7" x14ac:dyDescent="0.25">
      <c r="A18" s="59"/>
      <c r="B18" s="41">
        <v>2.12</v>
      </c>
      <c r="C18" s="41">
        <v>2.46</v>
      </c>
      <c r="D18" s="41">
        <v>3.09</v>
      </c>
      <c r="E18" s="41">
        <v>3.58</v>
      </c>
      <c r="F18" s="41">
        <v>4.07</v>
      </c>
      <c r="G18" s="41">
        <v>4.68</v>
      </c>
    </row>
    <row r="19" spans="1:7" x14ac:dyDescent="0.25">
      <c r="A19" s="60"/>
      <c r="B19" s="41">
        <f>SUM(B16:B18)/3</f>
        <v>2.1933333333333334</v>
      </c>
      <c r="C19" s="41">
        <f t="shared" ref="C19" si="4">SUM(C16:C18)/3</f>
        <v>2.5466666666666664</v>
      </c>
      <c r="D19" s="41">
        <f t="shared" ref="D19:G19" si="5">SUM(D16:D18)/3</f>
        <v>3.0833333333333335</v>
      </c>
      <c r="E19" s="41">
        <f t="shared" si="5"/>
        <v>3.563333333333333</v>
      </c>
      <c r="F19" s="41">
        <f t="shared" si="5"/>
        <v>4.0466666666666669</v>
      </c>
      <c r="G19" s="41">
        <f t="shared" si="5"/>
        <v>4.6166666666666663</v>
      </c>
    </row>
    <row r="20" spans="1:7" ht="41.45" customHeight="1" x14ac:dyDescent="0.25">
      <c r="A20" s="53" t="s">
        <v>63</v>
      </c>
      <c r="B20" s="53"/>
      <c r="C20" s="53"/>
      <c r="D20" s="53"/>
      <c r="E20" s="53"/>
      <c r="F20" s="42"/>
      <c r="G20" s="42"/>
    </row>
    <row r="21" spans="1:7" ht="15.75" x14ac:dyDescent="0.25">
      <c r="A21" s="40" t="s">
        <v>65</v>
      </c>
      <c r="B21" s="43" t="s">
        <v>67</v>
      </c>
      <c r="C21" s="44" t="s">
        <v>68</v>
      </c>
      <c r="D21" s="45" t="s">
        <v>69</v>
      </c>
      <c r="E21" s="46" t="s">
        <v>11</v>
      </c>
      <c r="F21" s="42"/>
      <c r="G21" s="42"/>
    </row>
    <row r="22" spans="1:7" x14ac:dyDescent="0.25">
      <c r="A22" s="58">
        <v>0.26700000000000002</v>
      </c>
      <c r="B22" s="41">
        <v>4.2866666666666662</v>
      </c>
      <c r="C22" s="41">
        <v>7.6188356967848536E-2</v>
      </c>
      <c r="D22" s="41">
        <v>3.3125372594716755</v>
      </c>
      <c r="E22" s="41">
        <v>5.9713927299860449E-2</v>
      </c>
      <c r="F22" s="42"/>
      <c r="G22" s="42"/>
    </row>
    <row r="23" spans="1:7" x14ac:dyDescent="0.25">
      <c r="A23" s="59"/>
      <c r="B23" s="41">
        <v>4.93</v>
      </c>
      <c r="C23" s="41">
        <v>5.7601553596188425E-2</v>
      </c>
      <c r="D23" s="41">
        <v>2.5044153737473227</v>
      </c>
      <c r="E23" s="41">
        <v>5.982806885936582E-2</v>
      </c>
      <c r="F23" s="42"/>
      <c r="G23" s="42"/>
    </row>
    <row r="24" spans="1:7" x14ac:dyDescent="0.25">
      <c r="A24" s="59"/>
      <c r="B24" s="41">
        <v>5.9899999999999993</v>
      </c>
      <c r="C24" s="41">
        <v>3.901884331426056E-2</v>
      </c>
      <c r="D24" s="41">
        <v>1.6964714484461114</v>
      </c>
      <c r="E24" s="41">
        <v>5.994218528320714E-2</v>
      </c>
      <c r="F24" s="42"/>
      <c r="G24" s="42"/>
    </row>
    <row r="25" spans="1:7" x14ac:dyDescent="0.25">
      <c r="A25" s="59"/>
      <c r="B25" s="41">
        <v>6.8966666666666674</v>
      </c>
      <c r="C25" s="41">
        <v>2.9434018857861947E-2</v>
      </c>
      <c r="D25" s="41">
        <v>1.2797399503418239</v>
      </c>
      <c r="E25" s="41">
        <v>6.0001045690193884E-2</v>
      </c>
      <c r="F25" s="42"/>
      <c r="G25" s="42"/>
    </row>
    <row r="26" spans="1:7" x14ac:dyDescent="0.25">
      <c r="A26" s="59"/>
      <c r="B26" s="41">
        <v>7.830000000000001</v>
      </c>
      <c r="C26" s="41">
        <v>2.2835183798763304E-2</v>
      </c>
      <c r="D26" s="41">
        <v>0.99283407820710023</v>
      </c>
      <c r="E26" s="41">
        <v>6.0041569136291807E-2</v>
      </c>
      <c r="F26" s="42"/>
      <c r="G26" s="42"/>
    </row>
    <row r="27" spans="1:7" x14ac:dyDescent="0.25">
      <c r="A27" s="60"/>
      <c r="B27" s="41">
        <v>8.9466666666666672</v>
      </c>
      <c r="C27" s="41">
        <v>1.7490632794436755E-2</v>
      </c>
      <c r="D27" s="41">
        <v>0.76046229541029375</v>
      </c>
      <c r="E27" s="41">
        <v>6.0074390024009376E-2</v>
      </c>
      <c r="F27" s="42"/>
      <c r="G27" s="42"/>
    </row>
    <row r="28" spans="1:7" x14ac:dyDescent="0.25">
      <c r="A28" s="58">
        <v>0.48699999999999999</v>
      </c>
      <c r="B28" s="41">
        <v>3.1933333333333334</v>
      </c>
      <c r="C28" s="41">
        <v>0.13729019660827838</v>
      </c>
      <c r="D28" s="41">
        <v>5.9691389829686248</v>
      </c>
      <c r="E28" s="41">
        <v>0.10823201250779067</v>
      </c>
      <c r="F28" s="42"/>
      <c r="G28" s="42"/>
    </row>
    <row r="29" spans="1:7" x14ac:dyDescent="0.25">
      <c r="A29" s="59"/>
      <c r="B29" s="41">
        <v>3.5966666666666671</v>
      </c>
      <c r="C29" s="41">
        <v>0.10822501526745747</v>
      </c>
      <c r="D29" s="41">
        <v>4.7054354464111947</v>
      </c>
      <c r="E29" s="41">
        <v>0.10855757160398921</v>
      </c>
      <c r="F29" s="42"/>
      <c r="G29" s="42"/>
    </row>
    <row r="30" spans="1:7" x14ac:dyDescent="0.25">
      <c r="A30" s="59"/>
      <c r="B30" s="41">
        <v>4.2933333333333339</v>
      </c>
      <c r="C30" s="41">
        <v>7.5951930866864678E-2</v>
      </c>
      <c r="D30" s="41">
        <v>3.3022578637767253</v>
      </c>
      <c r="E30" s="41">
        <v>0.10891906242236025</v>
      </c>
      <c r="F30" s="42"/>
      <c r="G30" s="42"/>
    </row>
    <row r="31" spans="1:7" x14ac:dyDescent="0.25">
      <c r="A31" s="59"/>
      <c r="B31" s="41">
        <v>4.9899999999999993</v>
      </c>
      <c r="C31" s="41">
        <v>5.6224673796490786E-2</v>
      </c>
      <c r="D31" s="41">
        <v>2.4445510346300341</v>
      </c>
      <c r="E31" s="41">
        <v>0.10914002742880551</v>
      </c>
      <c r="F31" s="42"/>
      <c r="G31" s="42"/>
    </row>
    <row r="32" spans="1:7" x14ac:dyDescent="0.25">
      <c r="A32" s="59"/>
      <c r="B32" s="41">
        <v>5.6866666666666674</v>
      </c>
      <c r="C32" s="41">
        <v>4.3292482638340082E-2</v>
      </c>
      <c r="D32" s="41">
        <v>1.8822818538408732</v>
      </c>
      <c r="E32" s="41">
        <v>0.10928488090196795</v>
      </c>
      <c r="F32" s="42"/>
      <c r="G32" s="42"/>
    </row>
    <row r="33" spans="1:7" x14ac:dyDescent="0.25">
      <c r="A33" s="60"/>
      <c r="B33" s="41">
        <v>6.373333333333334</v>
      </c>
      <c r="C33" s="41">
        <v>3.4466308362948818E-2</v>
      </c>
      <c r="D33" s="41">
        <v>1.4985351462151659</v>
      </c>
      <c r="E33" s="41">
        <v>0.1093837428800266</v>
      </c>
      <c r="F33" s="42"/>
      <c r="G33" s="42"/>
    </row>
    <row r="34" spans="1:7" x14ac:dyDescent="0.25">
      <c r="A34" s="58">
        <v>0.70700000000000007</v>
      </c>
      <c r="B34" s="41">
        <v>2.5333333333333332</v>
      </c>
      <c r="C34" s="41">
        <v>0.21814404432132964</v>
      </c>
      <c r="D34" s="41">
        <v>9.4845236661447672</v>
      </c>
      <c r="E34" s="41">
        <v>0.1558105596952909</v>
      </c>
      <c r="F34" s="42"/>
      <c r="G34" s="42"/>
    </row>
    <row r="35" spans="1:7" x14ac:dyDescent="0.25">
      <c r="A35" s="59"/>
      <c r="B35" s="41">
        <v>2.9633333333333334</v>
      </c>
      <c r="C35" s="41">
        <v>0.15942889028635199</v>
      </c>
      <c r="D35" s="41">
        <v>6.931690882015304</v>
      </c>
      <c r="E35" s="41">
        <v>0.15676532681505367</v>
      </c>
      <c r="F35" s="42"/>
      <c r="G35" s="42"/>
    </row>
    <row r="36" spans="1:7" x14ac:dyDescent="0.25">
      <c r="A36" s="59"/>
      <c r="B36" s="41">
        <v>3.4966666666666666</v>
      </c>
      <c r="C36" s="41">
        <v>0.11450371273744753</v>
      </c>
      <c r="D36" s="41">
        <v>4.9784222929325015</v>
      </c>
      <c r="E36" s="41">
        <v>0.1574958551271764</v>
      </c>
      <c r="F36" s="42"/>
      <c r="G36" s="42"/>
    </row>
    <row r="37" spans="1:7" x14ac:dyDescent="0.25">
      <c r="A37" s="59"/>
      <c r="B37" s="41">
        <v>4.0966666666666667</v>
      </c>
      <c r="C37" s="41">
        <v>8.3419345740747233E-2</v>
      </c>
      <c r="D37" s="41">
        <v>3.6269280756846625</v>
      </c>
      <c r="E37" s="41">
        <v>0.15800131801890974</v>
      </c>
      <c r="F37" s="42"/>
      <c r="G37" s="42"/>
    </row>
    <row r="38" spans="1:7" x14ac:dyDescent="0.25">
      <c r="A38" s="59"/>
      <c r="B38" s="41">
        <v>4.6700000000000008</v>
      </c>
      <c r="C38" s="41">
        <v>6.4193975853894483E-2</v>
      </c>
      <c r="D38" s="41">
        <v>2.7910424284301949</v>
      </c>
      <c r="E38" s="41">
        <v>0.15831394175863983</v>
      </c>
      <c r="F38" s="42"/>
      <c r="G38" s="42"/>
    </row>
    <row r="39" spans="1:7" x14ac:dyDescent="0.25">
      <c r="A39" s="60"/>
      <c r="B39" s="41">
        <v>5.2633333333333328</v>
      </c>
      <c r="C39" s="41">
        <v>5.0536630835125856E-2</v>
      </c>
      <c r="D39" s="41">
        <v>2.1972448189185156</v>
      </c>
      <c r="E39" s="41">
        <v>0.15853602384599005</v>
      </c>
      <c r="F39" s="42"/>
      <c r="G39" s="42"/>
    </row>
    <row r="40" spans="1:7" x14ac:dyDescent="0.25">
      <c r="A40" s="61">
        <v>0.92700000000000005</v>
      </c>
      <c r="B40" s="41">
        <v>2.1933333333333334</v>
      </c>
      <c r="C40" s="41">
        <v>0.29101726702451008</v>
      </c>
      <c r="D40" s="41">
        <v>12.65292465323957</v>
      </c>
      <c r="E40" s="41">
        <v>0.20274102084977044</v>
      </c>
      <c r="F40" s="42"/>
      <c r="G40" s="42"/>
    </row>
    <row r="41" spans="1:7" x14ac:dyDescent="0.25">
      <c r="A41" s="61"/>
      <c r="B41" s="41">
        <v>2.5466666666666664</v>
      </c>
      <c r="C41" s="41">
        <v>0.21586579315259999</v>
      </c>
      <c r="D41" s="41">
        <v>9.3854692675043481</v>
      </c>
      <c r="E41" s="41">
        <v>0.20434332542419342</v>
      </c>
      <c r="F41" s="42"/>
      <c r="G41" s="42"/>
    </row>
    <row r="42" spans="1:7" x14ac:dyDescent="0.25">
      <c r="A42" s="61"/>
      <c r="B42" s="41">
        <v>3.0833333333333335</v>
      </c>
      <c r="C42" s="41">
        <v>0.14726077428780129</v>
      </c>
      <c r="D42" s="41">
        <v>6.4026423603391871</v>
      </c>
      <c r="E42" s="41">
        <v>0.20580605303140981</v>
      </c>
      <c r="F42" s="42"/>
      <c r="G42" s="42"/>
    </row>
    <row r="43" spans="1:7" x14ac:dyDescent="0.25">
      <c r="A43" s="61"/>
      <c r="B43" s="41">
        <v>3.563333333333333</v>
      </c>
      <c r="C43" s="41">
        <v>0.11025927556155662</v>
      </c>
      <c r="D43" s="41">
        <v>4.793881546154636</v>
      </c>
      <c r="E43" s="41">
        <v>0.20659496198575206</v>
      </c>
      <c r="F43" s="42"/>
      <c r="G43" s="42"/>
    </row>
    <row r="44" spans="1:7" x14ac:dyDescent="0.25">
      <c r="A44" s="61"/>
      <c r="B44" s="41">
        <v>4.0466666666666669</v>
      </c>
      <c r="C44" s="41">
        <v>8.5493514706241558E-2</v>
      </c>
      <c r="D44" s="41">
        <v>3.7171093350539808</v>
      </c>
      <c r="E44" s="41">
        <v>0.20712299277294824</v>
      </c>
      <c r="F44" s="42"/>
      <c r="G44" s="42"/>
    </row>
    <row r="45" spans="1:7" x14ac:dyDescent="0.25">
      <c r="A45" s="61"/>
      <c r="B45" s="41">
        <v>4.6166666666666663</v>
      </c>
      <c r="C45" s="41">
        <v>6.5685725084387928E-2</v>
      </c>
      <c r="D45" s="41">
        <v>2.855901090625562</v>
      </c>
      <c r="E45" s="41">
        <v>0.20754531465547579</v>
      </c>
      <c r="F45" s="42"/>
      <c r="G45" s="42"/>
    </row>
    <row r="46" spans="1:7" x14ac:dyDescent="0.25">
      <c r="A46" s="49"/>
      <c r="B46" s="50"/>
      <c r="C46" s="50"/>
      <c r="D46" s="50"/>
      <c r="E46" s="50"/>
      <c r="F46" s="42"/>
      <c r="G46" s="42"/>
    </row>
    <row r="47" spans="1:7" x14ac:dyDescent="0.25">
      <c r="A47" s="54" t="s">
        <v>66</v>
      </c>
      <c r="B47" s="54"/>
      <c r="C47" s="54"/>
      <c r="D47" s="54"/>
      <c r="E47" s="54"/>
      <c r="F47" s="54"/>
      <c r="G47" s="54"/>
    </row>
    <row r="48" spans="1:7" x14ac:dyDescent="0.25">
      <c r="A48" s="47" t="s">
        <v>51</v>
      </c>
      <c r="B48" s="48">
        <v>1</v>
      </c>
      <c r="C48" s="48">
        <v>2</v>
      </c>
      <c r="D48" s="48">
        <v>3</v>
      </c>
      <c r="E48" s="48">
        <v>4</v>
      </c>
      <c r="F48" s="48">
        <v>5</v>
      </c>
      <c r="G48" s="48">
        <v>6</v>
      </c>
    </row>
    <row r="49" spans="1:7" x14ac:dyDescent="0.25">
      <c r="A49" s="47" t="s">
        <v>64</v>
      </c>
      <c r="B49" s="46">
        <v>7.6999999999999999E-2</v>
      </c>
      <c r="C49" s="46">
        <v>0.10200000000000001</v>
      </c>
      <c r="D49" s="46">
        <v>0.127</v>
      </c>
      <c r="E49" s="46">
        <v>0.152</v>
      </c>
      <c r="F49" s="46">
        <v>0.17699999999999999</v>
      </c>
      <c r="G49" s="46">
        <v>0.20199999999999999</v>
      </c>
    </row>
    <row r="50" spans="1:7" x14ac:dyDescent="0.25">
      <c r="A50" s="47" t="s">
        <v>70</v>
      </c>
      <c r="B50" s="46">
        <v>5.9290000000000002E-3</v>
      </c>
      <c r="C50" s="46">
        <v>1.0404000000000002E-2</v>
      </c>
      <c r="D50" s="46">
        <v>1.6129000000000001E-2</v>
      </c>
      <c r="E50" s="46">
        <v>2.3104E-2</v>
      </c>
      <c r="F50" s="46">
        <v>3.1328999999999996E-2</v>
      </c>
      <c r="G50" s="46">
        <v>4.0803999999999993E-2</v>
      </c>
    </row>
    <row r="51" spans="1:7" x14ac:dyDescent="0.25">
      <c r="A51" s="47" t="s">
        <v>71</v>
      </c>
      <c r="B51" s="41">
        <v>1.5068213537674789E-2</v>
      </c>
      <c r="C51" s="41">
        <v>2.1048078241893361E-2</v>
      </c>
      <c r="D51" s="41">
        <v>3.0749652241374853E-2</v>
      </c>
      <c r="E51" s="41">
        <v>4.1675635135226742E-2</v>
      </c>
      <c r="F51" s="41">
        <v>5.3980073805964597E-2</v>
      </c>
      <c r="G51" s="41">
        <v>7.0331102837393106E-2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2021-10-21T21:58:13Z</cp:lastPrinted>
  <dcterms:created xsi:type="dcterms:W3CDTF">2015-06-05T18:19:34Z</dcterms:created>
  <dcterms:modified xsi:type="dcterms:W3CDTF">2022-04-24T15:06:14Z</dcterms:modified>
</cp:coreProperties>
</file>