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Учеба\phys\3.10\"/>
    </mc:Choice>
  </mc:AlternateContent>
  <xr:revisionPtr revIDLastSave="0" documentId="13_ncr:1_{83A9BF55-3A00-4F2D-A2EB-52A31455939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olution" sheetId="1" r:id="rId1"/>
    <sheet name="inaccurac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D20" i="1"/>
  <c r="D21" i="1"/>
  <c r="D22" i="1"/>
  <c r="D23" i="1"/>
  <c r="E21" i="1"/>
  <c r="E22" i="1"/>
  <c r="E23" i="1"/>
  <c r="E20" i="1"/>
  <c r="F21" i="1" l="1"/>
  <c r="F22" i="1"/>
  <c r="F23" i="1"/>
  <c r="H18" i="2" l="1"/>
  <c r="G18" i="2"/>
  <c r="F18" i="2"/>
  <c r="H17" i="2"/>
  <c r="G17" i="2"/>
  <c r="F17" i="2"/>
  <c r="Q16" i="2"/>
  <c r="H16" i="2"/>
  <c r="F16" i="2"/>
  <c r="G16" i="2" s="1"/>
  <c r="Q15" i="2"/>
  <c r="H15" i="2"/>
  <c r="G15" i="2"/>
  <c r="F15" i="2"/>
  <c r="H14" i="2"/>
  <c r="G14" i="2"/>
  <c r="F14" i="2"/>
  <c r="Q13" i="2"/>
  <c r="H13" i="2"/>
  <c r="F13" i="2"/>
  <c r="G13" i="2" s="1"/>
  <c r="Q12" i="2"/>
  <c r="H12" i="2"/>
  <c r="G12" i="2"/>
  <c r="F12" i="2"/>
  <c r="H11" i="2"/>
  <c r="G11" i="2"/>
  <c r="F11" i="2"/>
  <c r="Q10" i="2"/>
  <c r="H10" i="2"/>
  <c r="F10" i="2"/>
  <c r="G10" i="2" s="1"/>
  <c r="Q9" i="2"/>
  <c r="H9" i="2"/>
  <c r="G9" i="2"/>
  <c r="F9" i="2"/>
  <c r="Q8" i="2"/>
  <c r="H8" i="2"/>
  <c r="G8" i="2"/>
  <c r="F8" i="2"/>
  <c r="Q7" i="2"/>
  <c r="H7" i="2"/>
  <c r="F7" i="2"/>
  <c r="G7" i="2" s="1"/>
  <c r="Q6" i="2"/>
  <c r="H6" i="2"/>
  <c r="G6" i="2"/>
  <c r="F6" i="2"/>
  <c r="Q5" i="2"/>
  <c r="H5" i="2"/>
  <c r="F5" i="2"/>
  <c r="I5" i="2" s="1"/>
  <c r="Q4" i="2"/>
  <c r="P4" i="2"/>
  <c r="Q17" i="2" s="1"/>
  <c r="H23" i="1"/>
  <c r="H21" i="1"/>
  <c r="M16" i="1"/>
  <c r="K16" i="1"/>
  <c r="L16" i="1" s="1"/>
  <c r="G16" i="1"/>
  <c r="M15" i="1"/>
  <c r="K15" i="1"/>
  <c r="L15" i="1" s="1"/>
  <c r="M14" i="1"/>
  <c r="K14" i="1"/>
  <c r="L14" i="1" s="1"/>
  <c r="M13" i="1"/>
  <c r="K13" i="1"/>
  <c r="L13" i="1" s="1"/>
  <c r="M12" i="1"/>
  <c r="K12" i="1"/>
  <c r="L12" i="1" s="1"/>
  <c r="M11" i="1"/>
  <c r="K11" i="1"/>
  <c r="L11" i="1" s="1"/>
  <c r="M10" i="1"/>
  <c r="K10" i="1"/>
  <c r="L10" i="1" s="1"/>
  <c r="G10" i="1"/>
  <c r="M9" i="1"/>
  <c r="K9" i="1"/>
  <c r="L9" i="1" s="1"/>
  <c r="G9" i="1"/>
  <c r="M8" i="1"/>
  <c r="K8" i="1"/>
  <c r="L8" i="1" s="1"/>
  <c r="C8" i="1"/>
  <c r="M7" i="1"/>
  <c r="K7" i="1"/>
  <c r="C7" i="1"/>
  <c r="H22" i="1" s="1"/>
  <c r="M6" i="1"/>
  <c r="K6" i="1"/>
  <c r="L6" i="1" s="1"/>
  <c r="C6" i="1"/>
  <c r="M5" i="1"/>
  <c r="K5" i="1"/>
  <c r="N5" i="1" s="1"/>
  <c r="C5" i="1"/>
  <c r="M4" i="1"/>
  <c r="K4" i="1"/>
  <c r="L4" i="1" s="1"/>
  <c r="M3" i="1"/>
  <c r="I20" i="1" s="1"/>
  <c r="K3" i="1"/>
  <c r="G3" i="1"/>
  <c r="C3" i="1"/>
  <c r="L3" i="1" l="1"/>
  <c r="N3" i="1"/>
  <c r="C33" i="1" s="1"/>
  <c r="N13" i="1"/>
  <c r="N9" i="1"/>
  <c r="N6" i="1"/>
  <c r="N15" i="1"/>
  <c r="N4" i="1"/>
  <c r="C34" i="1" s="1"/>
  <c r="N16" i="1"/>
  <c r="N8" i="1"/>
  <c r="N7" i="1"/>
  <c r="N10" i="1"/>
  <c r="G5" i="1"/>
  <c r="G7" i="1"/>
  <c r="G14" i="1"/>
  <c r="G5" i="2"/>
  <c r="J5" i="2" s="1"/>
  <c r="L5" i="2" s="1"/>
  <c r="M5" i="2" s="1"/>
  <c r="N11" i="1"/>
  <c r="C29" i="1"/>
  <c r="L5" i="1"/>
  <c r="L7" i="1"/>
  <c r="G12" i="1"/>
  <c r="C30" i="1"/>
  <c r="C31" i="1"/>
  <c r="N14" i="1"/>
  <c r="C32" i="1"/>
  <c r="G15" i="1"/>
  <c r="G4" i="1"/>
  <c r="G6" i="1"/>
  <c r="G8" i="1"/>
  <c r="N12" i="1"/>
  <c r="Q11" i="2"/>
  <c r="R4" i="2" s="1"/>
  <c r="Q14" i="2"/>
  <c r="G13" i="1"/>
  <c r="H20" i="1"/>
  <c r="G11" i="1"/>
  <c r="C27" i="1" l="1"/>
  <c r="S4" i="2"/>
  <c r="G21" i="1" l="1"/>
  <c r="G20" i="1"/>
  <c r="G22" i="1"/>
  <c r="G23" i="1"/>
</calcChain>
</file>

<file path=xl/sharedStrings.xml><?xml version="1.0" encoding="utf-8"?>
<sst xmlns="http://schemas.openxmlformats.org/spreadsheetml/2006/main" count="61" uniqueCount="60">
  <si>
    <t>Standart data</t>
  </si>
  <si>
    <t>Rm, Ohm</t>
  </si>
  <si>
    <t>T, del</t>
  </si>
  <si>
    <t>T, ms</t>
  </si>
  <si>
    <t>2Ui, del</t>
  </si>
  <si>
    <t>2Ui+n, del</t>
  </si>
  <si>
    <t>n</t>
  </si>
  <si>
    <t>lambda</t>
  </si>
  <si>
    <t>Q</t>
  </si>
  <si>
    <t>R, Ohm</t>
  </si>
  <si>
    <t>L, mH</t>
  </si>
  <si>
    <t>1 big -&gt; T(us), s</t>
  </si>
  <si>
    <t>big -&gt; small</t>
  </si>
  <si>
    <t>C1, F</t>
  </si>
  <si>
    <t>C2, F</t>
  </si>
  <si>
    <t>C3, F</t>
  </si>
  <si>
    <t>C4, F</t>
  </si>
  <si>
    <t>All data in small del</t>
  </si>
  <si>
    <t>from Lambda : Rm</t>
  </si>
  <si>
    <t>R0, Om</t>
  </si>
  <si>
    <t>C</t>
  </si>
  <si>
    <t>Texp, del</t>
  </si>
  <si>
    <t>Texp, ms</t>
  </si>
  <si>
    <t>Tth, ms</t>
  </si>
  <si>
    <t>бT, %</t>
  </si>
  <si>
    <t>Thompson, ms</t>
  </si>
  <si>
    <t>omega0, hz</t>
  </si>
  <si>
    <t>betta</t>
  </si>
  <si>
    <t>C1</t>
  </si>
  <si>
    <t>C2</t>
  </si>
  <si>
    <t>C3</t>
  </si>
  <si>
    <t>C4</t>
  </si>
  <si>
    <t>Calculations</t>
  </si>
  <si>
    <t>Lavg, mH</t>
  </si>
  <si>
    <t>Rcr, Ohm graph</t>
  </si>
  <si>
    <t>Rcr, Ohm</t>
  </si>
  <si>
    <t>T ms, R = R0 + Rm(0 Om)</t>
  </si>
  <si>
    <t>T ms, R = R0 + Rm(200 Om)</t>
  </si>
  <si>
    <t>T ms, R = R0 + Rm(400 Om)</t>
  </si>
  <si>
    <t>Q, R = R0 + Rm(0 Om)</t>
  </si>
  <si>
    <t>Q, R = R0 + Rm(10 Om)</t>
  </si>
  <si>
    <t>Ы</t>
  </si>
  <si>
    <t>C1, mF</t>
  </si>
  <si>
    <t>C2, mF</t>
  </si>
  <si>
    <t>C3, mF</t>
  </si>
  <si>
    <t>C4, mF</t>
  </si>
  <si>
    <t>Среднее отклонение</t>
  </si>
  <si>
    <t>Средняя разность</t>
  </si>
  <si>
    <t>СКО</t>
  </si>
  <si>
    <t>DELTA L</t>
  </si>
  <si>
    <t>&lt;L&gt;</t>
  </si>
  <si>
    <t>Стьюдент</t>
  </si>
  <si>
    <t>Lavg</t>
  </si>
  <si>
    <t>L</t>
  </si>
  <si>
    <t>|L - Lavg|</t>
  </si>
  <si>
    <t>(L-Lavg)^2</t>
  </si>
  <si>
    <t>L - Lavg</t>
  </si>
  <si>
    <t>rn</t>
  </si>
  <si>
    <t>sn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</si>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</sst>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5">
    <font>
      <sz val="10"/>
      <color rgb="FF000000"/>
      <name val="Arial"/>
    </font>
    <font>
      <sz val="9"/>
      <color theme="1"/>
      <name val="Comfortaa"/>
    </font>
    <font>
      <sz val="10"/>
      <name val="Arial"/>
    </font>
    <font>
      <sz val="10"/>
      <color theme="1"/>
      <name val="Comfortaa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0" xfId="0" applyNumberFormat="1" applyFont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0" fillId="0" borderId="7" xfId="0" applyBorder="1"/>
    <xf numFmtId="2" fontId="1" fillId="6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</cellXfs>
  <cellStyles count="1">
    <cellStyle name="Обычный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olution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Линейная аппроксимация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solution!$E$3:$E$16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solution!$K$3:$K$16</c:f>
              <c:numCache>
                <c:formatCode>0.000</c:formatCode>
                <c:ptCount val="14"/>
                <c:pt idx="0">
                  <c:v>0.34150143883812922</c:v>
                </c:pt>
                <c:pt idx="1">
                  <c:v>0.32670342595521562</c:v>
                </c:pt>
                <c:pt idx="2">
                  <c:v>0.41925843024050014</c:v>
                </c:pt>
                <c:pt idx="3">
                  <c:v>0.50147976134775307</c:v>
                </c:pt>
                <c:pt idx="4">
                  <c:v>0.53062825106217038</c:v>
                </c:pt>
                <c:pt idx="5">
                  <c:v>0.56346935725141267</c:v>
                </c:pt>
                <c:pt idx="6">
                  <c:v>0.63252255874351049</c:v>
                </c:pt>
                <c:pt idx="7">
                  <c:v>0.69314718055994529</c:v>
                </c:pt>
                <c:pt idx="8">
                  <c:v>0.71024161391924534</c:v>
                </c:pt>
                <c:pt idx="9">
                  <c:v>0.76460614454209019</c:v>
                </c:pt>
                <c:pt idx="10">
                  <c:v>0.78845736036427028</c:v>
                </c:pt>
                <c:pt idx="11">
                  <c:v>1.1786549963416462</c:v>
                </c:pt>
                <c:pt idx="12">
                  <c:v>1.7227665977411037</c:v>
                </c:pt>
                <c:pt idx="13">
                  <c:v>2.9957322735539909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2-4E5E-A112-B3BE60B4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0245"/>
        <c:axId val="1043104033"/>
      </c:scatterChart>
      <c:valAx>
        <c:axId val="42976024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Rm, 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04033"/>
        <c:crosses val="autoZero"/>
        <c:crossBetween val="midCat"/>
        <c:majorUnit val="10"/>
      </c:valAx>
      <c:valAx>
        <c:axId val="1043104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602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Степенная аппроксимация: 57,1x^-0,375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solution!$M$3:$M$18</c:f>
              <c:numCache>
                <c:formatCode>0.00</c:formatCode>
                <c:ptCount val="16"/>
                <c:pt idx="0">
                  <c:v>42.99</c:v>
                </c:pt>
                <c:pt idx="1">
                  <c:v>52.99</c:v>
                </c:pt>
                <c:pt idx="2">
                  <c:v>62.99</c:v>
                </c:pt>
                <c:pt idx="3">
                  <c:v>72.990000000000009</c:v>
                </c:pt>
                <c:pt idx="4">
                  <c:v>82.990000000000009</c:v>
                </c:pt>
                <c:pt idx="5">
                  <c:v>92.990000000000009</c:v>
                </c:pt>
                <c:pt idx="6">
                  <c:v>102.99000000000001</c:v>
                </c:pt>
                <c:pt idx="7">
                  <c:v>112.99000000000001</c:v>
                </c:pt>
                <c:pt idx="8">
                  <c:v>122.99000000000001</c:v>
                </c:pt>
                <c:pt idx="9">
                  <c:v>132.99</c:v>
                </c:pt>
                <c:pt idx="10">
                  <c:v>142.99</c:v>
                </c:pt>
                <c:pt idx="11">
                  <c:v>242.99</c:v>
                </c:pt>
                <c:pt idx="12">
                  <c:v>342.99</c:v>
                </c:pt>
                <c:pt idx="13">
                  <c:v>442.99</c:v>
                </c:pt>
              </c:numCache>
            </c:numRef>
          </c:xVal>
          <c:yVal>
            <c:numRef>
              <c:f>solution!$L$3:$L$18</c:f>
              <c:numCache>
                <c:formatCode>0.000</c:formatCode>
                <c:ptCount val="16"/>
                <c:pt idx="0">
                  <c:v>12.695816277979116</c:v>
                </c:pt>
                <c:pt idx="1">
                  <c:v>13.097344020599701</c:v>
                </c:pt>
                <c:pt idx="2">
                  <c:v>11.068791570895876</c:v>
                </c:pt>
                <c:pt idx="3">
                  <c:v>9.9227873225226464</c:v>
                </c:pt>
                <c:pt idx="4">
                  <c:v>9.6076219776449747</c:v>
                </c:pt>
                <c:pt idx="5">
                  <c:v>9.2949782642975318</c:v>
                </c:pt>
                <c:pt idx="6">
                  <c:v>8.7537166728597224</c:v>
                </c:pt>
                <c:pt idx="7">
                  <c:v>8.3775804095727811</c:v>
                </c:pt>
                <c:pt idx="8">
                  <c:v>8.2847606266258111</c:v>
                </c:pt>
                <c:pt idx="9">
                  <c:v>8.0214935003233876</c:v>
                </c:pt>
                <c:pt idx="10">
                  <c:v>7.9194314809242696</c:v>
                </c:pt>
                <c:pt idx="11">
                  <c:v>6.9402504373421579</c:v>
                </c:pt>
                <c:pt idx="12">
                  <c:v>6.4901413449654752</c:v>
                </c:pt>
                <c:pt idx="13">
                  <c:v>6.2989326387765274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4-4EE3-8FE0-C5E9BF99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0194"/>
        <c:axId val="441188959"/>
      </c:scatterChart>
      <c:valAx>
        <c:axId val="156130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Ом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41188959"/>
        <c:crosses val="autoZero"/>
        <c:crossBetween val="midCat"/>
      </c:valAx>
      <c:valAx>
        <c:axId val="44118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130194"/>
        <c:crosses val="autoZero"/>
        <c:crossBetween val="midCat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 : Texp</c:v>
          </c:tx>
          <c:spPr>
            <a:ln cmpd="sng">
              <a:solidFill>
                <a:srgbClr val="5891AD"/>
              </a:solidFill>
            </a:ln>
          </c:spPr>
          <c:marker>
            <c:symbol val="circle"/>
            <c:size val="5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numRef>
              <c:f>solution!$J$49:$J$52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47</c:v>
                </c:pt>
                <c:pt idx="3">
                  <c:v>470</c:v>
                </c:pt>
              </c:numCache>
            </c:numRef>
          </c:cat>
          <c:val>
            <c:numRef>
              <c:f>solution!$D$20:$D$23</c:f>
              <c:numCache>
                <c:formatCode>General</c:formatCode>
                <c:ptCount val="4"/>
                <c:pt idx="0">
                  <c:v>9.4E-2</c:v>
                </c:pt>
                <c:pt idx="1">
                  <c:v>0.11699999999999999</c:v>
                </c:pt>
                <c:pt idx="2">
                  <c:v>0.13500000000000001</c:v>
                </c:pt>
                <c:pt idx="3">
                  <c:v>0.44000000000000006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8-481F-962E-2783DAEB3008}"/>
            </c:ext>
          </c:extLst>
        </c:ser>
        <c:ser>
          <c:idx val="1"/>
          <c:order val="1"/>
          <c:tx>
            <c:v>C : Tth</c:v>
          </c:tx>
          <c:spPr>
            <a:ln cmpd="sng">
              <a:solidFill>
                <a:srgbClr val="004561"/>
              </a:solidFill>
            </a:ln>
          </c:spPr>
          <c:marker>
            <c:symbol val="circle"/>
            <c:size val="5"/>
            <c:spPr>
              <a:solidFill>
                <a:srgbClr val="004561"/>
              </a:solidFill>
              <a:ln cmpd="sng">
                <a:solidFill>
                  <a:srgbClr val="004561"/>
                </a:solidFill>
              </a:ln>
            </c:spPr>
          </c:marker>
          <c:cat>
            <c:numRef>
              <c:f>solution!$J$49:$J$52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47</c:v>
                </c:pt>
                <c:pt idx="3">
                  <c:v>470</c:v>
                </c:pt>
              </c:numCache>
            </c:numRef>
          </c:cat>
          <c:val>
            <c:numRef>
              <c:f>solution!$E$20:$E$23</c:f>
              <c:numCache>
                <c:formatCode>General</c:formatCode>
                <c:ptCount val="4"/>
                <c:pt idx="0">
                  <c:v>6.9755403365186708E-2</c:v>
                </c:pt>
                <c:pt idx="1">
                  <c:v>8.543257256211545E-2</c:v>
                </c:pt>
                <c:pt idx="2">
                  <c:v>0.10195662324279024</c:v>
                </c:pt>
                <c:pt idx="3">
                  <c:v>0.32241515761064821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8-481F-962E-2783DAEB3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35905"/>
        <c:axId val="155064761"/>
      </c:lineChart>
      <c:catAx>
        <c:axId val="19142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мФ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064761"/>
        <c:crosses val="autoZero"/>
        <c:auto val="1"/>
        <c:lblAlgn val="ctr"/>
        <c:lblOffset val="100"/>
        <c:noMultiLvlLbl val="1"/>
      </c:catAx>
      <c:valAx>
        <c:axId val="15506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мС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4235905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930761</xdr:colOff>
      <xdr:row>23</xdr:row>
      <xdr:rowOff>165490</xdr:rowOff>
    </xdr:from>
    <xdr:ext cx="9296401" cy="38957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247650</xdr:colOff>
      <xdr:row>16</xdr:row>
      <xdr:rowOff>66675</xdr:rowOff>
    </xdr:from>
    <xdr:ext cx="6305550" cy="38957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914400</xdr:colOff>
      <xdr:row>43</xdr:row>
      <xdr:rowOff>180975</xdr:rowOff>
    </xdr:from>
    <xdr:ext cx="6305550" cy="38957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2:N16">
  <tableColumns count="10">
    <tableColumn id="1" xr3:uid="{00000000-0010-0000-0000-000001000000}" name="Rm, Ohm" dataDxfId="4"/>
    <tableColumn id="2" xr3:uid="{00000000-0010-0000-0000-000002000000}" name="T, del" dataDxfId="3"/>
    <tableColumn id="3" xr3:uid="{00000000-0010-0000-0000-000003000000}" name="T, ms"/>
    <tableColumn id="4" xr3:uid="{00000000-0010-0000-0000-000004000000}" name="2Ui, del" dataDxfId="2"/>
    <tableColumn id="5" xr3:uid="{00000000-0010-0000-0000-000005000000}" name="2Ui+n, del" dataDxfId="1"/>
    <tableColumn id="6" xr3:uid="{00000000-0010-0000-0000-000006000000}" name="n" dataDxfId="0"/>
    <tableColumn id="7" xr3:uid="{00000000-0010-0000-0000-000007000000}" name="lambda"/>
    <tableColumn id="8" xr3:uid="{00000000-0010-0000-0000-000008000000}" name="Q"/>
    <tableColumn id="9" xr3:uid="{00000000-0010-0000-0000-000009000000}" name="R, Ohm"/>
    <tableColumn id="10" xr3:uid="{00000000-0010-0000-0000-00000A000000}" name="L, mH"/>
  </tableColumns>
  <tableStyleInfo name="solu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topLeftCell="B20" zoomScale="109" zoomScaleNormal="109" workbookViewId="0">
      <selection activeCell="G20" sqref="G20"/>
    </sheetView>
  </sheetViews>
  <sheetFormatPr defaultColWidth="14.42578125" defaultRowHeight="15.75" customHeight="1"/>
  <cols>
    <col min="2" max="2" width="25.5703125" customWidth="1"/>
    <col min="3" max="3" width="14.42578125" customWidth="1"/>
    <col min="5" max="5" width="12.85546875" customWidth="1"/>
    <col min="13" max="13" width="9.85546875" customWidth="1"/>
    <col min="16" max="16" width="25.57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4" t="s">
        <v>0</v>
      </c>
      <c r="C2" s="25"/>
      <c r="D2" s="1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/>
      <c r="B3" s="2" t="s">
        <v>11</v>
      </c>
      <c r="C3" s="4">
        <f>100 * 10^-6</f>
        <v>9.9999999999999991E-5</v>
      </c>
      <c r="D3" s="1"/>
      <c r="E3" s="22">
        <v>0</v>
      </c>
      <c r="F3" s="22">
        <v>93</v>
      </c>
      <c r="G3" s="6">
        <f t="shared" ref="G3:G16" si="0">F3 / $C$4 / J3 * $C$3 * 10^3</f>
        <v>0.62</v>
      </c>
      <c r="H3" s="22">
        <v>6.24</v>
      </c>
      <c r="I3" s="22">
        <v>2.2400000000000002</v>
      </c>
      <c r="J3" s="22">
        <v>3</v>
      </c>
      <c r="K3" s="7">
        <f t="shared" ref="K3:K16" si="1">1/J3 * LN(H3/I3)</f>
        <v>0.34150143883812922</v>
      </c>
      <c r="L3" s="7">
        <f t="shared" ref="L3:L16" si="2">2*PI()/(1 - EXP(-2 * K3))</f>
        <v>12.695816277979116</v>
      </c>
      <c r="M3" s="23">
        <f t="shared" ref="M3:M16" si="3">E3 + $C$15</f>
        <v>42.99</v>
      </c>
      <c r="N3" s="7">
        <f t="shared" ref="N3:N16" si="4">(PI()^2 * M3^2 * $C$5) / K3^2 * 10^3</f>
        <v>3.4409015016719322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/>
      <c r="B4" s="2" t="s">
        <v>12</v>
      </c>
      <c r="C4" s="4">
        <v>5</v>
      </c>
      <c r="D4" s="1"/>
      <c r="E4" s="22">
        <v>10</v>
      </c>
      <c r="F4" s="22">
        <v>92</v>
      </c>
      <c r="G4" s="6">
        <f t="shared" si="0"/>
        <v>0.91999999999999982</v>
      </c>
      <c r="H4" s="22">
        <v>5.92</v>
      </c>
      <c r="I4" s="22">
        <v>3.08</v>
      </c>
      <c r="J4" s="22">
        <v>2</v>
      </c>
      <c r="K4" s="7">
        <f t="shared" si="1"/>
        <v>0.32670342595521562</v>
      </c>
      <c r="L4" s="7">
        <f t="shared" si="2"/>
        <v>13.097344020599701</v>
      </c>
      <c r="M4" s="23">
        <f t="shared" si="3"/>
        <v>52.99</v>
      </c>
      <c r="N4" s="7">
        <f t="shared" si="4"/>
        <v>5.7121931992675892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2" t="s">
        <v>13</v>
      </c>
      <c r="C5" s="5">
        <f>0.022 * 10^-6</f>
        <v>2.1999999999999998E-8</v>
      </c>
      <c r="D5" s="1"/>
      <c r="E5" s="22">
        <v>20</v>
      </c>
      <c r="F5" s="22">
        <v>94</v>
      </c>
      <c r="G5" s="6">
        <f t="shared" si="0"/>
        <v>1.88</v>
      </c>
      <c r="H5" s="22">
        <v>5.84</v>
      </c>
      <c r="I5" s="22">
        <v>3.84</v>
      </c>
      <c r="J5" s="22">
        <v>1</v>
      </c>
      <c r="K5" s="7">
        <f t="shared" si="1"/>
        <v>0.41925843024050014</v>
      </c>
      <c r="L5" s="7">
        <f t="shared" si="2"/>
        <v>11.068791570895876</v>
      </c>
      <c r="M5" s="23">
        <f t="shared" si="3"/>
        <v>62.99</v>
      </c>
      <c r="N5" s="7">
        <f t="shared" si="4"/>
        <v>4.9011956007484905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 t="s">
        <v>14</v>
      </c>
      <c r="C6" s="5">
        <f>0.033 * 10^-6</f>
        <v>3.2999999999999998E-8</v>
      </c>
      <c r="D6" s="1"/>
      <c r="E6" s="22">
        <v>30</v>
      </c>
      <c r="F6" s="22">
        <v>94</v>
      </c>
      <c r="G6" s="6">
        <f t="shared" si="0"/>
        <v>1.88</v>
      </c>
      <c r="H6" s="22">
        <v>5.68</v>
      </c>
      <c r="I6" s="22">
        <v>3.44</v>
      </c>
      <c r="J6" s="22">
        <v>1</v>
      </c>
      <c r="K6" s="7">
        <f t="shared" si="1"/>
        <v>0.50147976134775307</v>
      </c>
      <c r="L6" s="7">
        <f t="shared" si="2"/>
        <v>9.9227873225226464</v>
      </c>
      <c r="M6" s="23">
        <f t="shared" si="3"/>
        <v>72.990000000000009</v>
      </c>
      <c r="N6" s="7">
        <f t="shared" si="4"/>
        <v>4.5998358371422476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" t="s">
        <v>15</v>
      </c>
      <c r="C7" s="5">
        <f>0.047 * 10^-6</f>
        <v>4.6999999999999997E-8</v>
      </c>
      <c r="D7" s="1"/>
      <c r="E7" s="22">
        <v>40</v>
      </c>
      <c r="F7" s="22">
        <v>94</v>
      </c>
      <c r="G7" s="6">
        <f t="shared" si="0"/>
        <v>1.88</v>
      </c>
      <c r="H7" s="22">
        <v>5.44</v>
      </c>
      <c r="I7" s="22">
        <v>3.2</v>
      </c>
      <c r="J7" s="22">
        <v>1</v>
      </c>
      <c r="K7" s="7">
        <f t="shared" si="1"/>
        <v>0.53062825106217038</v>
      </c>
      <c r="L7" s="7">
        <f t="shared" si="2"/>
        <v>9.6076219776449747</v>
      </c>
      <c r="M7" s="23">
        <f t="shared" si="3"/>
        <v>82.990000000000009</v>
      </c>
      <c r="N7" s="7">
        <f t="shared" si="4"/>
        <v>5.3112068835975776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 t="s">
        <v>16</v>
      </c>
      <c r="C8" s="5">
        <f>0.47 * 10^-6</f>
        <v>4.6999999999999995E-7</v>
      </c>
      <c r="D8" s="1"/>
      <c r="E8" s="22">
        <v>50</v>
      </c>
      <c r="F8" s="22">
        <v>94</v>
      </c>
      <c r="G8" s="6">
        <f t="shared" si="0"/>
        <v>1.88</v>
      </c>
      <c r="H8" s="22">
        <v>5.2</v>
      </c>
      <c r="I8" s="22">
        <v>2.96</v>
      </c>
      <c r="J8" s="22">
        <v>1</v>
      </c>
      <c r="K8" s="7">
        <f t="shared" si="1"/>
        <v>0.56346935725141267</v>
      </c>
      <c r="L8" s="7">
        <f t="shared" si="2"/>
        <v>9.2949782642975318</v>
      </c>
      <c r="M8" s="23">
        <f t="shared" si="3"/>
        <v>92.990000000000009</v>
      </c>
      <c r="N8" s="7">
        <f t="shared" si="4"/>
        <v>5.9136322744824961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 t="s">
        <v>10</v>
      </c>
      <c r="C9" s="5">
        <v>10</v>
      </c>
      <c r="D9" s="1"/>
      <c r="E9" s="22">
        <v>60</v>
      </c>
      <c r="F9" s="22">
        <v>93</v>
      </c>
      <c r="G9" s="6">
        <f t="shared" si="0"/>
        <v>1.8599999999999999</v>
      </c>
      <c r="H9" s="22">
        <v>5.12</v>
      </c>
      <c r="I9" s="22">
        <v>2.72</v>
      </c>
      <c r="J9" s="22">
        <v>1</v>
      </c>
      <c r="K9" s="7">
        <f t="shared" si="1"/>
        <v>0.63252255874351049</v>
      </c>
      <c r="L9" s="7">
        <f t="shared" si="2"/>
        <v>8.7537166728597224</v>
      </c>
      <c r="M9" s="23">
        <f t="shared" si="3"/>
        <v>102.99000000000001</v>
      </c>
      <c r="N9" s="7">
        <f t="shared" si="4"/>
        <v>5.7565264470010318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22">
        <v>70</v>
      </c>
      <c r="F10" s="22">
        <v>93</v>
      </c>
      <c r="G10" s="6">
        <f t="shared" si="0"/>
        <v>1.8599999999999999</v>
      </c>
      <c r="H10" s="22">
        <v>4.96</v>
      </c>
      <c r="I10" s="22">
        <v>2.48</v>
      </c>
      <c r="J10" s="22">
        <v>1</v>
      </c>
      <c r="K10" s="7">
        <f t="shared" si="1"/>
        <v>0.69314718055994529</v>
      </c>
      <c r="L10" s="7">
        <f t="shared" si="2"/>
        <v>8.3775804095727811</v>
      </c>
      <c r="M10" s="23">
        <f t="shared" si="3"/>
        <v>112.99000000000001</v>
      </c>
      <c r="N10" s="7">
        <f t="shared" si="4"/>
        <v>5.7696772708756079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6" t="s">
        <v>17</v>
      </c>
      <c r="C11" s="25"/>
      <c r="D11" s="1"/>
      <c r="E11" s="22">
        <v>80</v>
      </c>
      <c r="F11" s="22">
        <v>91</v>
      </c>
      <c r="G11" s="6">
        <f t="shared" si="0"/>
        <v>1.8199999999999998</v>
      </c>
      <c r="H11" s="22">
        <v>4.72</v>
      </c>
      <c r="I11" s="22">
        <v>2.3199999999999998</v>
      </c>
      <c r="J11" s="22">
        <v>1</v>
      </c>
      <c r="K11" s="7">
        <f t="shared" si="1"/>
        <v>0.71024161391924534</v>
      </c>
      <c r="L11" s="7">
        <f t="shared" si="2"/>
        <v>8.2847606266258111</v>
      </c>
      <c r="M11" s="23">
        <f t="shared" si="3"/>
        <v>122.99000000000001</v>
      </c>
      <c r="N11" s="7">
        <f t="shared" si="4"/>
        <v>6.511031555179521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22">
        <v>90</v>
      </c>
      <c r="F12" s="22">
        <v>94</v>
      </c>
      <c r="G12" s="6">
        <f t="shared" si="0"/>
        <v>1.88</v>
      </c>
      <c r="H12" s="22">
        <v>4.6399999999999997</v>
      </c>
      <c r="I12" s="22">
        <v>2.16</v>
      </c>
      <c r="J12" s="22">
        <v>1</v>
      </c>
      <c r="K12" s="7">
        <f t="shared" si="1"/>
        <v>0.76460614454209019</v>
      </c>
      <c r="L12" s="7">
        <f t="shared" si="2"/>
        <v>8.0214935003233876</v>
      </c>
      <c r="M12" s="23">
        <f t="shared" si="3"/>
        <v>132.99</v>
      </c>
      <c r="N12" s="7">
        <f t="shared" si="4"/>
        <v>6.5687817221324529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22">
        <v>100</v>
      </c>
      <c r="F13" s="22">
        <v>93</v>
      </c>
      <c r="G13" s="6">
        <f t="shared" si="0"/>
        <v>1.8599999999999999</v>
      </c>
      <c r="H13" s="22">
        <v>4.4000000000000004</v>
      </c>
      <c r="I13" s="22">
        <v>2</v>
      </c>
      <c r="J13" s="22">
        <v>1</v>
      </c>
      <c r="K13" s="7">
        <f t="shared" si="1"/>
        <v>0.78845736036427028</v>
      </c>
      <c r="L13" s="7">
        <f t="shared" si="2"/>
        <v>7.9194314809242696</v>
      </c>
      <c r="M13" s="23">
        <f t="shared" si="3"/>
        <v>142.99</v>
      </c>
      <c r="N13" s="7">
        <f t="shared" si="4"/>
        <v>7.1413009416353246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4" t="s">
        <v>18</v>
      </c>
      <c r="C14" s="25"/>
      <c r="D14" s="1"/>
      <c r="E14" s="22">
        <v>200</v>
      </c>
      <c r="F14" s="22">
        <v>93</v>
      </c>
      <c r="G14" s="6">
        <f t="shared" si="0"/>
        <v>1.8599999999999999</v>
      </c>
      <c r="H14" s="22">
        <v>3.12</v>
      </c>
      <c r="I14" s="22">
        <v>0.96</v>
      </c>
      <c r="J14" s="22">
        <v>1</v>
      </c>
      <c r="K14" s="7">
        <f t="shared" si="1"/>
        <v>1.1786549963416462</v>
      </c>
      <c r="L14" s="7">
        <f t="shared" si="2"/>
        <v>6.9402504373421579</v>
      </c>
      <c r="M14" s="23">
        <f t="shared" si="3"/>
        <v>242.99</v>
      </c>
      <c r="N14" s="7">
        <f t="shared" si="4"/>
        <v>9.2283875630365984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 t="s">
        <v>19</v>
      </c>
      <c r="C15" s="6">
        <v>42.99</v>
      </c>
      <c r="D15" s="1"/>
      <c r="E15" s="22">
        <v>300</v>
      </c>
      <c r="F15" s="22">
        <v>94</v>
      </c>
      <c r="G15" s="6">
        <f t="shared" si="0"/>
        <v>1.88</v>
      </c>
      <c r="H15" s="22">
        <v>2.2400000000000002</v>
      </c>
      <c r="I15" s="22">
        <v>0.4</v>
      </c>
      <c r="J15" s="22">
        <v>1</v>
      </c>
      <c r="K15" s="7">
        <f t="shared" si="1"/>
        <v>1.7227665977411037</v>
      </c>
      <c r="L15" s="7">
        <f t="shared" si="2"/>
        <v>6.4901413449654752</v>
      </c>
      <c r="M15" s="23">
        <f t="shared" si="3"/>
        <v>342.99</v>
      </c>
      <c r="N15" s="7">
        <f t="shared" si="4"/>
        <v>8.6066166059441382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22">
        <v>400</v>
      </c>
      <c r="F16" s="22">
        <v>93</v>
      </c>
      <c r="G16" s="6">
        <f t="shared" si="0"/>
        <v>1.8599999999999999</v>
      </c>
      <c r="H16" s="22">
        <v>1.6</v>
      </c>
      <c r="I16" s="22">
        <v>0.08</v>
      </c>
      <c r="J16" s="22">
        <v>1</v>
      </c>
      <c r="K16" s="7">
        <f t="shared" si="1"/>
        <v>2.9957322735539909</v>
      </c>
      <c r="L16" s="7">
        <f t="shared" si="2"/>
        <v>6.2989326387765274</v>
      </c>
      <c r="M16" s="23">
        <f t="shared" si="3"/>
        <v>442.99</v>
      </c>
      <c r="N16" s="7">
        <f t="shared" si="4"/>
        <v>4.7479296468857886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2" t="s">
        <v>25</v>
      </c>
      <c r="H19" s="2" t="s">
        <v>26</v>
      </c>
      <c r="I19" s="2" t="s">
        <v>27</v>
      </c>
      <c r="J19" s="1"/>
      <c r="K19" s="1"/>
      <c r="L19" s="1"/>
      <c r="M19" s="1"/>
      <c r="N19" s="1"/>
      <c r="O19" s="1"/>
      <c r="P19" s="1"/>
      <c r="Q19" s="3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6" t="s">
        <v>28</v>
      </c>
      <c r="C20" s="22">
        <v>94</v>
      </c>
      <c r="D20" s="22">
        <f>9.4*10^-2</f>
        <v>9.4E-2</v>
      </c>
      <c r="E20" s="22">
        <f>2 * PI() / (SQRT(1 / ($C$27 * 10^3 * $C5) - $M$3^2 / (4 * ($C$27 * 10^3)^2)))</f>
        <v>6.9755403365186708E-2</v>
      </c>
      <c r="F20" s="8">
        <f>ABS(D20-E20)/E20*100</f>
        <v>34.756585820150541</v>
      </c>
      <c r="G20" s="9">
        <f>2 * PI() * SQRT(C5 * $C$27 * 10^(-3)) * 10^5</f>
        <v>6.9755403301905883</v>
      </c>
      <c r="H20" s="8">
        <f t="shared" ref="H20:H23" si="5">1/SQRT($C$9 * 10^(-3) * $C5)</f>
        <v>67419.986246324217</v>
      </c>
      <c r="I20" s="27">
        <f>M3/(2*C9*10^-3)</f>
        <v>2149.5</v>
      </c>
      <c r="J20" s="1"/>
      <c r="K20" s="1"/>
      <c r="L20" s="1"/>
      <c r="M20" s="1"/>
      <c r="N20" s="1"/>
      <c r="O20" s="10"/>
      <c r="P20" s="1"/>
      <c r="Q20" s="3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6" t="s">
        <v>29</v>
      </c>
      <c r="C21" s="22">
        <v>117</v>
      </c>
      <c r="D21" s="22">
        <f>1.17*10^-1</f>
        <v>0.11699999999999999</v>
      </c>
      <c r="E21" s="22">
        <f t="shared" ref="E21:E23" si="6">2 * PI() / (SQRT(1 / ($C$27 * 10^3 * $C6) - $M$3^2 / (4 * ($C$27 * 10^3)^2)))</f>
        <v>8.543257256211545E-2</v>
      </c>
      <c r="F21" s="8">
        <f t="shared" ref="F21:F23" si="7">ABS(D21-E21)/E21*10</f>
        <v>3.6950107542334414</v>
      </c>
      <c r="G21" s="9">
        <f>2 * PI() * SQRT(C6 * $C$27 * 10^(-3)) * 10^4</f>
        <v>0.85432572445861155</v>
      </c>
      <c r="H21" s="8">
        <f t="shared" si="5"/>
        <v>55048.188256318026</v>
      </c>
      <c r="I21" s="2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6" t="s">
        <v>30</v>
      </c>
      <c r="C22" s="22">
        <v>135</v>
      </c>
      <c r="D22" s="22">
        <f>1.35*10^-1</f>
        <v>0.13500000000000001</v>
      </c>
      <c r="E22" s="22">
        <f t="shared" si="6"/>
        <v>0.10195662324279024</v>
      </c>
      <c r="F22" s="8">
        <f t="shared" si="7"/>
        <v>3.240924984198748</v>
      </c>
      <c r="G22" s="9">
        <f>2 * PI() * SQRT(C7 * $C$27 * 10^(-3)) * 10^4</f>
        <v>1.0195662304519115</v>
      </c>
      <c r="H22" s="8">
        <f t="shared" si="5"/>
        <v>46126.560401444251</v>
      </c>
      <c r="I22" s="2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6" t="s">
        <v>31</v>
      </c>
      <c r="C23" s="22">
        <v>440</v>
      </c>
      <c r="D23" s="22">
        <f>4.4*10^-1</f>
        <v>0.44000000000000006</v>
      </c>
      <c r="E23" s="22">
        <f t="shared" si="6"/>
        <v>0.32241515761064821</v>
      </c>
      <c r="F23" s="8">
        <f t="shared" si="7"/>
        <v>3.6470010672186977</v>
      </c>
      <c r="G23" s="9">
        <f t="shared" ref="G23" si="8">2 * PI() * SQRT(C8 * $C$27 * 10^(-3)) * 10^3</f>
        <v>0.32241515136201654</v>
      </c>
      <c r="H23" s="8">
        <f t="shared" si="5"/>
        <v>14586.499149789457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4" t="s">
        <v>32</v>
      </c>
      <c r="C26" s="25"/>
      <c r="D26" s="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33</v>
      </c>
      <c r="C27" s="8">
        <f>AVERAGE(N3:N13)</f>
        <v>5.6023893848849324</v>
      </c>
      <c r="D27" s="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 t="s">
        <v>34</v>
      </c>
      <c r="C28" s="5">
        <v>1267</v>
      </c>
      <c r="D28" s="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 t="s">
        <v>35</v>
      </c>
      <c r="C29" s="7">
        <f>2*SQRT(C9/1000/C5)</f>
        <v>1348.3997249264842</v>
      </c>
      <c r="D29" s="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 t="s">
        <v>36</v>
      </c>
      <c r="C30" s="7">
        <f>2 * PI() / (SQRT(1 / ($C$9 * 10^3 * $C$5) - $M$3^2 / (4 * ($C$9 * 10^3)^2)))</f>
        <v>9.3194698785859023E-2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 t="s">
        <v>37</v>
      </c>
      <c r="C31" s="7">
        <f>2 * PI() / (SQRT(1 / ($C$9 * 10^3 * $C$5) - $M$14^2 / (4 * ($C$9 * 10^3)^2)))</f>
        <v>9.3194700251709159E-2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 t="s">
        <v>38</v>
      </c>
      <c r="C32" s="7">
        <f>2 * PI() / (SQRT(1 / ($C$9 * 10^3 * $C$5) - $M$16^2 / (4 * ($C$9 * 10^3)^2)))</f>
        <v>9.3194703767842987E-2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 t="s">
        <v>39</v>
      </c>
      <c r="C33" s="7">
        <f t="shared" ref="C33:C34" si="9">1 / M3  * SQRT(((N3 * 10^(-3))/ $C$5))</f>
        <v>9.1993540767448998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 t="s">
        <v>40</v>
      </c>
      <c r="C34" s="7">
        <f t="shared" si="9"/>
        <v>9.6160382903987109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2" t="s">
        <v>42</v>
      </c>
      <c r="J49" s="5">
        <v>22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2" t="s">
        <v>43</v>
      </c>
      <c r="J50" s="5">
        <v>33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2" t="s">
        <v>44</v>
      </c>
      <c r="J51" s="5">
        <v>47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2" t="s">
        <v>45</v>
      </c>
      <c r="J52" s="5">
        <v>470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B2:C2"/>
    <mergeCell ref="B11:C11"/>
    <mergeCell ref="B14:C14"/>
    <mergeCell ref="I20:I23"/>
    <mergeCell ref="B26:C2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I17" sqref="I17"/>
    </sheetView>
  </sheetViews>
  <sheetFormatPr defaultColWidth="14.42578125" defaultRowHeight="15.75" customHeight="1"/>
  <cols>
    <col min="9" max="9" width="17.28515625" customWidth="1"/>
  </cols>
  <sheetData>
    <row r="1" spans="1: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 t="s">
        <v>46</v>
      </c>
      <c r="S2" s="12"/>
      <c r="T2" s="12"/>
      <c r="U2" s="12"/>
      <c r="V2" s="12"/>
      <c r="W2" s="12"/>
      <c r="X2" s="12"/>
      <c r="Y2" s="12"/>
    </row>
    <row r="3" spans="1:25">
      <c r="A3" s="12"/>
      <c r="B3" s="12"/>
      <c r="C3" s="12"/>
      <c r="D3" s="12"/>
      <c r="E3" s="12"/>
      <c r="F3" s="12"/>
      <c r="G3" s="12"/>
      <c r="H3" s="12"/>
      <c r="I3" s="12" t="s">
        <v>47</v>
      </c>
      <c r="J3" s="12" t="s">
        <v>48</v>
      </c>
      <c r="K3" s="12"/>
      <c r="L3" s="12"/>
      <c r="M3" s="12"/>
      <c r="N3" s="12"/>
      <c r="O3" s="12"/>
      <c r="P3" s="12" t="s">
        <v>49</v>
      </c>
      <c r="Q3" s="12"/>
      <c r="R3" s="12" t="s">
        <v>50</v>
      </c>
      <c r="S3" s="12" t="s">
        <v>51</v>
      </c>
      <c r="T3" s="12"/>
      <c r="U3" s="12"/>
      <c r="V3" s="12"/>
      <c r="W3" s="12"/>
      <c r="X3" s="12"/>
      <c r="Y3" s="12"/>
    </row>
    <row r="4" spans="1:25">
      <c r="A4" s="12"/>
      <c r="B4" s="12"/>
      <c r="C4" s="13" t="s">
        <v>52</v>
      </c>
      <c r="D4" s="12"/>
      <c r="E4" s="13" t="s">
        <v>53</v>
      </c>
      <c r="F4" s="13" t="s">
        <v>54</v>
      </c>
      <c r="G4" s="13" t="s">
        <v>55</v>
      </c>
      <c r="H4" s="14" t="s">
        <v>56</v>
      </c>
      <c r="I4" s="13" t="s">
        <v>57</v>
      </c>
      <c r="J4" s="13" t="s">
        <v>58</v>
      </c>
      <c r="K4" s="12"/>
      <c r="L4" s="12" t="s">
        <v>59</v>
      </c>
      <c r="M4" s="12"/>
      <c r="N4" s="12"/>
      <c r="O4" s="12">
        <v>9.4770000000000003</v>
      </c>
      <c r="P4" s="12">
        <f>AVERAGE(O4:O17)</f>
        <v>10.805285714285713</v>
      </c>
      <c r="Q4" s="12">
        <f t="shared" ref="Q4:Q17" si="0">ABS(O4 - $P$4)</f>
        <v>1.3282857142857125</v>
      </c>
      <c r="R4" s="12">
        <f>AVERAGE(Q4:Q17)</f>
        <v>1.646979591836734</v>
      </c>
      <c r="S4" s="12">
        <f>AVERAGE(Q4:Q17) / SQRT(13) / 0.2217</f>
        <v>2.0603967135110151</v>
      </c>
      <c r="T4" s="12"/>
      <c r="U4" s="12"/>
      <c r="V4" s="12"/>
      <c r="W4" s="12"/>
      <c r="X4" s="12"/>
      <c r="Y4" s="12"/>
    </row>
    <row r="5" spans="1:25">
      <c r="A5" s="12"/>
      <c r="B5" s="12"/>
      <c r="C5" s="15">
        <v>10.805285714285713</v>
      </c>
      <c r="D5" s="12"/>
      <c r="E5" s="16">
        <v>9.4770000000000003</v>
      </c>
      <c r="F5" s="16">
        <f t="shared" ref="F5:F18" si="1">ABS(E5-$C$5)</f>
        <v>1.3282857142857125</v>
      </c>
      <c r="G5" s="16">
        <f t="shared" ref="G5:G18" si="2">F5^2</f>
        <v>1.7643429387755054</v>
      </c>
      <c r="H5" s="17">
        <f t="shared" ref="H5:H18" si="3">E5 - $C$5</f>
        <v>-1.3282857142857125</v>
      </c>
      <c r="I5" s="15">
        <f>SUM(F5:F18)/ COUNT(E5:E18)</f>
        <v>1.646979591836734</v>
      </c>
      <c r="J5" s="15">
        <f>SQRT(SUM(G5:G18) / COUNT(G5:G18))</f>
        <v>2.4930687179965698</v>
      </c>
      <c r="K5" s="12"/>
      <c r="L5" s="12">
        <f>I5 / J5</f>
        <v>0.66062342363360405</v>
      </c>
      <c r="M5" s="12">
        <f>L5 * SQRT(COUNT($E$4:$E$18))</f>
        <v>2.4718265129145651</v>
      </c>
      <c r="N5" s="12"/>
      <c r="O5" s="12">
        <v>9.86</v>
      </c>
      <c r="Q5" s="12">
        <f t="shared" si="0"/>
        <v>0.9452857142857134</v>
      </c>
      <c r="R5" s="12"/>
      <c r="S5" s="12"/>
      <c r="T5" s="12"/>
      <c r="U5" s="12"/>
      <c r="V5" s="12"/>
      <c r="W5" s="12"/>
      <c r="X5" s="12"/>
      <c r="Y5" s="12"/>
    </row>
    <row r="6" spans="1:25">
      <c r="A6" s="12"/>
      <c r="B6" s="12"/>
      <c r="C6" s="12"/>
      <c r="D6" s="12"/>
      <c r="E6" s="16">
        <v>9.86</v>
      </c>
      <c r="F6" s="16">
        <f t="shared" si="1"/>
        <v>0.9452857142857134</v>
      </c>
      <c r="G6" s="16">
        <f t="shared" si="2"/>
        <v>0.89356508163265136</v>
      </c>
      <c r="H6" s="17">
        <f t="shared" si="3"/>
        <v>-0.9452857142857134</v>
      </c>
      <c r="I6" s="12"/>
      <c r="J6" s="12"/>
      <c r="K6" s="12"/>
      <c r="L6" s="12"/>
      <c r="M6" s="12"/>
      <c r="N6" s="12"/>
      <c r="O6" s="12">
        <v>10.231999999999999</v>
      </c>
      <c r="P6" s="12"/>
      <c r="Q6" s="12">
        <f t="shared" si="0"/>
        <v>0.57328571428571351</v>
      </c>
      <c r="R6" s="12"/>
      <c r="S6" s="12"/>
      <c r="T6" s="12"/>
      <c r="U6" s="12"/>
      <c r="V6" s="12"/>
      <c r="W6" s="12"/>
      <c r="X6" s="12"/>
      <c r="Y6" s="12"/>
    </row>
    <row r="7" spans="1:25">
      <c r="A7" s="12"/>
      <c r="B7" s="12"/>
      <c r="C7" s="12"/>
      <c r="D7" s="12"/>
      <c r="E7" s="16">
        <v>10.231999999999999</v>
      </c>
      <c r="F7" s="16">
        <f t="shared" si="1"/>
        <v>0.57328571428571351</v>
      </c>
      <c r="G7" s="16">
        <f t="shared" si="2"/>
        <v>0.32865651020408077</v>
      </c>
      <c r="H7" s="17">
        <f t="shared" si="3"/>
        <v>-0.57328571428571351</v>
      </c>
      <c r="I7" s="12"/>
      <c r="J7" s="12"/>
      <c r="K7" s="12"/>
      <c r="L7" s="12"/>
      <c r="M7" s="12"/>
      <c r="N7" s="12"/>
      <c r="O7" s="12">
        <v>9.2520000000000007</v>
      </c>
      <c r="P7" s="12"/>
      <c r="Q7" s="12">
        <f t="shared" si="0"/>
        <v>1.5532857142857122</v>
      </c>
      <c r="R7" s="12"/>
      <c r="S7" s="12"/>
      <c r="T7" s="12"/>
      <c r="U7" s="12"/>
      <c r="V7" s="12"/>
      <c r="W7" s="12"/>
      <c r="X7" s="12"/>
      <c r="Y7" s="12"/>
    </row>
    <row r="8" spans="1:25">
      <c r="A8" s="12"/>
      <c r="B8" s="12"/>
      <c r="C8" s="12"/>
      <c r="D8" s="12"/>
      <c r="E8" s="16">
        <v>9.2520000000000007</v>
      </c>
      <c r="F8" s="16">
        <f t="shared" si="1"/>
        <v>1.5532857142857122</v>
      </c>
      <c r="G8" s="16">
        <f t="shared" si="2"/>
        <v>2.4126965102040749</v>
      </c>
      <c r="H8" s="17">
        <f t="shared" si="3"/>
        <v>-1.5532857142857122</v>
      </c>
      <c r="I8" s="12"/>
      <c r="J8" s="12"/>
      <c r="K8" s="12"/>
      <c r="L8" s="12"/>
      <c r="M8" s="12"/>
      <c r="N8" s="12"/>
      <c r="O8" s="12">
        <v>10.254</v>
      </c>
      <c r="P8" s="12"/>
      <c r="Q8" s="12">
        <f t="shared" si="0"/>
        <v>0.55128571428571327</v>
      </c>
      <c r="R8" s="12"/>
      <c r="S8" s="12"/>
      <c r="T8" s="12"/>
      <c r="U8" s="12"/>
      <c r="V8" s="12"/>
      <c r="W8" s="12"/>
      <c r="X8" s="12"/>
      <c r="Y8" s="12"/>
    </row>
    <row r="9" spans="1:25">
      <c r="A9" s="12"/>
      <c r="B9" s="12"/>
      <c r="C9" s="12"/>
      <c r="D9" s="12"/>
      <c r="E9" s="16">
        <v>10.254</v>
      </c>
      <c r="F9" s="16">
        <f t="shared" si="1"/>
        <v>0.55128571428571327</v>
      </c>
      <c r="G9" s="16">
        <f t="shared" si="2"/>
        <v>0.3039159387755091</v>
      </c>
      <c r="H9" s="17">
        <f t="shared" si="3"/>
        <v>-0.55128571428571327</v>
      </c>
      <c r="I9" s="12"/>
      <c r="J9" s="12"/>
      <c r="K9" s="12"/>
      <c r="L9" s="12"/>
      <c r="M9" s="12"/>
      <c r="N9" s="12"/>
      <c r="O9" s="12">
        <v>11.73</v>
      </c>
      <c r="P9" s="12"/>
      <c r="Q9" s="12">
        <f t="shared" si="0"/>
        <v>0.9247142857142876</v>
      </c>
      <c r="R9" s="12"/>
      <c r="S9" s="12"/>
      <c r="T9" s="12"/>
      <c r="U9" s="12"/>
      <c r="V9" s="12"/>
      <c r="W9" s="12"/>
      <c r="X9" s="12"/>
      <c r="Y9" s="12"/>
    </row>
    <row r="10" spans="1:25">
      <c r="A10" s="12"/>
      <c r="B10" s="12"/>
      <c r="C10" s="12"/>
      <c r="D10" s="12"/>
      <c r="E10" s="16">
        <v>11.73</v>
      </c>
      <c r="F10" s="16">
        <f t="shared" si="1"/>
        <v>0.9247142857142876</v>
      </c>
      <c r="G10" s="16">
        <f t="shared" si="2"/>
        <v>0.85509651020408517</v>
      </c>
      <c r="H10" s="17">
        <f t="shared" si="3"/>
        <v>0.9247142857142876</v>
      </c>
      <c r="I10" s="12"/>
      <c r="J10" s="12"/>
      <c r="K10" s="12"/>
      <c r="L10" s="12"/>
      <c r="M10" s="12"/>
      <c r="N10" s="12"/>
      <c r="O10" s="12">
        <v>10.109</v>
      </c>
      <c r="P10" s="12"/>
      <c r="Q10" s="12">
        <f t="shared" si="0"/>
        <v>0.69628571428571284</v>
      </c>
      <c r="R10" s="12"/>
      <c r="S10" s="12"/>
      <c r="T10" s="12"/>
      <c r="U10" s="12"/>
      <c r="V10" s="12"/>
      <c r="W10" s="12"/>
      <c r="X10" s="12"/>
      <c r="Y10" s="12"/>
    </row>
    <row r="11" spans="1:25">
      <c r="A11" s="12"/>
      <c r="B11" s="12"/>
      <c r="C11" s="12"/>
      <c r="D11" s="12"/>
      <c r="E11" s="16">
        <v>10.109</v>
      </c>
      <c r="F11" s="16">
        <f t="shared" si="1"/>
        <v>0.69628571428571284</v>
      </c>
      <c r="G11" s="16">
        <f t="shared" si="2"/>
        <v>0.48481379591836532</v>
      </c>
      <c r="H11" s="17">
        <f t="shared" si="3"/>
        <v>-0.69628571428571284</v>
      </c>
      <c r="I11" s="12"/>
      <c r="J11" s="12"/>
      <c r="K11" s="12"/>
      <c r="L11" s="12"/>
      <c r="M11" s="12"/>
      <c r="N11" s="12"/>
      <c r="O11" s="12">
        <v>10.005000000000001</v>
      </c>
      <c r="P11" s="12"/>
      <c r="Q11" s="12">
        <f t="shared" si="0"/>
        <v>0.80028571428571205</v>
      </c>
      <c r="R11" s="12"/>
      <c r="S11" s="12"/>
      <c r="T11" s="12"/>
      <c r="U11" s="12"/>
      <c r="V11" s="12"/>
      <c r="W11" s="12"/>
      <c r="X11" s="12"/>
      <c r="Y11" s="12"/>
    </row>
    <row r="12" spans="1:25">
      <c r="A12" s="12"/>
      <c r="B12" s="12"/>
      <c r="C12" s="12"/>
      <c r="D12" s="12"/>
      <c r="E12" s="16">
        <v>10.005000000000001</v>
      </c>
      <c r="F12" s="16">
        <f t="shared" si="1"/>
        <v>0.80028571428571205</v>
      </c>
      <c r="G12" s="16">
        <f t="shared" si="2"/>
        <v>0.64045722448979236</v>
      </c>
      <c r="H12" s="17">
        <f t="shared" si="3"/>
        <v>-0.80028571428571205</v>
      </c>
      <c r="I12" s="12"/>
      <c r="J12" s="12"/>
      <c r="K12" s="12"/>
      <c r="L12" s="12"/>
      <c r="M12" s="12"/>
      <c r="N12" s="12"/>
      <c r="O12" s="12">
        <v>9.6660000000000004</v>
      </c>
      <c r="P12" s="12"/>
      <c r="Q12" s="12">
        <f t="shared" si="0"/>
        <v>1.1392857142857125</v>
      </c>
      <c r="R12" s="12"/>
      <c r="S12" s="12"/>
      <c r="T12" s="12"/>
      <c r="U12" s="12"/>
      <c r="V12" s="12"/>
      <c r="W12" s="12"/>
      <c r="X12" s="12"/>
      <c r="Y12" s="12"/>
    </row>
    <row r="13" spans="1:25">
      <c r="A13" s="12"/>
      <c r="B13" s="12"/>
      <c r="C13" s="12"/>
      <c r="D13" s="12"/>
      <c r="E13" s="16">
        <v>9.6660000000000004</v>
      </c>
      <c r="F13" s="16">
        <f t="shared" si="1"/>
        <v>1.1392857142857125</v>
      </c>
      <c r="G13" s="16">
        <f t="shared" si="2"/>
        <v>1.297971938775506</v>
      </c>
      <c r="H13" s="17">
        <f t="shared" si="3"/>
        <v>-1.1392857142857125</v>
      </c>
      <c r="I13" s="12"/>
      <c r="J13" s="12"/>
      <c r="K13" s="12"/>
      <c r="L13" s="12"/>
      <c r="M13" s="12"/>
      <c r="N13" s="12"/>
      <c r="O13" s="12">
        <v>10.912000000000001</v>
      </c>
      <c r="P13" s="12"/>
      <c r="Q13" s="12">
        <f t="shared" si="0"/>
        <v>0.10671428571428798</v>
      </c>
      <c r="R13" s="12"/>
      <c r="S13" s="12"/>
      <c r="T13" s="12"/>
      <c r="U13" s="12"/>
      <c r="V13" s="12"/>
      <c r="W13" s="12"/>
      <c r="X13" s="12"/>
      <c r="Y13" s="12"/>
    </row>
    <row r="14" spans="1:25">
      <c r="A14" s="12"/>
      <c r="B14" s="12"/>
      <c r="C14" s="12"/>
      <c r="D14" s="12"/>
      <c r="E14" s="16">
        <v>10.912000000000001</v>
      </c>
      <c r="F14" s="16">
        <f t="shared" si="1"/>
        <v>0.10671428571428798</v>
      </c>
      <c r="G14" s="16">
        <f t="shared" si="2"/>
        <v>1.1387938775510689E-2</v>
      </c>
      <c r="H14" s="17">
        <f t="shared" si="3"/>
        <v>0.10671428571428798</v>
      </c>
      <c r="I14" s="12"/>
      <c r="J14" s="12"/>
      <c r="K14" s="12"/>
      <c r="L14" s="12"/>
      <c r="M14" s="12"/>
      <c r="N14" s="12"/>
      <c r="O14" s="12">
        <v>9.2650000000000006</v>
      </c>
      <c r="P14" s="12"/>
      <c r="Q14" s="12">
        <f t="shared" si="0"/>
        <v>1.5402857142857123</v>
      </c>
      <c r="R14" s="12"/>
      <c r="S14" s="12"/>
      <c r="T14" s="12"/>
      <c r="U14" s="12"/>
      <c r="V14" s="12"/>
      <c r="W14" s="12"/>
      <c r="X14" s="12"/>
      <c r="Y14" s="12"/>
    </row>
    <row r="15" spans="1:25">
      <c r="A15" s="12"/>
      <c r="B15" s="12"/>
      <c r="C15" s="12"/>
      <c r="D15" s="12"/>
      <c r="E15" s="16">
        <v>9.2650000000000006</v>
      </c>
      <c r="F15" s="16">
        <f t="shared" si="1"/>
        <v>1.5402857142857123</v>
      </c>
      <c r="G15" s="16">
        <f t="shared" si="2"/>
        <v>2.3724800816326468</v>
      </c>
      <c r="H15" s="17">
        <f t="shared" si="3"/>
        <v>-1.5402857142857123</v>
      </c>
      <c r="I15" s="12"/>
      <c r="J15" s="12"/>
      <c r="K15" s="12"/>
      <c r="L15" s="12"/>
      <c r="M15" s="12"/>
      <c r="N15" s="12"/>
      <c r="O15" s="12">
        <v>8.4039999999999999</v>
      </c>
      <c r="P15" s="12"/>
      <c r="Q15" s="12">
        <f t="shared" si="0"/>
        <v>2.4012857142857129</v>
      </c>
      <c r="R15" s="12"/>
      <c r="S15" s="12"/>
      <c r="T15" s="12"/>
      <c r="U15" s="12"/>
      <c r="V15" s="12"/>
      <c r="W15" s="12"/>
      <c r="X15" s="12"/>
      <c r="Y15" s="12"/>
    </row>
    <row r="16" spans="1:25">
      <c r="A16" s="12"/>
      <c r="B16" s="12"/>
      <c r="C16" s="12"/>
      <c r="D16" s="12"/>
      <c r="E16" s="16">
        <v>8.4039999999999999</v>
      </c>
      <c r="F16" s="16">
        <f t="shared" si="1"/>
        <v>2.4012857142857129</v>
      </c>
      <c r="G16" s="16">
        <f t="shared" si="2"/>
        <v>5.7661730816326466</v>
      </c>
      <c r="H16" s="17">
        <f t="shared" si="3"/>
        <v>-2.4012857142857129</v>
      </c>
      <c r="I16" s="12"/>
      <c r="J16" s="12"/>
      <c r="K16" s="12"/>
      <c r="L16" s="12"/>
      <c r="M16" s="12"/>
      <c r="N16" s="12"/>
      <c r="O16" s="12">
        <v>13.335000000000001</v>
      </c>
      <c r="P16" s="12"/>
      <c r="Q16" s="12">
        <f t="shared" si="0"/>
        <v>2.529714285714288</v>
      </c>
      <c r="R16" s="12"/>
      <c r="S16" s="12"/>
      <c r="T16" s="12"/>
      <c r="U16" s="12"/>
      <c r="V16" s="12"/>
      <c r="W16" s="12"/>
      <c r="X16" s="12"/>
      <c r="Y16" s="12"/>
    </row>
    <row r="17" spans="1:25">
      <c r="A17" s="12"/>
      <c r="B17" s="12"/>
      <c r="C17" s="12"/>
      <c r="D17" s="12"/>
      <c r="E17" s="16">
        <v>13.335000000000001</v>
      </c>
      <c r="F17" s="16">
        <f t="shared" si="1"/>
        <v>2.529714285714288</v>
      </c>
      <c r="G17" s="16">
        <f t="shared" si="2"/>
        <v>6.3994543673469506</v>
      </c>
      <c r="H17" s="17">
        <f t="shared" si="3"/>
        <v>2.529714285714288</v>
      </c>
      <c r="I17" s="12"/>
      <c r="J17" s="12"/>
      <c r="K17" s="12"/>
      <c r="L17" s="12"/>
      <c r="M17" s="12"/>
      <c r="N17" s="12"/>
      <c r="O17" s="12">
        <v>18.773</v>
      </c>
      <c r="P17" s="12"/>
      <c r="Q17" s="12">
        <f t="shared" si="0"/>
        <v>7.9677142857142869</v>
      </c>
      <c r="R17" s="12"/>
      <c r="S17" s="12"/>
      <c r="T17" s="12"/>
      <c r="U17" s="12"/>
      <c r="V17" s="12"/>
      <c r="W17" s="12"/>
      <c r="X17" s="12"/>
      <c r="Y17" s="12"/>
    </row>
    <row r="18" spans="1:25">
      <c r="A18" s="12"/>
      <c r="B18" s="12"/>
      <c r="C18" s="12"/>
      <c r="D18" s="12"/>
      <c r="E18" s="16">
        <v>18.773</v>
      </c>
      <c r="F18" s="16">
        <f t="shared" si="1"/>
        <v>7.9677142857142869</v>
      </c>
      <c r="G18" s="16">
        <f t="shared" si="2"/>
        <v>63.48447093877553</v>
      </c>
      <c r="H18" s="17">
        <f t="shared" si="3"/>
        <v>7.9677142857142869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>
      <c r="A25" s="12"/>
      <c r="B25" s="12"/>
      <c r="C25" s="18"/>
      <c r="D25" s="18"/>
      <c r="E25" s="18"/>
      <c r="F25" s="18"/>
      <c r="G25" s="18"/>
      <c r="H25" s="19"/>
      <c r="I25" s="18"/>
      <c r="J25" s="1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>
      <c r="A26" s="12"/>
      <c r="B26" s="12"/>
      <c r="C26" s="18"/>
      <c r="D26" s="18"/>
      <c r="E26" s="18"/>
      <c r="F26" s="20"/>
      <c r="G26" s="20"/>
      <c r="H26" s="21"/>
      <c r="I26" s="18"/>
      <c r="J26" s="1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>
      <c r="A27" s="12"/>
      <c r="B27" s="12"/>
      <c r="C27" s="21"/>
      <c r="D27" s="18"/>
      <c r="E27" s="18"/>
      <c r="F27" s="20"/>
      <c r="G27" s="20"/>
      <c r="H27" s="21"/>
      <c r="I27" s="18"/>
      <c r="J27" s="1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A28" s="12"/>
      <c r="B28" s="12"/>
      <c r="C28" s="18"/>
      <c r="D28" s="18"/>
      <c r="E28" s="18"/>
      <c r="F28" s="20"/>
      <c r="G28" s="20"/>
      <c r="H28" s="21"/>
      <c r="I28" s="18"/>
      <c r="J28" s="1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A29" s="12"/>
      <c r="B29" s="12"/>
      <c r="C29" s="18"/>
      <c r="D29" s="18"/>
      <c r="E29" s="18"/>
      <c r="F29" s="20"/>
      <c r="G29" s="20"/>
      <c r="H29" s="21"/>
      <c r="I29" s="18"/>
      <c r="J29" s="1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2"/>
      <c r="B30" s="12"/>
      <c r="C30" s="18"/>
      <c r="D30" s="18"/>
      <c r="E30" s="18"/>
      <c r="F30" s="20"/>
      <c r="G30" s="20"/>
      <c r="H30" s="21"/>
      <c r="I30" s="18"/>
      <c r="J30" s="1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2"/>
      <c r="B31" s="12"/>
      <c r="C31" s="18"/>
      <c r="D31" s="18"/>
      <c r="E31" s="18"/>
      <c r="F31" s="20"/>
      <c r="G31" s="20"/>
      <c r="H31" s="21"/>
      <c r="I31" s="18"/>
      <c r="J31" s="18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2"/>
      <c r="B32" s="12"/>
      <c r="C32" s="18"/>
      <c r="D32" s="18"/>
      <c r="E32" s="18"/>
      <c r="F32" s="20"/>
      <c r="G32" s="20"/>
      <c r="H32" s="21"/>
      <c r="I32" s="18"/>
      <c r="J32" s="18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>
      <c r="A33" s="12"/>
      <c r="B33" s="12"/>
      <c r="C33" s="18"/>
      <c r="D33" s="18"/>
      <c r="E33" s="18"/>
      <c r="F33" s="20"/>
      <c r="G33" s="20"/>
      <c r="H33" s="21"/>
      <c r="I33" s="18"/>
      <c r="J33" s="18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>
      <c r="A34" s="12"/>
      <c r="B34" s="12"/>
      <c r="C34" s="18"/>
      <c r="D34" s="18"/>
      <c r="E34" s="18"/>
      <c r="F34" s="20"/>
      <c r="G34" s="20"/>
      <c r="H34" s="21"/>
      <c r="I34" s="18"/>
      <c r="J34" s="18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>
      <c r="A35" s="12"/>
      <c r="B35" s="12"/>
      <c r="C35" s="18"/>
      <c r="D35" s="18"/>
      <c r="E35" s="18"/>
      <c r="F35" s="20"/>
      <c r="G35" s="20"/>
      <c r="H35" s="21"/>
      <c r="I35" s="18"/>
      <c r="J35" s="18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A36" s="12"/>
      <c r="B36" s="12"/>
      <c r="C36" s="18"/>
      <c r="D36" s="18"/>
      <c r="E36" s="18"/>
      <c r="F36" s="20"/>
      <c r="G36" s="20"/>
      <c r="H36" s="21"/>
      <c r="I36" s="18"/>
      <c r="J36" s="18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A37" s="12"/>
      <c r="B37" s="12"/>
      <c r="C37" s="18"/>
      <c r="D37" s="18"/>
      <c r="E37" s="18"/>
      <c r="F37" s="20"/>
      <c r="G37" s="20"/>
      <c r="H37" s="21"/>
      <c r="I37" s="18"/>
      <c r="J37" s="18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A38" s="12"/>
      <c r="B38" s="12"/>
      <c r="C38" s="18"/>
      <c r="D38" s="18"/>
      <c r="E38" s="18"/>
      <c r="F38" s="20"/>
      <c r="G38" s="20"/>
      <c r="H38" s="21"/>
      <c r="I38" s="18"/>
      <c r="J38" s="1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A39" s="12"/>
      <c r="B39" s="12"/>
      <c r="C39" s="18"/>
      <c r="D39" s="18"/>
      <c r="E39" s="18"/>
      <c r="F39" s="20"/>
      <c r="G39" s="20"/>
      <c r="H39" s="21"/>
      <c r="I39" s="18"/>
      <c r="J39" s="1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solution</vt:lpstr>
      <vt:lpstr>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Dinislam Sayfullin</cp:lastModifiedBy>
  <dcterms:modified xsi:type="dcterms:W3CDTF">2024-12-11T19:50:20Z</dcterms:modified>
</cp:coreProperties>
</file>