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c nguyen\Downloads\HK1-NAM 4\Quản lý dự án\"/>
    </mc:Choice>
  </mc:AlternateContent>
  <xr:revisionPtr revIDLastSave="0" documentId="13_ncr:1_{4775488A-6E29-4A88-ADF5-24EC1A4BBB5A}" xr6:coauthVersionLast="47" xr6:coauthVersionMax="47" xr10:uidLastSave="{00000000-0000-0000-0000-000000000000}"/>
  <bookViews>
    <workbookView xWindow="-108" yWindow="-108" windowWidth="23256" windowHeight="12456" xr2:uid="{1B747C2A-EDFD-4361-AD0D-A1689D689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127" i="1" l="1"/>
  <c r="E125" i="1"/>
  <c r="D125" i="1"/>
  <c r="D126" i="1"/>
  <c r="D127" i="1"/>
  <c r="C125" i="1"/>
  <c r="B125" i="1"/>
  <c r="B126" i="1"/>
  <c r="A125" i="1"/>
  <c r="A126" i="1"/>
  <c r="A127" i="1"/>
  <c r="E124" i="1"/>
  <c r="D124" i="1"/>
  <c r="C124" i="1"/>
  <c r="B124" i="1"/>
  <c r="A124" i="1"/>
  <c r="E123" i="1"/>
  <c r="D123" i="1"/>
  <c r="C123" i="1"/>
  <c r="B123" i="1"/>
  <c r="B120" i="1"/>
  <c r="B119" i="1"/>
  <c r="B111" i="1"/>
  <c r="C110" i="1"/>
  <c r="D110" i="1"/>
  <c r="E110" i="1"/>
  <c r="F110" i="1"/>
  <c r="G110" i="1"/>
  <c r="H110" i="1"/>
  <c r="I110" i="1"/>
  <c r="J110" i="1"/>
  <c r="K110" i="1"/>
  <c r="L110" i="1"/>
  <c r="M110" i="1"/>
  <c r="B110" i="1"/>
  <c r="C109" i="1"/>
  <c r="D109" i="1"/>
  <c r="E109" i="1"/>
  <c r="F109" i="1"/>
  <c r="G109" i="1"/>
  <c r="H109" i="1"/>
  <c r="I109" i="1"/>
  <c r="J109" i="1"/>
  <c r="K109" i="1"/>
  <c r="L109" i="1"/>
  <c r="M109" i="1"/>
  <c r="B109" i="1"/>
  <c r="H100" i="1"/>
  <c r="H101" i="1"/>
  <c r="H102" i="1"/>
  <c r="H103" i="1"/>
  <c r="H99" i="1"/>
  <c r="C93" i="1"/>
  <c r="C94" i="1"/>
  <c r="C92" i="1"/>
  <c r="B94" i="1"/>
  <c r="A88" i="1"/>
  <c r="B87" i="1" a="1"/>
  <c r="B87" i="1" s="1"/>
  <c r="D85" i="1"/>
  <c r="E85" i="1"/>
  <c r="F85" i="1"/>
  <c r="G85" i="1"/>
  <c r="C85" i="1"/>
  <c r="B85" i="1"/>
  <c r="C84" i="1"/>
  <c r="D84" i="1"/>
  <c r="E84" i="1"/>
  <c r="F84" i="1"/>
  <c r="G84" i="1"/>
  <c r="B84" i="1"/>
  <c r="C83" i="1"/>
  <c r="D83" i="1"/>
  <c r="E83" i="1"/>
  <c r="F83" i="1"/>
  <c r="G83" i="1"/>
  <c r="B83" i="1"/>
  <c r="C81" i="1"/>
  <c r="D81" i="1"/>
  <c r="E81" i="1"/>
  <c r="F81" i="1"/>
  <c r="G81" i="1"/>
  <c r="B81" i="1"/>
  <c r="I65" i="1"/>
  <c r="I68" i="1"/>
  <c r="B73" i="1" s="1" a="1"/>
  <c r="B73" i="1" s="1"/>
  <c r="B74" i="1" s="1"/>
  <c r="I67" i="1"/>
  <c r="C69" i="1"/>
  <c r="B69" i="1"/>
  <c r="D69" i="1"/>
  <c r="E69" i="1" s="1"/>
  <c r="C68" i="1"/>
  <c r="D68" i="1"/>
  <c r="E68" i="1"/>
  <c r="F68" i="1"/>
  <c r="G68" i="1"/>
  <c r="B68" i="1"/>
  <c r="C67" i="1"/>
  <c r="D67" i="1"/>
  <c r="E67" i="1"/>
  <c r="F67" i="1"/>
  <c r="G67" i="1"/>
  <c r="H67" i="1"/>
  <c r="H68" i="1" s="1"/>
  <c r="B67" i="1"/>
  <c r="C65" i="1"/>
  <c r="D65" i="1"/>
  <c r="E65" i="1"/>
  <c r="F65" i="1"/>
  <c r="G65" i="1"/>
  <c r="H65" i="1"/>
  <c r="B65" i="1"/>
  <c r="I52" i="1"/>
  <c r="H52" i="1"/>
  <c r="G52" i="1"/>
  <c r="F52" i="1"/>
  <c r="B57" i="1" s="1"/>
  <c r="E52" i="1"/>
  <c r="D52" i="1"/>
  <c r="C52" i="1"/>
  <c r="B52" i="1"/>
  <c r="I50" i="1"/>
  <c r="I53" i="1" s="1"/>
  <c r="H50" i="1"/>
  <c r="H53" i="1" s="1"/>
  <c r="G50" i="1"/>
  <c r="G53" i="1" s="1"/>
  <c r="F50" i="1"/>
  <c r="F53" i="1" s="1"/>
  <c r="E50" i="1"/>
  <c r="E53" i="1" s="1"/>
  <c r="D50" i="1"/>
  <c r="D53" i="1" s="1"/>
  <c r="C50" i="1"/>
  <c r="C53" i="1" s="1"/>
  <c r="B50" i="1"/>
  <c r="B53" i="1" s="1"/>
  <c r="B44" i="1"/>
  <c r="B43" i="1"/>
  <c r="B42" i="1"/>
  <c r="B41" i="1"/>
  <c r="B40" i="1"/>
  <c r="C38" i="1"/>
  <c r="D38" i="1"/>
  <c r="E38" i="1"/>
  <c r="F38" i="1"/>
  <c r="G38" i="1"/>
  <c r="H38" i="1"/>
  <c r="I38" i="1"/>
  <c r="B38" i="1"/>
  <c r="C37" i="1"/>
  <c r="D37" i="1"/>
  <c r="E37" i="1"/>
  <c r="F37" i="1"/>
  <c r="G37" i="1"/>
  <c r="H37" i="1"/>
  <c r="I37" i="1"/>
  <c r="B37" i="1"/>
  <c r="C35" i="1"/>
  <c r="D35" i="1"/>
  <c r="E35" i="1"/>
  <c r="F35" i="1"/>
  <c r="G35" i="1"/>
  <c r="H35" i="1"/>
  <c r="I35" i="1"/>
  <c r="B35" i="1"/>
  <c r="G21" i="1"/>
  <c r="F21" i="1"/>
  <c r="E21" i="1"/>
  <c r="E23" i="1" s="1"/>
  <c r="D21" i="1"/>
  <c r="C21" i="1"/>
  <c r="B21" i="1"/>
  <c r="B27" i="1" s="1"/>
  <c r="G20" i="1"/>
  <c r="G23" i="1" s="1"/>
  <c r="F20" i="1"/>
  <c r="F23" i="1" s="1"/>
  <c r="E20" i="1"/>
  <c r="D20" i="1"/>
  <c r="C20" i="1"/>
  <c r="B20" i="1"/>
  <c r="C6" i="1"/>
  <c r="D6" i="1"/>
  <c r="E6" i="1"/>
  <c r="F6" i="1"/>
  <c r="G6" i="1"/>
  <c r="B6" i="1"/>
  <c r="B12" i="1" s="1"/>
  <c r="C5" i="1"/>
  <c r="C8" i="1" s="1"/>
  <c r="D5" i="1"/>
  <c r="D8" i="1" s="1"/>
  <c r="E5" i="1"/>
  <c r="E8" i="1" s="1"/>
  <c r="F5" i="1"/>
  <c r="F8" i="1" s="1"/>
  <c r="G5" i="1"/>
  <c r="G8" i="1" s="1"/>
  <c r="B5" i="1"/>
  <c r="B8" i="1" s="1"/>
  <c r="B10" i="1" s="1"/>
  <c r="C126" i="1" l="1"/>
  <c r="E126" i="1" s="1"/>
  <c r="B127" i="1" s="1"/>
  <c r="I98" i="1"/>
  <c r="J98" i="1"/>
  <c r="I69" i="1"/>
  <c r="F69" i="1"/>
  <c r="G69" i="1" s="1"/>
  <c r="H69" i="1" s="1"/>
  <c r="B71" i="1" s="1" a="1"/>
  <c r="B71" i="1" s="1"/>
  <c r="B55" i="1"/>
  <c r="B56" i="1"/>
  <c r="B59" i="1" s="1"/>
  <c r="B13" i="1"/>
  <c r="B14" i="1"/>
  <c r="B11" i="1"/>
  <c r="B23" i="1"/>
  <c r="C23" i="1"/>
  <c r="B26" i="1"/>
  <c r="D23" i="1"/>
  <c r="B28" i="1"/>
  <c r="C127" i="1" l="1"/>
  <c r="B72" i="1" a="1"/>
  <c r="B72" i="1" s="1"/>
  <c r="B58" i="1"/>
  <c r="B25" i="1"/>
  <c r="B29" i="1" s="1"/>
  <c r="B7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<sst xmlns="http://schemas.openxmlformats.org/spreadsheetml/2006/main" count="120" uniqueCount="70">
  <si>
    <t>Year</t>
  </si>
  <si>
    <t>Đầu tư</t>
  </si>
  <si>
    <t>Lợi nhuận</t>
  </si>
  <si>
    <t>Dòng tiền ròng</t>
  </si>
  <si>
    <t>DiscountFactor</t>
  </si>
  <si>
    <t>r</t>
  </si>
  <si>
    <t>PV dòng tiền</t>
  </si>
  <si>
    <t>NPV total</t>
  </si>
  <si>
    <t>PV đầu tư</t>
  </si>
  <si>
    <t>PV lợi nhuận</t>
  </si>
  <si>
    <t>PI</t>
  </si>
  <si>
    <t>NPV per unit</t>
  </si>
  <si>
    <t>Dự án 2</t>
  </si>
  <si>
    <t>Dự án 1</t>
  </si>
  <si>
    <t>Dự án A</t>
  </si>
  <si>
    <t>Năm</t>
  </si>
  <si>
    <t>Dòng vào</t>
  </si>
  <si>
    <t>Dòng ra</t>
  </si>
  <si>
    <t>Discount Factor</t>
  </si>
  <si>
    <t>NPV</t>
  </si>
  <si>
    <t>PV Outflow</t>
  </si>
  <si>
    <t>PV Inflow</t>
  </si>
  <si>
    <t>Dự án B</t>
  </si>
  <si>
    <t>BÀI 4</t>
  </si>
  <si>
    <t>Cum. PV</t>
  </si>
  <si>
    <t>DPB</t>
  </si>
  <si>
    <t>Cumulative PV tại năm 6</t>
  </si>
  <si>
    <t>PV dòng tiền năm tiếp theo (năm 7)</t>
  </si>
  <si>
    <t>Phần năm còn thiếu để hòa vốn</t>
  </si>
  <si>
    <t>Discounted Payback Period (DPB)</t>
  </si>
  <si>
    <t>BÀI 5</t>
  </si>
  <si>
    <t>Payback period</t>
  </si>
  <si>
    <t>BÀI 6</t>
  </si>
  <si>
    <t>Payment (gốc)</t>
  </si>
  <si>
    <t>Quy đổi về năm 3</t>
  </si>
  <si>
    <t>Tổng</t>
  </si>
  <si>
    <t>BÀI 7</t>
  </si>
  <si>
    <t>Tiêu chí / Dự án</t>
  </si>
  <si>
    <t>Nhà tài trợ mạnh</t>
  </si>
  <si>
    <t>Hỗ trợ chiến lược</t>
  </si>
  <si>
    <t>Tính cấp thiết</t>
  </si>
  <si>
    <t>10% doanh số</t>
  </si>
  <si>
    <t>Cạnh tranh</t>
  </si>
  <si>
    <t>Lấp đầy khoảng trống</t>
  </si>
  <si>
    <t>Tổng điểm</t>
  </si>
  <si>
    <t>Trọng số</t>
  </si>
  <si>
    <t>Dự án 3</t>
  </si>
  <si>
    <t>Dự án 4</t>
  </si>
  <si>
    <t>Dự án 5</t>
  </si>
  <si>
    <t>MAX</t>
  </si>
  <si>
    <t>MIN</t>
  </si>
  <si>
    <t>BÀI 8</t>
  </si>
  <si>
    <t>Month</t>
  </si>
  <si>
    <t>Payment</t>
  </si>
  <si>
    <t>PV of Payment</t>
  </si>
  <si>
    <t>PV Total</t>
  </si>
  <si>
    <t>Monthly rate</t>
  </si>
  <si>
    <t>BÀI 9</t>
  </si>
  <si>
    <t>Số tiền vay ban đầu (triệu)</t>
  </si>
  <si>
    <t>Lãi suất hằng năm</t>
  </si>
  <si>
    <t>Khoản trả hàng năm đã thực hiện (triệu)</t>
  </si>
  <si>
    <t>Số lần đã trả (năm)</t>
  </si>
  <si>
    <t>Số năm muốn trả nốt</t>
  </si>
  <si>
    <t>Tính số dư sau 7 lần trả</t>
  </si>
  <si>
    <t>Tính khoản phải trả hàng năm trong 5 năm tới</t>
  </si>
  <si>
    <t>Bảng kiểm tra khấu hao</t>
  </si>
  <si>
    <t>Số dư đầu kỳ</t>
  </si>
  <si>
    <t>Lãi (r * Số dư đầu)</t>
  </si>
  <si>
    <t>Thanh toán</t>
  </si>
  <si>
    <t>Số dư cuối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</si>
</sst>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4" xfId="0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3" fontId="0" fillId="0" borderId="0" xfId="0" applyNumberFormat="1" applyBorder="1"/>
    <xf numFmtId="0" fontId="0" fillId="0" borderId="6" xfId="0" applyBorder="1" applyAlignment="1">
      <alignment horizontal="left"/>
    </xf>
    <xf numFmtId="3" fontId="0" fillId="0" borderId="7" xfId="0" applyNumberFormat="1" applyBorder="1"/>
    <xf numFmtId="0" fontId="0" fillId="0" borderId="4" xfId="0" applyFill="1" applyBorder="1" applyAlignment="1">
      <alignment horizontal="left"/>
    </xf>
    <xf numFmtId="0" fontId="0" fillId="4" borderId="0" xfId="0" applyFill="1" applyBorder="1"/>
    <xf numFmtId="0" fontId="0" fillId="0" borderId="6" xfId="0" applyFill="1" applyBorder="1" applyAlignment="1">
      <alignment horizontal="left"/>
    </xf>
    <xf numFmtId="0" fontId="0" fillId="3" borderId="7" xfId="0" applyFill="1" applyBorder="1"/>
    <xf numFmtId="0" fontId="0" fillId="5" borderId="0" xfId="0" applyFill="1" applyBorder="1"/>
    <xf numFmtId="0" fontId="2" fillId="0" borderId="4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B7A3-7828-41BB-BF0E-676514C66F09}">
  <dimension ref="A1:M127"/>
  <sheetViews>
    <sheetView tabSelected="1" topLeftCell="A108" zoomScale="85" zoomScaleNormal="85" workbookViewId="0">
      <selection activeCell="I121" sqref="I121"/>
    </sheetView>
  </sheetViews>
  <sheetFormatPr defaultRowHeight="13.8"/>
  <cols>
    <col min="1" max="1" width="30.296875" bestFit="1" customWidth="1"/>
    <col min="2" max="2" width="14.69921875" bestFit="1" customWidth="1"/>
    <col min="3" max="3" width="16.296875" bestFit="1" customWidth="1"/>
    <col min="4" max="4" width="13.296875" bestFit="1" customWidth="1"/>
    <col min="5" max="5" width="13.296875" customWidth="1"/>
    <col min="6" max="6" width="10.69921875" customWidth="1"/>
    <col min="7" max="7" width="18.8984375" bestFit="1" customWidth="1"/>
    <col min="8" max="8" width="13.296875" bestFit="1" customWidth="1"/>
    <col min="9" max="9" width="12.69921875" bestFit="1" customWidth="1"/>
    <col min="10" max="13" width="9.5" bestFit="1" customWidth="1"/>
  </cols>
  <sheetData>
    <row r="1" spans="1:7">
      <c r="A1" s="10" t="s">
        <v>13</v>
      </c>
    </row>
    <row r="2" spans="1:7">
      <c r="A2" s="2" t="s">
        <v>0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4">
        <v>5</v>
      </c>
    </row>
    <row r="3" spans="1:7">
      <c r="A3" s="5" t="s">
        <v>1</v>
      </c>
      <c r="B3" s="1">
        <v>500</v>
      </c>
      <c r="C3" s="1">
        <v>0</v>
      </c>
      <c r="D3" s="1">
        <v>100</v>
      </c>
      <c r="E3" s="1">
        <v>0</v>
      </c>
      <c r="F3" s="1">
        <v>0</v>
      </c>
      <c r="G3" s="6">
        <v>0</v>
      </c>
    </row>
    <row r="4" spans="1:7">
      <c r="A4" s="5" t="s">
        <v>2</v>
      </c>
      <c r="B4" s="1">
        <v>0</v>
      </c>
      <c r="C4" s="1">
        <v>250</v>
      </c>
      <c r="D4" s="1">
        <v>350</v>
      </c>
      <c r="E4" s="1">
        <v>450</v>
      </c>
      <c r="F4" s="1">
        <v>500</v>
      </c>
      <c r="G4" s="6">
        <v>-100</v>
      </c>
    </row>
    <row r="5" spans="1:7">
      <c r="A5" s="5" t="s">
        <v>3</v>
      </c>
      <c r="B5" s="1">
        <f>B4-B3</f>
        <v>-500</v>
      </c>
      <c r="C5" s="1">
        <f t="shared" ref="C5:G5" si="0">C4-C3</f>
        <v>250</v>
      </c>
      <c r="D5" s="1">
        <f t="shared" si="0"/>
        <v>250</v>
      </c>
      <c r="E5" s="1">
        <f t="shared" si="0"/>
        <v>450</v>
      </c>
      <c r="F5" s="1">
        <f t="shared" si="0"/>
        <v>500</v>
      </c>
      <c r="G5" s="6">
        <f t="shared" si="0"/>
        <v>-100</v>
      </c>
    </row>
    <row r="6" spans="1:7">
      <c r="A6" s="5" t="s">
        <v>4</v>
      </c>
      <c r="B6" s="1">
        <f>1/(1+$B$7)^B2</f>
        <v>1</v>
      </c>
      <c r="C6" s="1">
        <f t="shared" ref="C6:G6" si="1">1/(1+$B$7)^C2</f>
        <v>0.85470085470085477</v>
      </c>
      <c r="D6" s="1">
        <f t="shared" si="1"/>
        <v>0.73051355102637161</v>
      </c>
      <c r="E6" s="1">
        <f t="shared" si="1"/>
        <v>0.62437055643279626</v>
      </c>
      <c r="F6" s="1">
        <f t="shared" si="1"/>
        <v>0.53365004823315931</v>
      </c>
      <c r="G6" s="6">
        <f t="shared" si="1"/>
        <v>0.45611115233603361</v>
      </c>
    </row>
    <row r="7" spans="1:7">
      <c r="A7" s="5" t="s">
        <v>5</v>
      </c>
      <c r="B7" s="1">
        <v>0.17</v>
      </c>
      <c r="C7" s="1"/>
      <c r="D7" s="1"/>
      <c r="E7" s="1"/>
      <c r="F7" s="1"/>
      <c r="G7" s="6"/>
    </row>
    <row r="8" spans="1:7">
      <c r="A8" s="5" t="s">
        <v>6</v>
      </c>
      <c r="B8" s="1">
        <f>B5 * B6</f>
        <v>-500</v>
      </c>
      <c r="C8" s="1">
        <f t="shared" ref="C8:G8" si="2">C5 * C6</f>
        <v>213.67521367521368</v>
      </c>
      <c r="D8" s="1">
        <f t="shared" si="2"/>
        <v>182.6283877565929</v>
      </c>
      <c r="E8" s="1">
        <f t="shared" si="2"/>
        <v>280.96675039475832</v>
      </c>
      <c r="F8" s="1">
        <f t="shared" si="2"/>
        <v>266.82502411657964</v>
      </c>
      <c r="G8" s="6">
        <f t="shared" si="2"/>
        <v>-45.611115233603364</v>
      </c>
    </row>
    <row r="9" spans="1:7">
      <c r="A9" s="5"/>
      <c r="B9" s="1"/>
      <c r="C9" s="1"/>
      <c r="D9" s="1"/>
      <c r="E9" s="1"/>
      <c r="F9" s="1"/>
      <c r="G9" s="6"/>
    </row>
    <row r="10" spans="1:7">
      <c r="A10" s="5" t="s">
        <v>7</v>
      </c>
      <c r="B10" s="1">
        <f>SUM(B8:G8)</f>
        <v>398.48426070954116</v>
      </c>
      <c r="C10" s="1"/>
      <c r="D10" s="1"/>
      <c r="E10" s="1"/>
      <c r="F10" s="1"/>
      <c r="G10" s="6"/>
    </row>
    <row r="11" spans="1:7">
      <c r="A11" s="5" t="s">
        <v>8</v>
      </c>
      <c r="B11" s="1">
        <f>SUMPRODUCT(B3:G3, B6:G6)</f>
        <v>573.05135510263722</v>
      </c>
      <c r="C11" s="1"/>
      <c r="D11" s="1"/>
      <c r="E11" s="1"/>
      <c r="F11" s="1"/>
      <c r="G11" s="6"/>
    </row>
    <row r="12" spans="1:7">
      <c r="A12" s="5" t="s">
        <v>9</v>
      </c>
      <c r="B12" s="1">
        <f>SUMPRODUCT(B4:G4, B6:G6)</f>
        <v>971.53561581217832</v>
      </c>
      <c r="C12" s="1"/>
      <c r="D12" s="1"/>
      <c r="E12" s="1"/>
      <c r="F12" s="1"/>
      <c r="G12" s="6"/>
    </row>
    <row r="13" spans="1:7">
      <c r="A13" s="5" t="s">
        <v>10</v>
      </c>
      <c r="B13" s="1">
        <f>B12/B11</f>
        <v>1.6953726872143422</v>
      </c>
      <c r="C13" s="1"/>
      <c r="D13" s="1"/>
      <c r="E13" s="1"/>
      <c r="F13" s="1"/>
      <c r="G13" s="6"/>
    </row>
    <row r="14" spans="1:7">
      <c r="A14" s="7" t="s">
        <v>11</v>
      </c>
      <c r="B14" s="8">
        <f>B10/B11</f>
        <v>0.69537268721434231</v>
      </c>
      <c r="C14" s="8"/>
      <c r="D14" s="8"/>
      <c r="E14" s="8"/>
      <c r="F14" s="8"/>
      <c r="G14" s="9"/>
    </row>
    <row r="16" spans="1:7">
      <c r="A16" s="10" t="s">
        <v>12</v>
      </c>
    </row>
    <row r="17" spans="1:9">
      <c r="A17" s="2" t="s">
        <v>0</v>
      </c>
      <c r="B17" s="3">
        <v>0</v>
      </c>
      <c r="C17" s="3">
        <v>1</v>
      </c>
      <c r="D17" s="3">
        <v>2</v>
      </c>
      <c r="E17" s="3">
        <v>3</v>
      </c>
      <c r="F17" s="3">
        <v>4</v>
      </c>
      <c r="G17" s="4">
        <v>5</v>
      </c>
    </row>
    <row r="18" spans="1:9">
      <c r="A18" s="5" t="s">
        <v>1</v>
      </c>
      <c r="B18" s="1">
        <v>100</v>
      </c>
      <c r="C18" s="1">
        <v>0</v>
      </c>
      <c r="D18" s="1">
        <v>50</v>
      </c>
      <c r="E18" s="1">
        <v>0</v>
      </c>
      <c r="F18" s="1">
        <v>0</v>
      </c>
      <c r="G18" s="6">
        <v>0</v>
      </c>
    </row>
    <row r="19" spans="1:9">
      <c r="A19" s="5" t="s">
        <v>2</v>
      </c>
      <c r="B19" s="1">
        <v>0</v>
      </c>
      <c r="C19" s="1">
        <v>-100</v>
      </c>
      <c r="D19" s="1">
        <v>200</v>
      </c>
      <c r="E19" s="1">
        <v>200</v>
      </c>
      <c r="F19" s="1">
        <v>200</v>
      </c>
      <c r="G19" s="6">
        <v>200</v>
      </c>
    </row>
    <row r="20" spans="1:9">
      <c r="A20" s="5" t="s">
        <v>3</v>
      </c>
      <c r="B20" s="1">
        <f>B19-B18</f>
        <v>-100</v>
      </c>
      <c r="C20" s="1">
        <f t="shared" ref="C20" si="3">C19-C18</f>
        <v>-100</v>
      </c>
      <c r="D20" s="1">
        <f t="shared" ref="D20" si="4">D19-D18</f>
        <v>150</v>
      </c>
      <c r="E20" s="1">
        <f t="shared" ref="E20" si="5">E19-E18</f>
        <v>200</v>
      </c>
      <c r="F20" s="1">
        <f t="shared" ref="F20" si="6">F19-F18</f>
        <v>200</v>
      </c>
      <c r="G20" s="6">
        <f t="shared" ref="G20" si="7">G19-G18</f>
        <v>200</v>
      </c>
    </row>
    <row r="21" spans="1:9">
      <c r="A21" s="5" t="s">
        <v>4</v>
      </c>
      <c r="B21" s="1">
        <f>1/(1+$B$7)^B17</f>
        <v>1</v>
      </c>
      <c r="C21" s="1">
        <f t="shared" ref="C21:G21" si="8">1/(1+$B$7)^C17</f>
        <v>0.85470085470085477</v>
      </c>
      <c r="D21" s="1">
        <f t="shared" si="8"/>
        <v>0.73051355102637161</v>
      </c>
      <c r="E21" s="1">
        <f t="shared" si="8"/>
        <v>0.62437055643279626</v>
      </c>
      <c r="F21" s="1">
        <f t="shared" si="8"/>
        <v>0.53365004823315931</v>
      </c>
      <c r="G21" s="6">
        <f t="shared" si="8"/>
        <v>0.45611115233603361</v>
      </c>
    </row>
    <row r="22" spans="1:9">
      <c r="A22" s="5" t="s">
        <v>5</v>
      </c>
      <c r="B22" s="1">
        <v>0.17</v>
      </c>
      <c r="C22" s="1"/>
      <c r="D22" s="1"/>
      <c r="E22" s="1"/>
      <c r="F22" s="1"/>
      <c r="G22" s="6"/>
    </row>
    <row r="23" spans="1:9">
      <c r="A23" s="5" t="s">
        <v>6</v>
      </c>
      <c r="B23" s="1">
        <f>B20 * B21</f>
        <v>-100</v>
      </c>
      <c r="C23" s="1">
        <f t="shared" ref="C23:G23" si="9">C20 * C21</f>
        <v>-85.470085470085479</v>
      </c>
      <c r="D23" s="1">
        <f t="shared" si="9"/>
        <v>109.57703265395574</v>
      </c>
      <c r="E23" s="1">
        <f t="shared" si="9"/>
        <v>124.87411128655926</v>
      </c>
      <c r="F23" s="1">
        <f t="shared" si="9"/>
        <v>106.73000964663186</v>
      </c>
      <c r="G23" s="6">
        <f t="shared" si="9"/>
        <v>91.222230467206728</v>
      </c>
    </row>
    <row r="24" spans="1:9">
      <c r="A24" s="5"/>
      <c r="B24" s="1"/>
      <c r="C24" s="1"/>
      <c r="D24" s="1"/>
      <c r="E24" s="1"/>
      <c r="F24" s="1"/>
      <c r="G24" s="6"/>
    </row>
    <row r="25" spans="1:9">
      <c r="A25" s="5" t="s">
        <v>7</v>
      </c>
      <c r="B25" s="1">
        <f>SUM(B23:G23)</f>
        <v>246.93329858426807</v>
      </c>
      <c r="C25" s="1"/>
      <c r="D25" s="1"/>
      <c r="E25" s="1"/>
      <c r="F25" s="1"/>
      <c r="G25" s="6"/>
    </row>
    <row r="26" spans="1:9">
      <c r="A26" s="5" t="s">
        <v>8</v>
      </c>
      <c r="B26" s="1">
        <f>SUMPRODUCT(B18:G18, B21:G21)</f>
        <v>136.52567755131858</v>
      </c>
      <c r="C26" s="1"/>
      <c r="D26" s="1"/>
      <c r="E26" s="1"/>
      <c r="F26" s="1"/>
      <c r="G26" s="6"/>
    </row>
    <row r="27" spans="1:9">
      <c r="A27" s="5" t="s">
        <v>9</v>
      </c>
      <c r="B27" s="1">
        <f>SUMPRODUCT(B19:G19, B21:G21)</f>
        <v>383.45897613558668</v>
      </c>
      <c r="C27" s="1"/>
      <c r="D27" s="1"/>
      <c r="E27" s="1"/>
      <c r="F27" s="1"/>
      <c r="G27" s="6"/>
    </row>
    <row r="28" spans="1:9">
      <c r="A28" s="5" t="s">
        <v>10</v>
      </c>
      <c r="B28" s="1">
        <f>B27/B26</f>
        <v>2.80869491375678</v>
      </c>
      <c r="C28" s="1"/>
      <c r="D28" s="1"/>
      <c r="E28" s="1"/>
      <c r="F28" s="1"/>
      <c r="G28" s="6"/>
    </row>
    <row r="29" spans="1:9">
      <c r="A29" s="7" t="s">
        <v>11</v>
      </c>
      <c r="B29" s="8">
        <f>B25/B26</f>
        <v>1.8086949137567796</v>
      </c>
      <c r="C29" s="8"/>
      <c r="D29" s="8"/>
      <c r="E29" s="8"/>
      <c r="F29" s="8"/>
      <c r="G29" s="9"/>
    </row>
    <row r="31" spans="1:9">
      <c r="A31" s="10" t="s">
        <v>14</v>
      </c>
    </row>
    <row r="32" spans="1:9">
      <c r="A32" s="2" t="s">
        <v>15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4">
        <v>7</v>
      </c>
    </row>
    <row r="33" spans="1:9">
      <c r="A33" s="5" t="s">
        <v>16</v>
      </c>
      <c r="B33" s="1">
        <v>0</v>
      </c>
      <c r="C33" s="1">
        <v>0</v>
      </c>
      <c r="D33" s="1">
        <v>150</v>
      </c>
      <c r="E33" s="1">
        <v>220</v>
      </c>
      <c r="F33" s="1">
        <v>215</v>
      </c>
      <c r="G33" s="1">
        <v>205</v>
      </c>
      <c r="H33" s="1">
        <v>197</v>
      </c>
      <c r="I33" s="6">
        <v>100</v>
      </c>
    </row>
    <row r="34" spans="1:9">
      <c r="A34" s="5" t="s">
        <v>17</v>
      </c>
      <c r="B34" s="1">
        <v>225</v>
      </c>
      <c r="C34" s="1">
        <v>190</v>
      </c>
      <c r="D34" s="1">
        <v>0</v>
      </c>
      <c r="E34" s="1">
        <v>30</v>
      </c>
      <c r="F34" s="1">
        <v>0</v>
      </c>
      <c r="G34" s="1">
        <v>30</v>
      </c>
      <c r="H34" s="1">
        <v>0</v>
      </c>
      <c r="I34" s="6">
        <v>30</v>
      </c>
    </row>
    <row r="35" spans="1:9">
      <c r="A35" s="5" t="s">
        <v>3</v>
      </c>
      <c r="B35" s="1">
        <f>B33-B34</f>
        <v>-225</v>
      </c>
      <c r="C35" s="1">
        <f t="shared" ref="C35:I35" si="10">C33-C34</f>
        <v>-190</v>
      </c>
      <c r="D35" s="1">
        <f t="shared" si="10"/>
        <v>150</v>
      </c>
      <c r="E35" s="1">
        <f t="shared" si="10"/>
        <v>190</v>
      </c>
      <c r="F35" s="1">
        <f t="shared" si="10"/>
        <v>215</v>
      </c>
      <c r="G35" s="1">
        <f t="shared" si="10"/>
        <v>175</v>
      </c>
      <c r="H35" s="1">
        <f t="shared" si="10"/>
        <v>197</v>
      </c>
      <c r="I35" s="6">
        <f t="shared" si="10"/>
        <v>70</v>
      </c>
    </row>
    <row r="36" spans="1:9">
      <c r="A36" s="5" t="s">
        <v>5</v>
      </c>
      <c r="B36" s="1">
        <v>0.18</v>
      </c>
      <c r="C36" s="1"/>
      <c r="D36" s="1"/>
      <c r="E36" s="1"/>
      <c r="F36" s="1"/>
      <c r="G36" s="1"/>
      <c r="H36" s="1"/>
      <c r="I36" s="6"/>
    </row>
    <row r="37" spans="1:9">
      <c r="A37" s="5" t="s">
        <v>18</v>
      </c>
      <c r="B37" s="1">
        <f>1/(1+$B$36)^B32</f>
        <v>1</v>
      </c>
      <c r="C37" s="1">
        <f t="shared" ref="C37:I37" si="11">1/(1+$B$36)^C32</f>
        <v>0.84745762711864414</v>
      </c>
      <c r="D37" s="1">
        <f t="shared" si="11"/>
        <v>0.71818442976156283</v>
      </c>
      <c r="E37" s="1">
        <f t="shared" si="11"/>
        <v>0.6086308726792905</v>
      </c>
      <c r="F37" s="1">
        <f t="shared" si="11"/>
        <v>0.51578887515194116</v>
      </c>
      <c r="G37" s="1">
        <f t="shared" si="11"/>
        <v>0.43710921623045873</v>
      </c>
      <c r="H37" s="1">
        <f t="shared" si="11"/>
        <v>0.37043153917835481</v>
      </c>
      <c r="I37" s="6">
        <f t="shared" si="11"/>
        <v>0.31392503320199561</v>
      </c>
    </row>
    <row r="38" spans="1:9">
      <c r="A38" s="5" t="s">
        <v>6</v>
      </c>
      <c r="B38" s="1">
        <f>B35*B37</f>
        <v>-225</v>
      </c>
      <c r="C38" s="1">
        <f t="shared" ref="C38:I38" si="12">C35*C37</f>
        <v>-161.0169491525424</v>
      </c>
      <c r="D38" s="1">
        <f t="shared" si="12"/>
        <v>107.72766446423442</v>
      </c>
      <c r="E38" s="1">
        <f t="shared" si="12"/>
        <v>115.6398658090652</v>
      </c>
      <c r="F38" s="1">
        <f t="shared" si="12"/>
        <v>110.89460815766735</v>
      </c>
      <c r="G38" s="1">
        <f t="shared" si="12"/>
        <v>76.494112840330274</v>
      </c>
      <c r="H38" s="1">
        <f t="shared" si="12"/>
        <v>72.975013218135899</v>
      </c>
      <c r="I38" s="6">
        <f t="shared" si="12"/>
        <v>21.974752324139693</v>
      </c>
    </row>
    <row r="39" spans="1:9">
      <c r="A39" s="5"/>
      <c r="B39" s="1"/>
      <c r="C39" s="1"/>
      <c r="D39" s="1"/>
      <c r="E39" s="1"/>
      <c r="F39" s="1"/>
      <c r="G39" s="1"/>
      <c r="H39" s="1"/>
      <c r="I39" s="6"/>
    </row>
    <row r="40" spans="1:9">
      <c r="A40" s="5" t="s">
        <v>19</v>
      </c>
      <c r="B40" s="1">
        <f>SUM(B38:I38)</f>
        <v>119.68906766103044</v>
      </c>
      <c r="C40" s="1"/>
      <c r="D40" s="1"/>
      <c r="E40" s="1"/>
      <c r="F40" s="1"/>
      <c r="G40" s="1"/>
      <c r="H40" s="1"/>
      <c r="I40" s="6"/>
    </row>
    <row r="41" spans="1:9">
      <c r="A41" s="5" t="s">
        <v>20</v>
      </c>
      <c r="B41" s="1">
        <f>SUMPRODUCT(B34:I34,B37:I37)</f>
        <v>426.80690281589472</v>
      </c>
      <c r="C41" s="1"/>
      <c r="D41" s="1"/>
      <c r="E41" s="1"/>
      <c r="F41" s="1"/>
      <c r="G41" s="1"/>
      <c r="H41" s="1"/>
      <c r="I41" s="6"/>
    </row>
    <row r="42" spans="1:9">
      <c r="A42" s="5" t="s">
        <v>21</v>
      </c>
      <c r="B42" s="1">
        <f>SUMPRODUCT(B33:I33,B37:I37)</f>
        <v>546.49597047692521</v>
      </c>
      <c r="C42" s="1"/>
      <c r="D42" s="1"/>
      <c r="E42" s="1"/>
      <c r="F42" s="1"/>
      <c r="G42" s="1"/>
      <c r="H42" s="1"/>
      <c r="I42" s="6"/>
    </row>
    <row r="43" spans="1:9">
      <c r="A43" s="5" t="s">
        <v>10</v>
      </c>
      <c r="B43" s="1">
        <f>B42/B41</f>
        <v>1.280429081327813</v>
      </c>
      <c r="C43" s="1"/>
      <c r="D43" s="1"/>
      <c r="E43" s="1"/>
      <c r="F43" s="1"/>
      <c r="G43" s="1"/>
      <c r="H43" s="1"/>
      <c r="I43" s="6"/>
    </row>
    <row r="44" spans="1:9">
      <c r="A44" s="7" t="s">
        <v>11</v>
      </c>
      <c r="B44" s="8">
        <f>B40/B41</f>
        <v>0.2804290813278128</v>
      </c>
      <c r="C44" s="8"/>
      <c r="D44" s="8"/>
      <c r="E44" s="8"/>
      <c r="F44" s="8"/>
      <c r="G44" s="8"/>
      <c r="H44" s="8"/>
      <c r="I44" s="9"/>
    </row>
    <row r="46" spans="1:9">
      <c r="A46" s="10" t="s">
        <v>22</v>
      </c>
    </row>
    <row r="47" spans="1:9">
      <c r="A47" s="2" t="s">
        <v>15</v>
      </c>
      <c r="B47" s="3">
        <v>0</v>
      </c>
      <c r="C47" s="3">
        <v>1</v>
      </c>
      <c r="D47" s="3">
        <v>2</v>
      </c>
      <c r="E47" s="3">
        <v>3</v>
      </c>
      <c r="F47" s="3">
        <v>4</v>
      </c>
      <c r="G47" s="3">
        <v>5</v>
      </c>
      <c r="H47" s="3">
        <v>6</v>
      </c>
      <c r="I47" s="4">
        <v>7</v>
      </c>
    </row>
    <row r="48" spans="1:9">
      <c r="A48" s="5" t="s">
        <v>16</v>
      </c>
      <c r="B48" s="1">
        <v>0</v>
      </c>
      <c r="C48" s="1">
        <v>50</v>
      </c>
      <c r="D48" s="1">
        <v>150</v>
      </c>
      <c r="E48" s="1">
        <v>250</v>
      </c>
      <c r="F48" s="1">
        <v>250</v>
      </c>
      <c r="G48" s="1">
        <v>200</v>
      </c>
      <c r="H48" s="1">
        <v>180</v>
      </c>
      <c r="I48" s="6">
        <v>120</v>
      </c>
    </row>
    <row r="49" spans="1:9">
      <c r="A49" s="5" t="s">
        <v>17</v>
      </c>
      <c r="B49" s="1">
        <v>300</v>
      </c>
      <c r="C49" s="1">
        <v>100</v>
      </c>
      <c r="D49" s="1">
        <v>0</v>
      </c>
      <c r="E49" s="1">
        <v>50</v>
      </c>
      <c r="F49" s="1">
        <v>0</v>
      </c>
      <c r="G49" s="1">
        <v>50</v>
      </c>
      <c r="H49" s="1">
        <v>0</v>
      </c>
      <c r="I49" s="6">
        <v>50</v>
      </c>
    </row>
    <row r="50" spans="1:9">
      <c r="A50" s="5" t="s">
        <v>3</v>
      </c>
      <c r="B50" s="1">
        <f>B48-B49</f>
        <v>-300</v>
      </c>
      <c r="C50" s="1">
        <f t="shared" ref="C50" si="13">C48-C49</f>
        <v>-50</v>
      </c>
      <c r="D50" s="1">
        <f t="shared" ref="D50" si="14">D48-D49</f>
        <v>150</v>
      </c>
      <c r="E50" s="1">
        <f t="shared" ref="E50" si="15">E48-E49</f>
        <v>200</v>
      </c>
      <c r="F50" s="1">
        <f t="shared" ref="F50" si="16">F48-F49</f>
        <v>250</v>
      </c>
      <c r="G50" s="1">
        <f t="shared" ref="G50" si="17">G48-G49</f>
        <v>150</v>
      </c>
      <c r="H50" s="1">
        <f t="shared" ref="H50" si="18">H48-H49</f>
        <v>180</v>
      </c>
      <c r="I50" s="6">
        <f t="shared" ref="I50" si="19">I48-I49</f>
        <v>70</v>
      </c>
    </row>
    <row r="51" spans="1:9">
      <c r="A51" s="5" t="s">
        <v>5</v>
      </c>
      <c r="B51" s="1">
        <v>0.18</v>
      </c>
      <c r="C51" s="1"/>
      <c r="D51" s="1"/>
      <c r="E51" s="1"/>
      <c r="F51" s="1"/>
      <c r="G51" s="1"/>
      <c r="H51" s="1"/>
      <c r="I51" s="6"/>
    </row>
    <row r="52" spans="1:9">
      <c r="A52" s="5" t="s">
        <v>18</v>
      </c>
      <c r="B52" s="1">
        <f>1/(1+$B$36)^B47</f>
        <v>1</v>
      </c>
      <c r="C52" s="1">
        <f t="shared" ref="C52:I52" si="20">1/(1+$B$36)^C47</f>
        <v>0.84745762711864414</v>
      </c>
      <c r="D52" s="1">
        <f t="shared" si="20"/>
        <v>0.71818442976156283</v>
      </c>
      <c r="E52" s="1">
        <f t="shared" si="20"/>
        <v>0.6086308726792905</v>
      </c>
      <c r="F52" s="1">
        <f t="shared" si="20"/>
        <v>0.51578887515194116</v>
      </c>
      <c r="G52" s="1">
        <f t="shared" si="20"/>
        <v>0.43710921623045873</v>
      </c>
      <c r="H52" s="1">
        <f t="shared" si="20"/>
        <v>0.37043153917835481</v>
      </c>
      <c r="I52" s="6">
        <f t="shared" si="20"/>
        <v>0.31392503320199561</v>
      </c>
    </row>
    <row r="53" spans="1:9">
      <c r="A53" s="5" t="s">
        <v>6</v>
      </c>
      <c r="B53" s="1">
        <f>B50*B52</f>
        <v>-300</v>
      </c>
      <c r="C53" s="1">
        <f t="shared" ref="C53" si="21">C50*C52</f>
        <v>-42.372881355932208</v>
      </c>
      <c r="D53" s="1">
        <f t="shared" ref="D53" si="22">D50*D52</f>
        <v>107.72766446423442</v>
      </c>
      <c r="E53" s="1">
        <f t="shared" ref="E53" si="23">E50*E52</f>
        <v>121.72617453585811</v>
      </c>
      <c r="F53" s="1">
        <f t="shared" ref="F53" si="24">F50*F52</f>
        <v>128.94721878798529</v>
      </c>
      <c r="G53" s="1">
        <f t="shared" ref="G53" si="25">G50*G52</f>
        <v>65.566382434568808</v>
      </c>
      <c r="H53" s="1">
        <f t="shared" ref="H53" si="26">H50*H52</f>
        <v>66.67767705210386</v>
      </c>
      <c r="I53" s="6">
        <f t="shared" ref="I53" si="27">I50*I52</f>
        <v>21.974752324139693</v>
      </c>
    </row>
    <row r="54" spans="1:9">
      <c r="A54" s="5"/>
      <c r="B54" s="1"/>
      <c r="C54" s="1"/>
      <c r="D54" s="1"/>
      <c r="E54" s="1"/>
      <c r="F54" s="1"/>
      <c r="G54" s="1"/>
      <c r="H54" s="1"/>
      <c r="I54" s="6"/>
    </row>
    <row r="55" spans="1:9">
      <c r="A55" s="5" t="s">
        <v>19</v>
      </c>
      <c r="B55" s="1">
        <f>SUM(B53:I53)</f>
        <v>170.24698824295794</v>
      </c>
      <c r="C55" s="1"/>
      <c r="D55" s="1"/>
      <c r="E55" s="1"/>
      <c r="F55" s="1"/>
      <c r="G55" s="1"/>
      <c r="H55" s="1"/>
      <c r="I55" s="6"/>
    </row>
    <row r="56" spans="1:9">
      <c r="A56" s="5" t="s">
        <v>20</v>
      </c>
      <c r="B56" s="1">
        <f>SUMPRODUCT(B49:I49,B52:I52)</f>
        <v>452.72901881745167</v>
      </c>
      <c r="C56" s="1"/>
      <c r="D56" s="1"/>
      <c r="E56" s="1"/>
      <c r="F56" s="1"/>
      <c r="G56" s="1"/>
      <c r="H56" s="1"/>
      <c r="I56" s="6"/>
    </row>
    <row r="57" spans="1:9">
      <c r="A57" s="5" t="s">
        <v>21</v>
      </c>
      <c r="B57" s="1">
        <f>SUMPRODUCT(B48:I48,B52:I52)</f>
        <v>622.97600706040964</v>
      </c>
      <c r="C57" s="1"/>
      <c r="D57" s="1"/>
      <c r="E57" s="1"/>
      <c r="F57" s="1"/>
      <c r="G57" s="1"/>
      <c r="H57" s="1"/>
      <c r="I57" s="6"/>
    </row>
    <row r="58" spans="1:9">
      <c r="A58" s="5" t="s">
        <v>10</v>
      </c>
      <c r="B58" s="1">
        <f>B57/B56</f>
        <v>1.3760461140477602</v>
      </c>
      <c r="C58" s="1"/>
      <c r="D58" s="1"/>
      <c r="E58" s="1"/>
      <c r="F58" s="1"/>
      <c r="G58" s="1"/>
      <c r="H58" s="1"/>
      <c r="I58" s="6"/>
    </row>
    <row r="59" spans="1:9">
      <c r="A59" s="7" t="s">
        <v>11</v>
      </c>
      <c r="B59" s="8">
        <f>B55/B56</f>
        <v>0.37604611404776006</v>
      </c>
      <c r="C59" s="8"/>
      <c r="D59" s="8"/>
      <c r="E59" s="8"/>
      <c r="F59" s="8"/>
      <c r="G59" s="8"/>
      <c r="H59" s="8"/>
      <c r="I59" s="9"/>
    </row>
    <row r="61" spans="1:9">
      <c r="A61" s="10" t="s">
        <v>23</v>
      </c>
    </row>
    <row r="62" spans="1:9">
      <c r="A62" s="2" t="s">
        <v>0</v>
      </c>
      <c r="B62" s="3">
        <v>0</v>
      </c>
      <c r="C62" s="3">
        <v>1</v>
      </c>
      <c r="D62" s="3">
        <v>2</v>
      </c>
      <c r="E62" s="3">
        <v>3</v>
      </c>
      <c r="F62" s="3">
        <v>4</v>
      </c>
      <c r="G62" s="3">
        <v>5</v>
      </c>
      <c r="H62" s="3">
        <v>6</v>
      </c>
      <c r="I62" s="4">
        <v>7</v>
      </c>
    </row>
    <row r="63" spans="1:9">
      <c r="A63" s="5" t="s">
        <v>1</v>
      </c>
      <c r="B63" s="1">
        <v>5000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6">
        <v>0</v>
      </c>
    </row>
    <row r="64" spans="1:9">
      <c r="A64" s="5" t="s">
        <v>2</v>
      </c>
      <c r="B64" s="1">
        <v>0</v>
      </c>
      <c r="C64" s="1">
        <v>1000</v>
      </c>
      <c r="D64" s="1">
        <v>1000</v>
      </c>
      <c r="E64" s="1">
        <v>1000</v>
      </c>
      <c r="F64" s="1">
        <v>1000</v>
      </c>
      <c r="G64" s="1">
        <v>1000</v>
      </c>
      <c r="H64" s="1">
        <v>1000</v>
      </c>
      <c r="I64" s="6">
        <v>1000</v>
      </c>
    </row>
    <row r="65" spans="1:9">
      <c r="A65" s="5" t="s">
        <v>3</v>
      </c>
      <c r="B65" s="1">
        <f>B64-B63</f>
        <v>-5000</v>
      </c>
      <c r="C65" s="1">
        <f t="shared" ref="C65:I65" si="28">C64-C63</f>
        <v>1000</v>
      </c>
      <c r="D65" s="1">
        <f t="shared" si="28"/>
        <v>1000</v>
      </c>
      <c r="E65" s="1">
        <f t="shared" si="28"/>
        <v>1000</v>
      </c>
      <c r="F65" s="1">
        <f t="shared" si="28"/>
        <v>1000</v>
      </c>
      <c r="G65" s="1">
        <f t="shared" si="28"/>
        <v>1000</v>
      </c>
      <c r="H65" s="1">
        <f t="shared" si="28"/>
        <v>1000</v>
      </c>
      <c r="I65" s="6">
        <f t="shared" si="28"/>
        <v>1000</v>
      </c>
    </row>
    <row r="66" spans="1:9">
      <c r="A66" s="12" t="s">
        <v>5</v>
      </c>
      <c r="B66" s="1">
        <v>0.1</v>
      </c>
      <c r="C66" s="1"/>
      <c r="D66" s="1"/>
      <c r="E66" s="1"/>
      <c r="F66" s="1"/>
      <c r="G66" s="1"/>
      <c r="H66" s="1"/>
      <c r="I66" s="6"/>
    </row>
    <row r="67" spans="1:9">
      <c r="A67" s="5" t="s">
        <v>18</v>
      </c>
      <c r="B67" s="1">
        <f>1/(1+$B$66)^C62</f>
        <v>0.90909090909090906</v>
      </c>
      <c r="C67" s="1">
        <f t="shared" ref="C67:I67" si="29">1/(1+$B$66)^D62</f>
        <v>0.82644628099173545</v>
      </c>
      <c r="D67" s="1">
        <f t="shared" si="29"/>
        <v>0.75131480090157754</v>
      </c>
      <c r="E67" s="1">
        <f t="shared" si="29"/>
        <v>0.68301345536507052</v>
      </c>
      <c r="F67" s="1">
        <f t="shared" si="29"/>
        <v>0.62092132305915493</v>
      </c>
      <c r="G67" s="1">
        <f t="shared" si="29"/>
        <v>0.56447393005377722</v>
      </c>
      <c r="H67" s="1">
        <f t="shared" si="29"/>
        <v>0.51315811823070645</v>
      </c>
      <c r="I67" s="6">
        <f t="shared" si="29"/>
        <v>1</v>
      </c>
    </row>
    <row r="68" spans="1:9">
      <c r="A68" s="5" t="s">
        <v>6</v>
      </c>
      <c r="B68" s="1">
        <f>B65*B67</f>
        <v>-4545.454545454545</v>
      </c>
      <c r="C68" s="1">
        <f t="shared" ref="C68:I68" si="30">C65*C67</f>
        <v>826.44628099173542</v>
      </c>
      <c r="D68" s="1">
        <f t="shared" si="30"/>
        <v>751.31480090157754</v>
      </c>
      <c r="E68" s="1">
        <f t="shared" si="30"/>
        <v>683.01345536507051</v>
      </c>
      <c r="F68" s="1">
        <f t="shared" si="30"/>
        <v>620.92132305915493</v>
      </c>
      <c r="G68" s="1">
        <f t="shared" si="30"/>
        <v>564.47393005377717</v>
      </c>
      <c r="H68" s="1">
        <f t="shared" si="30"/>
        <v>513.15811823070646</v>
      </c>
      <c r="I68" s="6">
        <f t="shared" si="30"/>
        <v>1000</v>
      </c>
    </row>
    <row r="69" spans="1:9">
      <c r="A69" s="5" t="s">
        <v>24</v>
      </c>
      <c r="B69" s="1">
        <f>B68</f>
        <v>-4545.454545454545</v>
      </c>
      <c r="C69" s="1">
        <f>C68+B69</f>
        <v>-3719.0082644628096</v>
      </c>
      <c r="D69" s="1">
        <f t="shared" ref="D69:I69" si="31">D68+C69</f>
        <v>-2967.693463561232</v>
      </c>
      <c r="E69" s="1">
        <f t="shared" si="31"/>
        <v>-2284.6800081961615</v>
      </c>
      <c r="F69" s="1">
        <f t="shared" si="31"/>
        <v>-1663.7586851370065</v>
      </c>
      <c r="G69" s="1">
        <f t="shared" si="31"/>
        <v>-1099.2847550832294</v>
      </c>
      <c r="H69" s="1">
        <f t="shared" si="31"/>
        <v>-586.12663685252289</v>
      </c>
      <c r="I69" s="6">
        <f t="shared" si="31"/>
        <v>413.87336314747711</v>
      </c>
    </row>
    <row r="70" spans="1:9">
      <c r="A70" s="5"/>
      <c r="B70" s="1"/>
      <c r="C70" s="1"/>
      <c r="D70" s="1"/>
      <c r="E70" s="1"/>
      <c r="F70" s="1"/>
      <c r="G70" s="1"/>
      <c r="H70" s="1"/>
      <c r="I70" s="6"/>
    </row>
    <row r="71" spans="1:9">
      <c r="A71" s="5" t="s">
        <v>25</v>
      </c>
      <c r="B71" s="1" cm="1">
        <f t="array" ref="B71">MAX(IF($B$69:$H$69&lt;0,$B$62:$H$62))</f>
        <v>6</v>
      </c>
      <c r="C71" s="1"/>
      <c r="D71" s="1"/>
      <c r="E71" s="1"/>
      <c r="F71" s="1"/>
      <c r="G71" s="1"/>
      <c r="H71" s="1"/>
      <c r="I71" s="6"/>
    </row>
    <row r="72" spans="1:9" ht="27.6">
      <c r="A72" s="13" t="s">
        <v>26</v>
      </c>
      <c r="B72" s="1" cm="1">
        <f t="array" ref="B72">INDEX($B$69:$H$69,1,B71+1)</f>
        <v>-586.12663685252289</v>
      </c>
      <c r="C72" s="1"/>
      <c r="D72" s="1"/>
      <c r="E72" s="1"/>
      <c r="F72" s="1"/>
      <c r="G72" s="1"/>
      <c r="H72" s="1"/>
      <c r="I72" s="6"/>
    </row>
    <row r="73" spans="1:9" ht="27.6">
      <c r="A73" s="13" t="s">
        <v>27</v>
      </c>
      <c r="B73" s="1" cm="1">
        <f t="array" ref="B73">INDEX($B$68:$I$68,1,B71+2)</f>
        <v>1000</v>
      </c>
      <c r="C73" s="1"/>
      <c r="D73" s="1"/>
      <c r="E73" s="1"/>
      <c r="F73" s="1"/>
      <c r="G73" s="1"/>
      <c r="H73" s="1"/>
      <c r="I73" s="6"/>
    </row>
    <row r="74" spans="1:9" ht="27.6">
      <c r="A74" s="13" t="s">
        <v>28</v>
      </c>
      <c r="B74" s="1">
        <f>ABS(B72)/B73</f>
        <v>0.58612663685252286</v>
      </c>
      <c r="C74" s="1"/>
      <c r="D74" s="1"/>
      <c r="E74" s="1"/>
      <c r="F74" s="1"/>
      <c r="G74" s="1"/>
      <c r="H74" s="1"/>
      <c r="I74" s="6"/>
    </row>
    <row r="75" spans="1:9">
      <c r="A75" s="7" t="s">
        <v>29</v>
      </c>
      <c r="B75" s="8">
        <f>B71+B74</f>
        <v>6.5861266368525229</v>
      </c>
      <c r="C75" s="8"/>
      <c r="D75" s="8"/>
      <c r="E75" s="8"/>
      <c r="F75" s="8"/>
      <c r="G75" s="8"/>
      <c r="H75" s="8"/>
      <c r="I75" s="9"/>
    </row>
    <row r="77" spans="1:9">
      <c r="A77" s="10" t="s">
        <v>30</v>
      </c>
    </row>
    <row r="78" spans="1:9">
      <c r="A78" s="2" t="s">
        <v>0</v>
      </c>
      <c r="B78" s="3">
        <v>0</v>
      </c>
      <c r="C78" s="3">
        <v>1</v>
      </c>
      <c r="D78" s="3">
        <v>2</v>
      </c>
      <c r="E78" s="3">
        <v>3</v>
      </c>
      <c r="F78" s="3">
        <v>4</v>
      </c>
      <c r="G78" s="4">
        <v>5</v>
      </c>
    </row>
    <row r="79" spans="1:9">
      <c r="A79" s="5" t="s">
        <v>1</v>
      </c>
      <c r="B79" s="1">
        <v>100</v>
      </c>
      <c r="C79" s="1">
        <v>0</v>
      </c>
      <c r="D79" s="1">
        <v>0</v>
      </c>
      <c r="E79" s="1">
        <v>0</v>
      </c>
      <c r="F79" s="1">
        <v>0</v>
      </c>
      <c r="G79" s="6">
        <v>0</v>
      </c>
    </row>
    <row r="80" spans="1:9">
      <c r="A80" s="5" t="s">
        <v>2</v>
      </c>
      <c r="B80" s="1">
        <v>0</v>
      </c>
      <c r="C80" s="1">
        <v>30</v>
      </c>
      <c r="D80" s="1">
        <v>30</v>
      </c>
      <c r="E80" s="1">
        <v>30</v>
      </c>
      <c r="F80" s="1">
        <v>40</v>
      </c>
      <c r="G80" s="6">
        <v>40</v>
      </c>
    </row>
    <row r="81" spans="1:7">
      <c r="A81" s="5" t="s">
        <v>3</v>
      </c>
      <c r="B81" s="1">
        <f>B80-B79</f>
        <v>-100</v>
      </c>
      <c r="C81" s="1">
        <f t="shared" ref="C81:G81" si="32">C80-C79</f>
        <v>30</v>
      </c>
      <c r="D81" s="1">
        <f t="shared" si="32"/>
        <v>30</v>
      </c>
      <c r="E81" s="1">
        <f t="shared" si="32"/>
        <v>30</v>
      </c>
      <c r="F81" s="1">
        <f t="shared" si="32"/>
        <v>40</v>
      </c>
      <c r="G81" s="6">
        <f t="shared" si="32"/>
        <v>40</v>
      </c>
    </row>
    <row r="82" spans="1:7">
      <c r="A82" s="12" t="s">
        <v>5</v>
      </c>
      <c r="B82" s="1">
        <v>0.17</v>
      </c>
      <c r="C82" s="1"/>
      <c r="D82" s="1"/>
      <c r="E82" s="1"/>
      <c r="F82" s="1"/>
      <c r="G82" s="6"/>
    </row>
    <row r="83" spans="1:7">
      <c r="A83" s="5" t="s">
        <v>18</v>
      </c>
      <c r="B83" s="1">
        <f>1/(1+$B$82)^B78</f>
        <v>1</v>
      </c>
      <c r="C83" s="1">
        <f t="shared" ref="C83:G83" si="33">1/(1+$B$82)^C78</f>
        <v>0.85470085470085477</v>
      </c>
      <c r="D83" s="1">
        <f t="shared" si="33"/>
        <v>0.73051355102637161</v>
      </c>
      <c r="E83" s="1">
        <f t="shared" si="33"/>
        <v>0.62437055643279626</v>
      </c>
      <c r="F83" s="1">
        <f t="shared" si="33"/>
        <v>0.53365004823315931</v>
      </c>
      <c r="G83" s="6">
        <f t="shared" si="33"/>
        <v>0.45611115233603361</v>
      </c>
    </row>
    <row r="84" spans="1:7">
      <c r="A84" s="5" t="s">
        <v>6</v>
      </c>
      <c r="B84" s="1">
        <f>B81*B83</f>
        <v>-100</v>
      </c>
      <c r="C84" s="1">
        <f t="shared" ref="C84:G84" si="34">C81*C83</f>
        <v>25.641025641025642</v>
      </c>
      <c r="D84" s="1">
        <f t="shared" si="34"/>
        <v>21.915406530791149</v>
      </c>
      <c r="E84" s="1">
        <f t="shared" si="34"/>
        <v>18.731116692983889</v>
      </c>
      <c r="F84" s="1">
        <f t="shared" si="34"/>
        <v>21.346001929326373</v>
      </c>
      <c r="G84" s="6">
        <f t="shared" si="34"/>
        <v>18.244446093441343</v>
      </c>
    </row>
    <row r="85" spans="1:7">
      <c r="A85" s="12" t="s">
        <v>24</v>
      </c>
      <c r="B85" s="1">
        <f>B84</f>
        <v>-100</v>
      </c>
      <c r="C85" s="1">
        <f>C84+B85</f>
        <v>-74.358974358974365</v>
      </c>
      <c r="D85" s="1">
        <f t="shared" ref="D85:G85" si="35">D84+C85</f>
        <v>-52.44356782818322</v>
      </c>
      <c r="E85" s="1">
        <f t="shared" si="35"/>
        <v>-33.712451135199331</v>
      </c>
      <c r="F85" s="1">
        <f t="shared" si="35"/>
        <v>-12.366449205872957</v>
      </c>
      <c r="G85" s="6">
        <f t="shared" si="35"/>
        <v>5.8779968875683863</v>
      </c>
    </row>
    <row r="86" spans="1:7">
      <c r="A86" s="5"/>
      <c r="B86" s="1"/>
      <c r="C86" s="1"/>
      <c r="D86" s="1"/>
      <c r="E86" s="1"/>
      <c r="F86" s="1"/>
      <c r="G86" s="6"/>
    </row>
    <row r="87" spans="1:7">
      <c r="A87" s="5" t="s">
        <v>31</v>
      </c>
      <c r="B87" s="1" cm="1">
        <f t="array" ref="B87">4 + ABS(INDEX(B85:G85,1,5-1))/INDEX(B84:G84,1,5)</f>
        <v>5.5793332749999998</v>
      </c>
      <c r="C87" s="1"/>
      <c r="D87" s="1"/>
      <c r="E87" s="1"/>
      <c r="F87" s="1"/>
      <c r="G87" s="6"/>
    </row>
    <row r="88" spans="1:7" ht="13.8" customHeight="1">
      <c r="A88" s="14" t="str">
        <f xml:space="preserve"> "Dự án thu hồi vốn chiết khấu sau khoảng " &amp; ROUND(B87,2) &amp; " năm."</f>
        <v>Dự án thu hồi vốn chiết khấu sau khoảng 5.58 năm.</v>
      </c>
      <c r="B88" s="15"/>
      <c r="C88" s="15"/>
      <c r="D88" s="15"/>
      <c r="E88" s="15"/>
      <c r="F88" s="15"/>
      <c r="G88" s="16"/>
    </row>
    <row r="90" spans="1:7">
      <c r="A90" s="10" t="s">
        <v>32</v>
      </c>
    </row>
    <row r="91" spans="1:7">
      <c r="A91" s="2" t="s">
        <v>0</v>
      </c>
      <c r="B91" s="3" t="s">
        <v>33</v>
      </c>
      <c r="C91" s="3" t="s">
        <v>34</v>
      </c>
      <c r="D91" s="4" t="s">
        <v>5</v>
      </c>
    </row>
    <row r="92" spans="1:7">
      <c r="A92" s="18">
        <v>2</v>
      </c>
      <c r="B92" s="19">
        <v>100000000</v>
      </c>
      <c r="C92" s="1">
        <f>B92*(1+$D$92)</f>
        <v>117000000</v>
      </c>
      <c r="D92" s="6">
        <v>0.17</v>
      </c>
    </row>
    <row r="93" spans="1:7">
      <c r="A93" s="18">
        <v>5</v>
      </c>
      <c r="B93" s="1">
        <v>300000000</v>
      </c>
      <c r="C93" s="1">
        <f>B93/(1+$D$92)^2</f>
        <v>219154065.30791149</v>
      </c>
      <c r="D93" s="6"/>
    </row>
    <row r="94" spans="1:7">
      <c r="A94" s="20" t="s">
        <v>35</v>
      </c>
      <c r="B94" s="21">
        <f>B92+B93</f>
        <v>400000000</v>
      </c>
      <c r="C94" s="8">
        <f>SUM(C92:C93)</f>
        <v>336154065.30791152</v>
      </c>
      <c r="D94" s="9"/>
    </row>
    <row r="95" spans="1:7">
      <c r="A95" s="17"/>
    </row>
    <row r="96" spans="1:7">
      <c r="A96" s="10" t="s">
        <v>36</v>
      </c>
    </row>
    <row r="97" spans="1:13">
      <c r="A97" s="2" t="s">
        <v>37</v>
      </c>
      <c r="B97" s="3" t="s">
        <v>38</v>
      </c>
      <c r="C97" s="3" t="s">
        <v>39</v>
      </c>
      <c r="D97" s="3" t="s">
        <v>40</v>
      </c>
      <c r="E97" s="3" t="s">
        <v>41</v>
      </c>
      <c r="F97" s="3" t="s">
        <v>42</v>
      </c>
      <c r="G97" s="3" t="s">
        <v>43</v>
      </c>
      <c r="H97" s="3" t="s">
        <v>44</v>
      </c>
      <c r="I97" s="3" t="s">
        <v>49</v>
      </c>
      <c r="J97" s="4" t="s">
        <v>50</v>
      </c>
    </row>
    <row r="98" spans="1:13">
      <c r="A98" s="22" t="s">
        <v>45</v>
      </c>
      <c r="B98" s="26">
        <v>5</v>
      </c>
      <c r="C98" s="1">
        <v>5</v>
      </c>
      <c r="D98" s="1">
        <v>4</v>
      </c>
      <c r="E98" s="1">
        <v>3</v>
      </c>
      <c r="F98" s="1">
        <v>1</v>
      </c>
      <c r="G98" s="1">
        <v>3</v>
      </c>
      <c r="H98" s="1"/>
      <c r="I98" s="1">
        <f>MAX(H98:H103)</f>
        <v>112</v>
      </c>
      <c r="J98" s="6">
        <f>MIN(H98:H103)</f>
        <v>56</v>
      </c>
    </row>
    <row r="99" spans="1:13">
      <c r="A99" s="22" t="s">
        <v>13</v>
      </c>
      <c r="B99" s="1">
        <v>9</v>
      </c>
      <c r="C99" s="1">
        <v>5</v>
      </c>
      <c r="D99" s="1">
        <v>2</v>
      </c>
      <c r="E99" s="1">
        <v>0</v>
      </c>
      <c r="F99" s="1">
        <v>2</v>
      </c>
      <c r="G99" s="1">
        <v>5</v>
      </c>
      <c r="H99" s="1">
        <f xml:space="preserve"> B99*$B$98 + C99*$C$98 + D99*$D$98 + E99*$E$98 + F99*$F$98 + G99*$G$98</f>
        <v>95</v>
      </c>
      <c r="I99" s="1"/>
      <c r="J99" s="6"/>
    </row>
    <row r="100" spans="1:13">
      <c r="A100" s="22" t="s">
        <v>12</v>
      </c>
      <c r="B100" s="1">
        <v>2</v>
      </c>
      <c r="C100" s="1">
        <v>6</v>
      </c>
      <c r="D100" s="1">
        <v>2</v>
      </c>
      <c r="E100" s="1">
        <v>0</v>
      </c>
      <c r="F100" s="1">
        <v>5</v>
      </c>
      <c r="G100" s="1">
        <v>1</v>
      </c>
      <c r="H100" s="23">
        <f t="shared" ref="H100:H103" si="36" xml:space="preserve"> B100*$B$98 + C100*$C$98 + D100*$D$98 + E100*$E$98 + F100*$F$98 + G100*$G$98</f>
        <v>56</v>
      </c>
      <c r="I100" s="1"/>
      <c r="J100" s="6"/>
    </row>
    <row r="101" spans="1:13">
      <c r="A101" s="22" t="s">
        <v>46</v>
      </c>
      <c r="B101" s="1">
        <v>6</v>
      </c>
      <c r="C101" s="1">
        <v>8</v>
      </c>
      <c r="D101" s="1">
        <v>2</v>
      </c>
      <c r="E101" s="1">
        <v>2</v>
      </c>
      <c r="F101" s="1">
        <v>6</v>
      </c>
      <c r="G101" s="1">
        <v>0</v>
      </c>
      <c r="H101" s="11">
        <f t="shared" si="36"/>
        <v>90</v>
      </c>
      <c r="I101" s="1"/>
      <c r="J101" s="6"/>
    </row>
    <row r="102" spans="1:13">
      <c r="A102" s="22" t="s">
        <v>47</v>
      </c>
      <c r="B102" s="1">
        <v>1</v>
      </c>
      <c r="C102" s="1">
        <v>1</v>
      </c>
      <c r="D102" s="1">
        <v>5</v>
      </c>
      <c r="E102" s="1">
        <v>10</v>
      </c>
      <c r="F102" s="1">
        <v>5</v>
      </c>
      <c r="G102" s="1">
        <v>0</v>
      </c>
      <c r="H102" s="11">
        <f t="shared" si="36"/>
        <v>65</v>
      </c>
      <c r="I102" s="1"/>
      <c r="J102" s="6"/>
    </row>
    <row r="103" spans="1:13">
      <c r="A103" s="24" t="s">
        <v>48</v>
      </c>
      <c r="B103" s="8">
        <v>3</v>
      </c>
      <c r="C103" s="8">
        <v>10</v>
      </c>
      <c r="D103" s="8">
        <v>9</v>
      </c>
      <c r="E103" s="8">
        <v>1</v>
      </c>
      <c r="F103" s="8">
        <v>8</v>
      </c>
      <c r="G103" s="8">
        <v>0</v>
      </c>
      <c r="H103" s="25">
        <f t="shared" si="36"/>
        <v>112</v>
      </c>
      <c r="I103" s="8"/>
      <c r="J103" s="9"/>
    </row>
    <row r="105" spans="1:13">
      <c r="A105" s="10" t="s">
        <v>51</v>
      </c>
    </row>
    <row r="106" spans="1:13">
      <c r="A106" s="2" t="s">
        <v>52</v>
      </c>
      <c r="B106" s="3">
        <v>1</v>
      </c>
      <c r="C106" s="3">
        <v>2</v>
      </c>
      <c r="D106" s="3">
        <v>3</v>
      </c>
      <c r="E106" s="3">
        <v>4</v>
      </c>
      <c r="F106" s="3">
        <v>5</v>
      </c>
      <c r="G106" s="3">
        <v>6</v>
      </c>
      <c r="H106" s="3">
        <v>7</v>
      </c>
      <c r="I106" s="3">
        <v>8</v>
      </c>
      <c r="J106" s="3">
        <v>9</v>
      </c>
      <c r="K106" s="3">
        <v>10</v>
      </c>
      <c r="L106" s="3">
        <v>11</v>
      </c>
      <c r="M106" s="4">
        <v>12</v>
      </c>
    </row>
    <row r="107" spans="1:13">
      <c r="A107" t="s">
        <v>53</v>
      </c>
      <c r="B107" s="1">
        <v>25000000</v>
      </c>
      <c r="C107" s="1">
        <v>25000000</v>
      </c>
      <c r="D107" s="1">
        <v>25000000</v>
      </c>
      <c r="E107" s="1">
        <v>25000000</v>
      </c>
      <c r="F107" s="1">
        <v>25000000</v>
      </c>
      <c r="G107" s="1">
        <v>25000000</v>
      </c>
      <c r="H107" s="1">
        <v>25000000</v>
      </c>
      <c r="I107" s="1">
        <v>25000000</v>
      </c>
      <c r="J107" s="1">
        <v>25000000</v>
      </c>
      <c r="K107" s="1">
        <v>25000000</v>
      </c>
      <c r="L107" s="1">
        <v>25000000</v>
      </c>
      <c r="M107" s="6">
        <v>25000000</v>
      </c>
    </row>
    <row r="108" spans="1:13">
      <c r="A108" t="s">
        <v>56</v>
      </c>
      <c r="B108" s="1">
        <v>1.4999999999999999E-2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6"/>
    </row>
    <row r="109" spans="1:13">
      <c r="A109" t="s">
        <v>18</v>
      </c>
      <c r="B109" s="1">
        <f>1/(1+$B$108)^B106</f>
        <v>0.98522167487684742</v>
      </c>
      <c r="C109" s="1">
        <f t="shared" ref="C109:M109" si="37">1/(1+$B$108)^C106</f>
        <v>0.9706617486471405</v>
      </c>
      <c r="D109" s="1">
        <f t="shared" si="37"/>
        <v>0.95631699374102519</v>
      </c>
      <c r="E109" s="1">
        <f t="shared" si="37"/>
        <v>0.94218423028672449</v>
      </c>
      <c r="F109" s="1">
        <f t="shared" si="37"/>
        <v>0.92826032540563996</v>
      </c>
      <c r="G109" s="1">
        <f t="shared" si="37"/>
        <v>0.91454219251787205</v>
      </c>
      <c r="H109" s="1">
        <f t="shared" si="37"/>
        <v>0.90102679065800217</v>
      </c>
      <c r="I109" s="1">
        <f t="shared" si="37"/>
        <v>0.88771112380098749</v>
      </c>
      <c r="J109" s="1">
        <f t="shared" si="37"/>
        <v>0.87459224019801729</v>
      </c>
      <c r="K109" s="1">
        <f t="shared" si="37"/>
        <v>0.86166723172218462</v>
      </c>
      <c r="L109" s="1">
        <f t="shared" si="37"/>
        <v>0.8489332332238273</v>
      </c>
      <c r="M109" s="6">
        <f t="shared" si="37"/>
        <v>0.83638742189539661</v>
      </c>
    </row>
    <row r="110" spans="1:13">
      <c r="A110" s="5" t="s">
        <v>54</v>
      </c>
      <c r="B110" s="1">
        <f>B107*B109</f>
        <v>24630541.871921185</v>
      </c>
      <c r="C110" s="1">
        <f t="shared" ref="C110:M110" si="38">C107*C109</f>
        <v>24266543.716178514</v>
      </c>
      <c r="D110" s="1">
        <f t="shared" si="38"/>
        <v>23907924.843525629</v>
      </c>
      <c r="E110" s="1">
        <f t="shared" si="38"/>
        <v>23554605.75716811</v>
      </c>
      <c r="F110" s="1">
        <f t="shared" si="38"/>
        <v>23206508.135141</v>
      </c>
      <c r="G110" s="1">
        <f t="shared" si="38"/>
        <v>22863554.8129468</v>
      </c>
      <c r="H110" s="1">
        <f t="shared" si="38"/>
        <v>22525669.766450055</v>
      </c>
      <c r="I110" s="1">
        <f t="shared" si="38"/>
        <v>22192778.095024686</v>
      </c>
      <c r="J110" s="1">
        <f t="shared" si="38"/>
        <v>21864806.004950434</v>
      </c>
      <c r="K110" s="1">
        <f t="shared" si="38"/>
        <v>21541680.793054614</v>
      </c>
      <c r="L110" s="1">
        <f t="shared" si="38"/>
        <v>21223330.830595683</v>
      </c>
      <c r="M110" s="6">
        <f t="shared" si="38"/>
        <v>20909685.547384914</v>
      </c>
    </row>
    <row r="111" spans="1:13">
      <c r="A111" s="7" t="s">
        <v>55</v>
      </c>
      <c r="B111" s="8">
        <f>SUM(B110:M110)</f>
        <v>272687630.17434162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9"/>
    </row>
    <row r="113" spans="1:5">
      <c r="A113" s="10" t="s">
        <v>57</v>
      </c>
    </row>
    <row r="114" spans="1:5">
      <c r="A114" s="2" t="s">
        <v>58</v>
      </c>
      <c r="B114" s="3">
        <v>100</v>
      </c>
      <c r="C114" s="3"/>
      <c r="D114" s="3"/>
      <c r="E114" s="4"/>
    </row>
    <row r="115" spans="1:5">
      <c r="A115" s="5" t="s">
        <v>59</v>
      </c>
      <c r="B115" s="1">
        <v>0.12</v>
      </c>
      <c r="C115" s="1"/>
      <c r="D115" s="1"/>
      <c r="E115" s="6"/>
    </row>
    <row r="116" spans="1:5">
      <c r="A116" s="27" t="s">
        <v>60</v>
      </c>
      <c r="B116" s="1">
        <v>10</v>
      </c>
      <c r="C116" s="1"/>
      <c r="D116" s="1"/>
      <c r="E116" s="6"/>
    </row>
    <row r="117" spans="1:5">
      <c r="A117" s="5" t="s">
        <v>61</v>
      </c>
      <c r="B117" s="1">
        <v>7</v>
      </c>
      <c r="C117" s="1"/>
      <c r="D117" s="1"/>
      <c r="E117" s="6"/>
    </row>
    <row r="118" spans="1:5">
      <c r="A118" s="5" t="s">
        <v>62</v>
      </c>
      <c r="B118" s="1">
        <v>5</v>
      </c>
      <c r="C118" s="1"/>
      <c r="D118" s="1"/>
      <c r="E118" s="6"/>
    </row>
    <row r="119" spans="1:5">
      <c r="A119" s="5" t="s">
        <v>63</v>
      </c>
      <c r="B119" s="1">
        <f xml:space="preserve"> B114*(1+$B$115)^$B$117 - B116 * ( (1+$B$115)^$B$117 - 1 ) / $B$115</f>
        <v>120.178023456768</v>
      </c>
      <c r="C119" s="1"/>
      <c r="D119" s="1"/>
      <c r="E119" s="6"/>
    </row>
    <row r="120" spans="1:5" ht="27.6">
      <c r="A120" s="13" t="s">
        <v>64</v>
      </c>
      <c r="B120" s="1">
        <f xml:space="preserve"> B119 * $B$115 / (1 - (1+$B$115)^(-$B$118))</f>
        <v>33.338553272347077</v>
      </c>
      <c r="C120" s="1"/>
      <c r="D120" s="1"/>
      <c r="E120" s="6"/>
    </row>
    <row r="121" spans="1:5">
      <c r="A121" s="28" t="s">
        <v>65</v>
      </c>
      <c r="B121" s="1"/>
      <c r="C121" s="1"/>
      <c r="D121" s="1"/>
      <c r="E121" s="6"/>
    </row>
    <row r="122" spans="1:5">
      <c r="A122" s="5" t="s">
        <v>15</v>
      </c>
      <c r="B122" s="1" t="s">
        <v>66</v>
      </c>
      <c r="C122" s="1" t="s">
        <v>67</v>
      </c>
      <c r="D122" s="1" t="s">
        <v>68</v>
      </c>
      <c r="E122" s="6" t="s">
        <v>69</v>
      </c>
    </row>
    <row r="123" spans="1:5">
      <c r="A123" s="5">
        <v>1</v>
      </c>
      <c r="B123" s="1">
        <f xml:space="preserve"> $B$119</f>
        <v>120.178023456768</v>
      </c>
      <c r="C123" s="1">
        <f xml:space="preserve"> B123 * $B$115</f>
        <v>14.421362814812159</v>
      </c>
      <c r="D123" s="1">
        <f xml:space="preserve"> $B$120</f>
        <v>33.338553272347077</v>
      </c>
      <c r="E123" s="6">
        <f xml:space="preserve"> B123 + C123 - D123</f>
        <v>101.26083299923309</v>
      </c>
    </row>
    <row r="124" spans="1:5">
      <c r="A124" s="5">
        <f xml:space="preserve"> A123 + 1</f>
        <v>2</v>
      </c>
      <c r="B124" s="1">
        <f xml:space="preserve"> E123</f>
        <v>101.26083299923309</v>
      </c>
      <c r="C124" s="1">
        <f xml:space="preserve"> B124 * $B$115</f>
        <v>12.15129995990797</v>
      </c>
      <c r="D124" s="1">
        <f xml:space="preserve"> $B$120</f>
        <v>33.338553272347077</v>
      </c>
      <c r="E124" s="6">
        <f xml:space="preserve"> B124 + C124 - D124</f>
        <v>80.073579686793977</v>
      </c>
    </row>
    <row r="125" spans="1:5">
      <c r="A125" s="5">
        <f t="shared" ref="A125:A129" si="39" xml:space="preserve"> A124 + 1</f>
        <v>3</v>
      </c>
      <c r="B125" s="1">
        <f t="shared" ref="B125:B129" si="40" xml:space="preserve"> E124</f>
        <v>80.073579686793977</v>
      </c>
      <c r="C125" s="1">
        <f t="shared" ref="C125:C129" si="41" xml:space="preserve"> B125 * $B$115</f>
        <v>9.6088295624152771</v>
      </c>
      <c r="D125" s="1">
        <f t="shared" ref="D125:D129" si="42" xml:space="preserve"> $B$120</f>
        <v>33.338553272347077</v>
      </c>
      <c r="E125" s="6">
        <f t="shared" ref="E125:E129" si="43" xml:space="preserve"> B125 + C125 - D125</f>
        <v>56.34385597686218</v>
      </c>
    </row>
    <row r="126" spans="1:5">
      <c r="A126" s="5">
        <f t="shared" si="39"/>
        <v>4</v>
      </c>
      <c r="B126" s="1">
        <f t="shared" si="40"/>
        <v>56.34385597686218</v>
      </c>
      <c r="C126" s="1">
        <f t="shared" si="41"/>
        <v>6.7612627172234614</v>
      </c>
      <c r="D126" s="1">
        <f t="shared" si="42"/>
        <v>33.338553272347077</v>
      </c>
      <c r="E126" s="6">
        <f t="shared" si="43"/>
        <v>29.766565421738562</v>
      </c>
    </row>
    <row r="127" spans="1:5">
      <c r="A127" s="7">
        <f t="shared" si="39"/>
        <v>5</v>
      </c>
      <c r="B127" s="8">
        <f t="shared" si="40"/>
        <v>29.766565421738562</v>
      </c>
      <c r="C127" s="8">
        <f t="shared" si="41"/>
        <v>3.5719878506086276</v>
      </c>
      <c r="D127" s="8">
        <f t="shared" si="42"/>
        <v>33.338553272347077</v>
      </c>
      <c r="E127" s="9">
        <f t="shared" si="43"/>
        <v>1.1368683772161603E-13</v>
      </c>
    </row>
  </sheetData>
  <mergeCells count="1">
    <mergeCell ref="A88:G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truc141004@gmail.com</dc:creator>
  <cp:lastModifiedBy>truc141004@gmail.com</cp:lastModifiedBy>
  <dcterms:created xsi:type="dcterms:W3CDTF">2025-09-18T08:48:14Z</dcterms:created>
  <dcterms:modified xsi:type="dcterms:W3CDTF">2025-09-18T16:53:28Z</dcterms:modified>
</cp:coreProperties>
</file>