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ungnguyen/Downloads/Sem1-year2/Data Analys/lab 6-7/"/>
    </mc:Choice>
  </mc:AlternateContent>
  <xr:revisionPtr revIDLastSave="0" documentId="13_ncr:1_{751ADD4D-3B67-CA44-BB50-9BB20CAA26F2}" xr6:coauthVersionLast="45" xr6:coauthVersionMax="45" xr10:uidLastSave="{00000000-0000-0000-0000-000000000000}"/>
  <bookViews>
    <workbookView xWindow="1840" yWindow="1000" windowWidth="31200" windowHeight="20420" activeTab="2" xr2:uid="{00000000-000D-0000-FFFF-FFFF00000000}"/>
  </bookViews>
  <sheets>
    <sheet name="Q1" sheetId="1" r:id="rId1"/>
    <sheet name="Q2" sheetId="9" r:id="rId2"/>
    <sheet name="Q3" sheetId="10" r:id="rId3"/>
  </sheets>
  <definedNames>
    <definedName name="_xlnm._FilterDatabase" localSheetId="0" hidden="1">'Q1'!$A$4:$B$650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0" l="1"/>
  <c r="C6" i="1"/>
  <c r="G571" i="1" l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P10" i="9" l="1"/>
  <c r="P9" i="9"/>
  <c r="P8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4" i="9"/>
  <c r="P7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4" i="9"/>
  <c r="P6" i="9"/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C647" i="9" s="1"/>
  <c r="C648" i="9" s="1"/>
  <c r="C649" i="9" s="1"/>
  <c r="C4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U32" i="10"/>
  <c r="O26" i="10" s="1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Q25" i="10" s="1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Q42" i="10" s="1"/>
  <c r="N43" i="10"/>
  <c r="Q43" i="10" s="1"/>
  <c r="N44" i="10"/>
  <c r="Q44" i="10" s="1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Q88" i="10" s="1"/>
  <c r="N89" i="10"/>
  <c r="Q89" i="10" s="1"/>
  <c r="N90" i="10"/>
  <c r="N91" i="10"/>
  <c r="N92" i="10"/>
  <c r="N93" i="10"/>
  <c r="N94" i="10"/>
  <c r="N95" i="10"/>
  <c r="N96" i="10"/>
  <c r="N97" i="10"/>
  <c r="N98" i="10"/>
  <c r="N99" i="10"/>
  <c r="N100" i="10"/>
  <c r="N101" i="10"/>
  <c r="Q101" i="10" s="1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Q137" i="10" s="1"/>
  <c r="N138" i="10"/>
  <c r="Q138" i="10" s="1"/>
  <c r="N139" i="10"/>
  <c r="Q139" i="10" s="1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Q175" i="10" s="1"/>
  <c r="N176" i="10"/>
  <c r="Q176" i="10" s="1"/>
  <c r="N177" i="10"/>
  <c r="N178" i="10"/>
  <c r="N179" i="10"/>
  <c r="N180" i="10"/>
  <c r="Q180" i="10" s="1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Q211" i="10" s="1"/>
  <c r="N212" i="10"/>
  <c r="Q212" i="10" s="1"/>
  <c r="N213" i="10"/>
  <c r="N214" i="10"/>
  <c r="N215" i="10"/>
  <c r="N216" i="10"/>
  <c r="Q216" i="10" s="1"/>
  <c r="N217" i="10"/>
  <c r="N218" i="10"/>
  <c r="N219" i="10"/>
  <c r="N220" i="10"/>
  <c r="N221" i="10"/>
  <c r="P221" i="10" s="1"/>
  <c r="N222" i="10"/>
  <c r="N223" i="10"/>
  <c r="N224" i="10"/>
  <c r="N225" i="10"/>
  <c r="N226" i="10"/>
  <c r="N227" i="10"/>
  <c r="N228" i="10"/>
  <c r="Q228" i="10" s="1"/>
  <c r="N229" i="10"/>
  <c r="Q229" i="10" s="1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Q252" i="10" s="1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Q264" i="10" s="1"/>
  <c r="N265" i="10"/>
  <c r="Q265" i="10" s="1"/>
  <c r="N266" i="10"/>
  <c r="N267" i="10"/>
  <c r="Q267" i="10" s="1"/>
  <c r="N268" i="10"/>
  <c r="Q268" i="10" s="1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Q301" i="10" s="1"/>
  <c r="N302" i="10"/>
  <c r="N303" i="10"/>
  <c r="Q303" i="10" s="1"/>
  <c r="N304" i="10"/>
  <c r="Q304" i="10" s="1"/>
  <c r="N305" i="10"/>
  <c r="Q305" i="10" s="1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Q317" i="10" s="1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Q339" i="10" s="1"/>
  <c r="N340" i="10"/>
  <c r="Q340" i="10" s="1"/>
  <c r="N341" i="10"/>
  <c r="N342" i="10"/>
  <c r="N343" i="10"/>
  <c r="N344" i="10"/>
  <c r="N345" i="10"/>
  <c r="N346" i="10"/>
  <c r="N347" i="10"/>
  <c r="N348" i="10"/>
  <c r="N349" i="10"/>
  <c r="Q349" i="10" s="1"/>
  <c r="N350" i="10"/>
  <c r="Q350" i="10" s="1"/>
  <c r="N351" i="10"/>
  <c r="Q351" i="10" s="1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P365" i="10" s="1"/>
  <c r="N366" i="10"/>
  <c r="N367" i="10"/>
  <c r="N368" i="10"/>
  <c r="N369" i="10"/>
  <c r="N370" i="10"/>
  <c r="N371" i="10"/>
  <c r="N372" i="10"/>
  <c r="N373" i="10"/>
  <c r="N374" i="10"/>
  <c r="N375" i="10"/>
  <c r="Q375" i="10" s="1"/>
  <c r="N376" i="10"/>
  <c r="Q376" i="10" s="1"/>
  <c r="N377" i="10"/>
  <c r="Q377" i="10" s="1"/>
  <c r="N378" i="10"/>
  <c r="Q378" i="10" s="1"/>
  <c r="N379" i="10"/>
  <c r="Q379" i="10" s="1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Q398" i="10" s="1"/>
  <c r="N399" i="10"/>
  <c r="Q399" i="10" s="1"/>
  <c r="N400" i="10"/>
  <c r="Q400" i="10" s="1"/>
  <c r="N401" i="10"/>
  <c r="Q401" i="10" s="1"/>
  <c r="N402" i="10"/>
  <c r="Q402" i="10" s="1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Q414" i="10" s="1"/>
  <c r="N415" i="10"/>
  <c r="Q415" i="10" s="1"/>
  <c r="N416" i="10"/>
  <c r="N417" i="10"/>
  <c r="N418" i="10"/>
  <c r="N419" i="10"/>
  <c r="Q419" i="10" s="1"/>
  <c r="N420" i="10"/>
  <c r="N421" i="10"/>
  <c r="Q421" i="10" s="1"/>
  <c r="N422" i="10"/>
  <c r="Q422" i="10" s="1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Q434" i="10" s="1"/>
  <c r="N435" i="10"/>
  <c r="Q435" i="10" s="1"/>
  <c r="N436" i="10"/>
  <c r="Q436" i="10" s="1"/>
  <c r="N437" i="10"/>
  <c r="Q437" i="10" s="1"/>
  <c r="N438" i="10"/>
  <c r="Q438" i="10" s="1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Q450" i="10" s="1"/>
  <c r="N451" i="10"/>
  <c r="Q451" i="10" s="1"/>
  <c r="N452" i="10"/>
  <c r="N453" i="10"/>
  <c r="N454" i="10"/>
  <c r="N455" i="10"/>
  <c r="Q455" i="10" s="1"/>
  <c r="N456" i="10"/>
  <c r="N457" i="10"/>
  <c r="Q457" i="10" s="1"/>
  <c r="N458" i="10"/>
  <c r="Q458" i="10" s="1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Q470" i="10" s="1"/>
  <c r="N471" i="10"/>
  <c r="Q471" i="10" s="1"/>
  <c r="N472" i="10"/>
  <c r="Q472" i="10" s="1"/>
  <c r="N473" i="10"/>
  <c r="P473" i="10" s="1"/>
  <c r="N474" i="10"/>
  <c r="Q474" i="10" s="1"/>
  <c r="N475" i="10"/>
  <c r="N476" i="10"/>
  <c r="N477" i="10"/>
  <c r="N478" i="10"/>
  <c r="N479" i="10"/>
  <c r="N480" i="10"/>
  <c r="N481" i="10"/>
  <c r="N482" i="10"/>
  <c r="P482" i="10" s="1"/>
  <c r="N483" i="10"/>
  <c r="P483" i="10" s="1"/>
  <c r="N484" i="10"/>
  <c r="N485" i="10"/>
  <c r="N486" i="10"/>
  <c r="Q486" i="10" s="1"/>
  <c r="N487" i="10"/>
  <c r="Q487" i="10" s="1"/>
  <c r="N488" i="10"/>
  <c r="N489" i="10"/>
  <c r="N490" i="10"/>
  <c r="N491" i="10"/>
  <c r="Q491" i="10" s="1"/>
  <c r="N492" i="10"/>
  <c r="N493" i="10"/>
  <c r="Q493" i="10" s="1"/>
  <c r="N494" i="10"/>
  <c r="Q494" i="10" s="1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Q506" i="10" s="1"/>
  <c r="N507" i="10"/>
  <c r="Q507" i="10" s="1"/>
  <c r="N508" i="10"/>
  <c r="Q508" i="10" s="1"/>
  <c r="N509" i="10"/>
  <c r="Q509" i="10" s="1"/>
  <c r="N510" i="10"/>
  <c r="Q510" i="10" s="1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Q522" i="10" s="1"/>
  <c r="N523" i="10"/>
  <c r="Q523" i="10" s="1"/>
  <c r="N524" i="10"/>
  <c r="N525" i="10"/>
  <c r="N526" i="10"/>
  <c r="Q526" i="10" s="1"/>
  <c r="N527" i="10"/>
  <c r="Q527" i="10" s="1"/>
  <c r="N528" i="10"/>
  <c r="N529" i="10"/>
  <c r="Q529" i="10" s="1"/>
  <c r="N530" i="10"/>
  <c r="N531" i="10"/>
  <c r="N532" i="10"/>
  <c r="N533" i="10"/>
  <c r="N534" i="10"/>
  <c r="N535" i="10"/>
  <c r="N536" i="10"/>
  <c r="N537" i="10"/>
  <c r="N538" i="10"/>
  <c r="N539" i="10"/>
  <c r="Q539" i="10" s="1"/>
  <c r="N540" i="10"/>
  <c r="N541" i="10"/>
  <c r="Q541" i="10" s="1"/>
  <c r="N542" i="10"/>
  <c r="Q542" i="10" s="1"/>
  <c r="N543" i="10"/>
  <c r="Q543" i="10" s="1"/>
  <c r="N544" i="10"/>
  <c r="Q544" i="10" s="1"/>
  <c r="N545" i="10"/>
  <c r="N546" i="10"/>
  <c r="N547" i="10"/>
  <c r="N548" i="10"/>
  <c r="N549" i="10"/>
  <c r="N550" i="10"/>
  <c r="N551" i="10"/>
  <c r="N552" i="10"/>
  <c r="N553" i="10"/>
  <c r="N554" i="10"/>
  <c r="N555" i="10"/>
  <c r="Q555" i="10" s="1"/>
  <c r="N556" i="10"/>
  <c r="P556" i="10" s="1"/>
  <c r="N557" i="10"/>
  <c r="P557" i="10" s="1"/>
  <c r="N558" i="10"/>
  <c r="Q558" i="10" s="1"/>
  <c r="N559" i="10"/>
  <c r="Q559" i="10" s="1"/>
  <c r="N560" i="10"/>
  <c r="N561" i="10"/>
  <c r="N562" i="10"/>
  <c r="N563" i="10"/>
  <c r="N564" i="10"/>
  <c r="N565" i="10"/>
  <c r="N566" i="10"/>
  <c r="N567" i="10"/>
  <c r="N568" i="10"/>
  <c r="N569" i="10"/>
  <c r="N570" i="10"/>
  <c r="Q570" i="10" s="1"/>
  <c r="N571" i="10"/>
  <c r="Q571" i="10" s="1"/>
  <c r="N572" i="10"/>
  <c r="N573" i="10"/>
  <c r="N574" i="10"/>
  <c r="Q574" i="10" s="1"/>
  <c r="N575" i="10"/>
  <c r="Q575" i="10" s="1"/>
  <c r="N576" i="10"/>
  <c r="N577" i="10"/>
  <c r="Q577" i="10" s="1"/>
  <c r="N578" i="10"/>
  <c r="N579" i="10"/>
  <c r="N580" i="10"/>
  <c r="N581" i="10"/>
  <c r="N582" i="10"/>
  <c r="N583" i="10"/>
  <c r="N584" i="10"/>
  <c r="N585" i="10"/>
  <c r="N586" i="10"/>
  <c r="N587" i="10"/>
  <c r="Q587" i="10" s="1"/>
  <c r="N588" i="10"/>
  <c r="N589" i="10"/>
  <c r="Q589" i="10" s="1"/>
  <c r="N590" i="10"/>
  <c r="Q590" i="10" s="1"/>
  <c r="N591" i="10"/>
  <c r="Q591" i="10" s="1"/>
  <c r="N592" i="10"/>
  <c r="Q592" i="10" s="1"/>
  <c r="N593" i="10"/>
  <c r="N594" i="10"/>
  <c r="N595" i="10"/>
  <c r="N596" i="10"/>
  <c r="N597" i="10"/>
  <c r="N598" i="10"/>
  <c r="N599" i="10"/>
  <c r="N600" i="10"/>
  <c r="N601" i="10"/>
  <c r="N602" i="10"/>
  <c r="N603" i="10"/>
  <c r="Q603" i="10" s="1"/>
  <c r="N604" i="10"/>
  <c r="Q604" i="10" s="1"/>
  <c r="N605" i="10"/>
  <c r="Q605" i="10" s="1"/>
  <c r="N606" i="10"/>
  <c r="Q606" i="10" s="1"/>
  <c r="N607" i="10"/>
  <c r="Q607" i="10" s="1"/>
  <c r="N608" i="10"/>
  <c r="N609" i="10"/>
  <c r="N610" i="10"/>
  <c r="N611" i="10"/>
  <c r="N612" i="10"/>
  <c r="N613" i="10"/>
  <c r="N614" i="10"/>
  <c r="N615" i="10"/>
  <c r="N616" i="10"/>
  <c r="N617" i="10"/>
  <c r="N618" i="10"/>
  <c r="Q618" i="10" s="1"/>
  <c r="N619" i="10"/>
  <c r="Q619" i="10" s="1"/>
  <c r="N620" i="10"/>
  <c r="N621" i="10"/>
  <c r="N622" i="10"/>
  <c r="Q622" i="10" s="1"/>
  <c r="N623" i="10"/>
  <c r="Q623" i="10" s="1"/>
  <c r="N624" i="10"/>
  <c r="N625" i="10"/>
  <c r="Q625" i="10" s="1"/>
  <c r="N626" i="10"/>
  <c r="N627" i="10"/>
  <c r="N628" i="10"/>
  <c r="P628" i="10" s="1"/>
  <c r="N629" i="10"/>
  <c r="N630" i="10"/>
  <c r="N631" i="10"/>
  <c r="N632" i="10"/>
  <c r="N633" i="10"/>
  <c r="N634" i="10"/>
  <c r="N635" i="10"/>
  <c r="Q635" i="10" s="1"/>
  <c r="N636" i="10"/>
  <c r="N637" i="10"/>
  <c r="Q637" i="10" s="1"/>
  <c r="N638" i="10"/>
  <c r="Q638" i="10" s="1"/>
  <c r="N639" i="10"/>
  <c r="Q639" i="10" s="1"/>
  <c r="N640" i="10"/>
  <c r="Q640" i="10" s="1"/>
  <c r="N641" i="10"/>
  <c r="N642" i="10"/>
  <c r="P642" i="10" s="1"/>
  <c r="N643" i="10"/>
  <c r="N644" i="10"/>
  <c r="N645" i="10"/>
  <c r="N646" i="10"/>
  <c r="N647" i="10"/>
  <c r="P647" i="10" s="1"/>
  <c r="N648" i="10"/>
  <c r="N649" i="10"/>
  <c r="P625" i="10" l="1"/>
  <c r="P590" i="10"/>
  <c r="P555" i="10"/>
  <c r="P509" i="10"/>
  <c r="P471" i="10"/>
  <c r="P422" i="10"/>
  <c r="P377" i="10"/>
  <c r="P301" i="10"/>
  <c r="P176" i="10"/>
  <c r="P175" i="10"/>
  <c r="Q246" i="10"/>
  <c r="P246" i="10"/>
  <c r="Q198" i="10"/>
  <c r="P198" i="10"/>
  <c r="Q102" i="10"/>
  <c r="P102" i="10"/>
  <c r="Q66" i="10"/>
  <c r="P66" i="10"/>
  <c r="O603" i="10"/>
  <c r="O488" i="10"/>
  <c r="O388" i="10"/>
  <c r="O230" i="10"/>
  <c r="O127" i="10"/>
  <c r="O22" i="10"/>
  <c r="Q521" i="10"/>
  <c r="P521" i="10"/>
  <c r="Q461" i="10"/>
  <c r="P461" i="10"/>
  <c r="P329" i="10"/>
  <c r="Q329" i="10"/>
  <c r="P293" i="10"/>
  <c r="Q293" i="10"/>
  <c r="P281" i="10"/>
  <c r="Q281" i="10"/>
  <c r="Q269" i="10"/>
  <c r="P269" i="10"/>
  <c r="P257" i="10"/>
  <c r="Q257" i="10"/>
  <c r="Q245" i="10"/>
  <c r="P245" i="10"/>
  <c r="Q233" i="10"/>
  <c r="P233" i="10"/>
  <c r="P209" i="10"/>
  <c r="Q209" i="10"/>
  <c r="Q197" i="10"/>
  <c r="P197" i="10"/>
  <c r="P185" i="10"/>
  <c r="Q185" i="10"/>
  <c r="Q173" i="10"/>
  <c r="P173" i="10"/>
  <c r="Q161" i="10"/>
  <c r="P161" i="10"/>
  <c r="P149" i="10"/>
  <c r="Q149" i="10"/>
  <c r="Q125" i="10"/>
  <c r="P125" i="10"/>
  <c r="P113" i="10"/>
  <c r="Q113" i="10"/>
  <c r="P77" i="10"/>
  <c r="Q77" i="10"/>
  <c r="Q65" i="10"/>
  <c r="P65" i="10"/>
  <c r="P53" i="10"/>
  <c r="Q53" i="10"/>
  <c r="Q41" i="10"/>
  <c r="P41" i="10"/>
  <c r="P29" i="10"/>
  <c r="Q29" i="10"/>
  <c r="Q17" i="10"/>
  <c r="P17" i="10"/>
  <c r="O6" i="10"/>
  <c r="O635" i="10"/>
  <c r="O617" i="10"/>
  <c r="O602" i="10"/>
  <c r="O587" i="10"/>
  <c r="O568" i="10"/>
  <c r="O548" i="10"/>
  <c r="O529" i="10"/>
  <c r="O507" i="10"/>
  <c r="O485" i="10"/>
  <c r="O468" i="10"/>
  <c r="O446" i="10"/>
  <c r="O413" i="10"/>
  <c r="O387" i="10"/>
  <c r="O361" i="10"/>
  <c r="O327" i="10"/>
  <c r="O298" i="10"/>
  <c r="O259" i="10"/>
  <c r="O229" i="10"/>
  <c r="O197" i="10"/>
  <c r="O158" i="10"/>
  <c r="O126" i="10"/>
  <c r="O87" i="10"/>
  <c r="O55" i="10"/>
  <c r="O21" i="10"/>
  <c r="P623" i="10"/>
  <c r="P589" i="10"/>
  <c r="P544" i="10"/>
  <c r="P508" i="10"/>
  <c r="P470" i="10"/>
  <c r="P421" i="10"/>
  <c r="P376" i="10"/>
  <c r="P268" i="10"/>
  <c r="Q628" i="10"/>
  <c r="Q630" i="10"/>
  <c r="P630" i="10"/>
  <c r="Q294" i="10"/>
  <c r="P294" i="10"/>
  <c r="Q162" i="10"/>
  <c r="P162" i="10"/>
  <c r="O636" i="10"/>
  <c r="Q642" i="10"/>
  <c r="P593" i="10"/>
  <c r="Q593" i="10"/>
  <c r="Q568" i="10"/>
  <c r="P568" i="10"/>
  <c r="Q532" i="10"/>
  <c r="P532" i="10"/>
  <c r="Q520" i="10"/>
  <c r="P520" i="10"/>
  <c r="Q496" i="10"/>
  <c r="P496" i="10"/>
  <c r="Q484" i="10"/>
  <c r="P484" i="10"/>
  <c r="Q460" i="10"/>
  <c r="P460" i="10"/>
  <c r="P448" i="10"/>
  <c r="Q448" i="10"/>
  <c r="Q424" i="10"/>
  <c r="P424" i="10"/>
  <c r="Q412" i="10"/>
  <c r="P412" i="10"/>
  <c r="Q388" i="10"/>
  <c r="P388" i="10"/>
  <c r="P364" i="10"/>
  <c r="Q364" i="10"/>
  <c r="P352" i="10"/>
  <c r="Q352" i="10"/>
  <c r="P328" i="10"/>
  <c r="Q328" i="10"/>
  <c r="Q316" i="10"/>
  <c r="P316" i="10"/>
  <c r="P292" i="10"/>
  <c r="Q292" i="10"/>
  <c r="P280" i="10"/>
  <c r="Q280" i="10"/>
  <c r="P256" i="10"/>
  <c r="Q256" i="10"/>
  <c r="Q244" i="10"/>
  <c r="P244" i="10"/>
  <c r="Q232" i="10"/>
  <c r="P232" i="10"/>
  <c r="P220" i="10"/>
  <c r="Q220" i="10"/>
  <c r="P208" i="10"/>
  <c r="Q208" i="10"/>
  <c r="Q196" i="10"/>
  <c r="P196" i="10"/>
  <c r="P184" i="10"/>
  <c r="Q184" i="10"/>
  <c r="Q172" i="10"/>
  <c r="P172" i="10"/>
  <c r="P160" i="10"/>
  <c r="Q160" i="10"/>
  <c r="P148" i="10"/>
  <c r="Q148" i="10"/>
  <c r="P136" i="10"/>
  <c r="Q136" i="10"/>
  <c r="Q124" i="10"/>
  <c r="P124" i="10"/>
  <c r="P112" i="10"/>
  <c r="Q112" i="10"/>
  <c r="Q100" i="10"/>
  <c r="P100" i="10"/>
  <c r="P76" i="10"/>
  <c r="Q76" i="10"/>
  <c r="Q64" i="10"/>
  <c r="P64" i="10"/>
  <c r="P52" i="10"/>
  <c r="Q52" i="10"/>
  <c r="Q40" i="10"/>
  <c r="P40" i="10"/>
  <c r="Q28" i="10"/>
  <c r="P28" i="10"/>
  <c r="Q16" i="10"/>
  <c r="P16" i="10"/>
  <c r="O649" i="10"/>
  <c r="O633" i="10"/>
  <c r="O616" i="10"/>
  <c r="O601" i="10"/>
  <c r="O585" i="10"/>
  <c r="O567" i="10"/>
  <c r="O545" i="10"/>
  <c r="O528" i="10"/>
  <c r="O506" i="10"/>
  <c r="O484" i="10"/>
  <c r="O464" i="10"/>
  <c r="O445" i="10"/>
  <c r="O412" i="10"/>
  <c r="O386" i="10"/>
  <c r="O353" i="10"/>
  <c r="O326" i="10"/>
  <c r="O297" i="10"/>
  <c r="O258" i="10"/>
  <c r="O226" i="10"/>
  <c r="O187" i="10"/>
  <c r="O157" i="10"/>
  <c r="O125" i="10"/>
  <c r="O86" i="10"/>
  <c r="O54" i="10"/>
  <c r="O10" i="10"/>
  <c r="P622" i="10"/>
  <c r="P587" i="10"/>
  <c r="P543" i="10"/>
  <c r="P507" i="10"/>
  <c r="P458" i="10"/>
  <c r="P419" i="10"/>
  <c r="P375" i="10"/>
  <c r="P267" i="10"/>
  <c r="P139" i="10"/>
  <c r="Q557" i="10"/>
  <c r="Q462" i="10"/>
  <c r="P462" i="10"/>
  <c r="Q342" i="10"/>
  <c r="P342" i="10"/>
  <c r="Q234" i="10"/>
  <c r="P234" i="10"/>
  <c r="Q114" i="10"/>
  <c r="P114" i="10"/>
  <c r="Q18" i="10"/>
  <c r="P18" i="10"/>
  <c r="O447" i="10"/>
  <c r="Q533" i="10"/>
  <c r="P533" i="10"/>
  <c r="Q579" i="10"/>
  <c r="P579" i="10"/>
  <c r="Q567" i="10"/>
  <c r="P567" i="10"/>
  <c r="Q531" i="10"/>
  <c r="P531" i="10"/>
  <c r="Q519" i="10"/>
  <c r="P519" i="10"/>
  <c r="Q495" i="10"/>
  <c r="P495" i="10"/>
  <c r="Q459" i="10"/>
  <c r="P459" i="10"/>
  <c r="P447" i="10"/>
  <c r="Q447" i="10"/>
  <c r="Q423" i="10"/>
  <c r="P423" i="10"/>
  <c r="Q411" i="10"/>
  <c r="P411" i="10"/>
  <c r="Q387" i="10"/>
  <c r="P387" i="10"/>
  <c r="Q363" i="10"/>
  <c r="P363" i="10"/>
  <c r="Q327" i="10"/>
  <c r="P327" i="10"/>
  <c r="Q315" i="10"/>
  <c r="P315" i="10"/>
  <c r="Q291" i="10"/>
  <c r="P291" i="10"/>
  <c r="Q279" i="10"/>
  <c r="P279" i="10"/>
  <c r="Q255" i="10"/>
  <c r="P255" i="10"/>
  <c r="Q243" i="10"/>
  <c r="P243" i="10"/>
  <c r="Q231" i="10"/>
  <c r="P231" i="10"/>
  <c r="Q219" i="10"/>
  <c r="P219" i="10"/>
  <c r="Q207" i="10"/>
  <c r="P207" i="10"/>
  <c r="Q195" i="10"/>
  <c r="P195" i="10"/>
  <c r="Q183" i="10"/>
  <c r="P183" i="10"/>
  <c r="Q171" i="10"/>
  <c r="P171" i="10"/>
  <c r="Q159" i="10"/>
  <c r="P159" i="10"/>
  <c r="Q147" i="10"/>
  <c r="P147" i="10"/>
  <c r="Q135" i="10"/>
  <c r="P135" i="10"/>
  <c r="Q123" i="10"/>
  <c r="P123" i="10"/>
  <c r="Q111" i="10"/>
  <c r="P111" i="10"/>
  <c r="Q99" i="10"/>
  <c r="P99" i="10"/>
  <c r="Q87" i="10"/>
  <c r="P87" i="10"/>
  <c r="Q75" i="10"/>
  <c r="P75" i="10"/>
  <c r="Q63" i="10"/>
  <c r="P63" i="10"/>
  <c r="Q51" i="10"/>
  <c r="P51" i="10"/>
  <c r="Q39" i="10"/>
  <c r="P39" i="10"/>
  <c r="Q27" i="10"/>
  <c r="P27" i="10"/>
  <c r="Q15" i="10"/>
  <c r="P15" i="10"/>
  <c r="O648" i="10"/>
  <c r="O632" i="10"/>
  <c r="O615" i="10"/>
  <c r="O600" i="10"/>
  <c r="O584" i="10"/>
  <c r="O566" i="10"/>
  <c r="O544" i="10"/>
  <c r="O524" i="10"/>
  <c r="O505" i="10"/>
  <c r="O483" i="10"/>
  <c r="O461" i="10"/>
  <c r="O437" i="10"/>
  <c r="O411" i="10"/>
  <c r="O385" i="10"/>
  <c r="O352" i="10"/>
  <c r="O325" i="10"/>
  <c r="O289" i="10"/>
  <c r="O257" i="10"/>
  <c r="O225" i="10"/>
  <c r="O186" i="10"/>
  <c r="O154" i="10"/>
  <c r="O115" i="10"/>
  <c r="O85" i="10"/>
  <c r="O53" i="10"/>
  <c r="O9" i="10"/>
  <c r="P619" i="10"/>
  <c r="P577" i="10"/>
  <c r="P542" i="10"/>
  <c r="P506" i="10"/>
  <c r="P457" i="10"/>
  <c r="P415" i="10"/>
  <c r="P351" i="10"/>
  <c r="P265" i="10"/>
  <c r="P138" i="10"/>
  <c r="Q556" i="10"/>
  <c r="Q594" i="10"/>
  <c r="P594" i="10"/>
  <c r="Q390" i="10"/>
  <c r="P390" i="10"/>
  <c r="Q282" i="10"/>
  <c r="P282" i="10"/>
  <c r="Q126" i="10"/>
  <c r="P126" i="10"/>
  <c r="O588" i="10"/>
  <c r="Q569" i="10"/>
  <c r="P569" i="10"/>
  <c r="Q413" i="10"/>
  <c r="P413" i="10"/>
  <c r="P627" i="10"/>
  <c r="Q627" i="10"/>
  <c r="Q566" i="10"/>
  <c r="P566" i="10"/>
  <c r="Q530" i="10"/>
  <c r="P530" i="10"/>
  <c r="Q518" i="10"/>
  <c r="P518" i="10"/>
  <c r="P446" i="10"/>
  <c r="Q446" i="10"/>
  <c r="Q410" i="10"/>
  <c r="P410" i="10"/>
  <c r="Q386" i="10"/>
  <c r="P386" i="10"/>
  <c r="Q374" i="10"/>
  <c r="P374" i="10"/>
  <c r="Q362" i="10"/>
  <c r="P362" i="10"/>
  <c r="Q338" i="10"/>
  <c r="P338" i="10"/>
  <c r="P326" i="10"/>
  <c r="Q326" i="10"/>
  <c r="P314" i="10"/>
  <c r="Q314" i="10"/>
  <c r="P302" i="10"/>
  <c r="Q302" i="10"/>
  <c r="P290" i="10"/>
  <c r="Q290" i="10"/>
  <c r="P278" i="10"/>
  <c r="Q278" i="10"/>
  <c r="P266" i="10"/>
  <c r="Q266" i="10"/>
  <c r="P254" i="10"/>
  <c r="Q254" i="10"/>
  <c r="P242" i="10"/>
  <c r="Q242" i="10"/>
  <c r="P230" i="10"/>
  <c r="Q230" i="10"/>
  <c r="P218" i="10"/>
  <c r="Q218" i="10"/>
  <c r="P206" i="10"/>
  <c r="Q206" i="10"/>
  <c r="P194" i="10"/>
  <c r="Q194" i="10"/>
  <c r="P182" i="10"/>
  <c r="Q182" i="10"/>
  <c r="P170" i="10"/>
  <c r="Q170" i="10"/>
  <c r="P158" i="10"/>
  <c r="Q158" i="10"/>
  <c r="P146" i="10"/>
  <c r="Q146" i="10"/>
  <c r="P134" i="10"/>
  <c r="Q134" i="10"/>
  <c r="P122" i="10"/>
  <c r="Q122" i="10"/>
  <c r="P110" i="10"/>
  <c r="Q110" i="10"/>
  <c r="P98" i="10"/>
  <c r="Q98" i="10"/>
  <c r="P86" i="10"/>
  <c r="Q86" i="10"/>
  <c r="P74" i="10"/>
  <c r="Q74" i="10"/>
  <c r="P62" i="10"/>
  <c r="Q62" i="10"/>
  <c r="P50" i="10"/>
  <c r="Q50" i="10"/>
  <c r="P38" i="10"/>
  <c r="Q38" i="10"/>
  <c r="P26" i="10"/>
  <c r="Q26" i="10"/>
  <c r="P14" i="10"/>
  <c r="Q14" i="10"/>
  <c r="O647" i="10"/>
  <c r="O629" i="10"/>
  <c r="O614" i="10"/>
  <c r="O599" i="10"/>
  <c r="O581" i="10"/>
  <c r="O565" i="10"/>
  <c r="O543" i="10"/>
  <c r="O521" i="10"/>
  <c r="O504" i="10"/>
  <c r="O482" i="10"/>
  <c r="O460" i="10"/>
  <c r="O436" i="10"/>
  <c r="O410" i="10"/>
  <c r="O377" i="10"/>
  <c r="O351" i="10"/>
  <c r="O324" i="10"/>
  <c r="O286" i="10"/>
  <c r="O256" i="10"/>
  <c r="O217" i="10"/>
  <c r="O185" i="10"/>
  <c r="O153" i="10"/>
  <c r="O114" i="10"/>
  <c r="O82" i="10"/>
  <c r="O43" i="10"/>
  <c r="O8" i="10"/>
  <c r="P618" i="10"/>
  <c r="P575" i="10"/>
  <c r="P541" i="10"/>
  <c r="P494" i="10"/>
  <c r="P455" i="10"/>
  <c r="P414" i="10"/>
  <c r="P350" i="10"/>
  <c r="P264" i="10"/>
  <c r="P137" i="10"/>
  <c r="Q534" i="10"/>
  <c r="P534" i="10"/>
  <c r="Q366" i="10"/>
  <c r="P366" i="10"/>
  <c r="Q150" i="10"/>
  <c r="P150" i="10"/>
  <c r="O552" i="10"/>
  <c r="Q425" i="10"/>
  <c r="P425" i="10"/>
  <c r="Q616" i="10"/>
  <c r="P616" i="10"/>
  <c r="P626" i="10"/>
  <c r="Q626" i="10"/>
  <c r="Q614" i="10"/>
  <c r="P614" i="10"/>
  <c r="Q578" i="10"/>
  <c r="P578" i="10"/>
  <c r="P554" i="10"/>
  <c r="Q554" i="10"/>
  <c r="Q613" i="10"/>
  <c r="P613" i="10"/>
  <c r="Q565" i="10"/>
  <c r="P565" i="10"/>
  <c r="Q517" i="10"/>
  <c r="P517" i="10"/>
  <c r="Q505" i="10"/>
  <c r="P505" i="10"/>
  <c r="Q481" i="10"/>
  <c r="P481" i="10"/>
  <c r="Q469" i="10"/>
  <c r="P469" i="10"/>
  <c r="Q445" i="10"/>
  <c r="P445" i="10"/>
  <c r="Q433" i="10"/>
  <c r="P433" i="10"/>
  <c r="Q409" i="10"/>
  <c r="P409" i="10"/>
  <c r="Q397" i="10"/>
  <c r="P397" i="10"/>
  <c r="Q385" i="10"/>
  <c r="P385" i="10"/>
  <c r="Q373" i="10"/>
  <c r="P373" i="10"/>
  <c r="Q361" i="10"/>
  <c r="P361" i="10"/>
  <c r="Q337" i="10"/>
  <c r="P337" i="10"/>
  <c r="Q325" i="10"/>
  <c r="P325" i="10"/>
  <c r="Q313" i="10"/>
  <c r="P313" i="10"/>
  <c r="Q289" i="10"/>
  <c r="P289" i="10"/>
  <c r="Q277" i="10"/>
  <c r="P277" i="10"/>
  <c r="Q253" i="10"/>
  <c r="P253" i="10"/>
  <c r="Q241" i="10"/>
  <c r="P241" i="10"/>
  <c r="Q217" i="10"/>
  <c r="P217" i="10"/>
  <c r="Q205" i="10"/>
  <c r="P205" i="10"/>
  <c r="Q193" i="10"/>
  <c r="P193" i="10"/>
  <c r="Q181" i="10"/>
  <c r="P181" i="10"/>
  <c r="Q169" i="10"/>
  <c r="P169" i="10"/>
  <c r="Q157" i="10"/>
  <c r="P157" i="10"/>
  <c r="Q145" i="10"/>
  <c r="P145" i="10"/>
  <c r="Q133" i="10"/>
  <c r="P133" i="10"/>
  <c r="Q121" i="10"/>
  <c r="P121" i="10"/>
  <c r="Q109" i="10"/>
  <c r="P109" i="10"/>
  <c r="Q97" i="10"/>
  <c r="P97" i="10"/>
  <c r="Q85" i="10"/>
  <c r="P85" i="10"/>
  <c r="Q73" i="10"/>
  <c r="P73" i="10"/>
  <c r="Q61" i="10"/>
  <c r="P61" i="10"/>
  <c r="Q49" i="10"/>
  <c r="P49" i="10"/>
  <c r="Q37" i="10"/>
  <c r="P37" i="10"/>
  <c r="O645" i="10"/>
  <c r="O628" i="10"/>
  <c r="O613" i="10"/>
  <c r="O597" i="10"/>
  <c r="O580" i="10"/>
  <c r="O564" i="10"/>
  <c r="O542" i="10"/>
  <c r="O520" i="10"/>
  <c r="O500" i="10"/>
  <c r="O481" i="10"/>
  <c r="O459" i="10"/>
  <c r="O435" i="10"/>
  <c r="O409" i="10"/>
  <c r="O376" i="10"/>
  <c r="O350" i="10"/>
  <c r="O315" i="10"/>
  <c r="O285" i="10"/>
  <c r="O255" i="10"/>
  <c r="O214" i="10"/>
  <c r="O184" i="10"/>
  <c r="O145" i="10"/>
  <c r="O113" i="10"/>
  <c r="O81" i="10"/>
  <c r="O42" i="10"/>
  <c r="O7" i="10"/>
  <c r="P607" i="10"/>
  <c r="P574" i="10"/>
  <c r="P539" i="10"/>
  <c r="P493" i="10"/>
  <c r="P451" i="10"/>
  <c r="P402" i="10"/>
  <c r="P349" i="10"/>
  <c r="P252" i="10"/>
  <c r="P101" i="10"/>
  <c r="Q483" i="10"/>
  <c r="Q306" i="10"/>
  <c r="P306" i="10"/>
  <c r="Q210" i="10"/>
  <c r="P210" i="10"/>
  <c r="O508" i="10"/>
  <c r="O269" i="10"/>
  <c r="P545" i="10"/>
  <c r="Q545" i="10"/>
  <c r="Q615" i="10"/>
  <c r="P615" i="10"/>
  <c r="Q6" i="10"/>
  <c r="P6" i="10"/>
  <c r="Q602" i="10"/>
  <c r="P602" i="10"/>
  <c r="Q649" i="10"/>
  <c r="P649" i="10"/>
  <c r="Q601" i="10"/>
  <c r="P601" i="10"/>
  <c r="Q553" i="10"/>
  <c r="P553" i="10"/>
  <c r="Q648" i="10"/>
  <c r="P648" i="10"/>
  <c r="Q636" i="10"/>
  <c r="P636" i="10"/>
  <c r="Q624" i="10"/>
  <c r="P624" i="10"/>
  <c r="Q612" i="10"/>
  <c r="P612" i="10"/>
  <c r="Q600" i="10"/>
  <c r="P600" i="10"/>
  <c r="Q588" i="10"/>
  <c r="P588" i="10"/>
  <c r="Q576" i="10"/>
  <c r="P576" i="10"/>
  <c r="Q564" i="10"/>
  <c r="P564" i="10"/>
  <c r="Q552" i="10"/>
  <c r="P552" i="10"/>
  <c r="Q540" i="10"/>
  <c r="P540" i="10"/>
  <c r="Q528" i="10"/>
  <c r="P528" i="10"/>
  <c r="Q516" i="10"/>
  <c r="P516" i="10"/>
  <c r="Q504" i="10"/>
  <c r="P504" i="10"/>
  <c r="Q492" i="10"/>
  <c r="P492" i="10"/>
  <c r="Q480" i="10"/>
  <c r="P480" i="10"/>
  <c r="Q468" i="10"/>
  <c r="P468" i="10"/>
  <c r="Q456" i="10"/>
  <c r="P456" i="10"/>
  <c r="Q444" i="10"/>
  <c r="P444" i="10"/>
  <c r="Q432" i="10"/>
  <c r="P432" i="10"/>
  <c r="Q420" i="10"/>
  <c r="P420" i="10"/>
  <c r="Q408" i="10"/>
  <c r="P408" i="10"/>
  <c r="Q396" i="10"/>
  <c r="P396" i="10"/>
  <c r="Q384" i="10"/>
  <c r="P384" i="10"/>
  <c r="Q372" i="10"/>
  <c r="P372" i="10"/>
  <c r="Q360" i="10"/>
  <c r="P360" i="10"/>
  <c r="Q348" i="10"/>
  <c r="P348" i="10"/>
  <c r="Q336" i="10"/>
  <c r="P336" i="10"/>
  <c r="Q324" i="10"/>
  <c r="P324" i="10"/>
  <c r="Q312" i="10"/>
  <c r="P312" i="10"/>
  <c r="Q300" i="10"/>
  <c r="P300" i="10"/>
  <c r="Q288" i="10"/>
  <c r="P288" i="10"/>
  <c r="Q276" i="10"/>
  <c r="P276" i="10"/>
  <c r="Q240" i="10"/>
  <c r="P240" i="10"/>
  <c r="Q204" i="10"/>
  <c r="P204" i="10"/>
  <c r="Q192" i="10"/>
  <c r="P192" i="10"/>
  <c r="Q168" i="10"/>
  <c r="P168" i="10"/>
  <c r="Q156" i="10"/>
  <c r="P156" i="10"/>
  <c r="Q144" i="10"/>
  <c r="P144" i="10"/>
  <c r="Q132" i="10"/>
  <c r="P132" i="10"/>
  <c r="Q120" i="10"/>
  <c r="P120" i="10"/>
  <c r="Q108" i="10"/>
  <c r="P108" i="10"/>
  <c r="Q96" i="10"/>
  <c r="P96" i="10"/>
  <c r="P84" i="10"/>
  <c r="Q84" i="10"/>
  <c r="P72" i="10"/>
  <c r="Q72" i="10"/>
  <c r="P60" i="10"/>
  <c r="Q60" i="10"/>
  <c r="P48" i="10"/>
  <c r="Q48" i="10"/>
  <c r="P36" i="10"/>
  <c r="Q36" i="10"/>
  <c r="P24" i="10"/>
  <c r="Q24" i="10"/>
  <c r="P12" i="10"/>
  <c r="Q12" i="10"/>
  <c r="O644" i="10"/>
  <c r="O627" i="10"/>
  <c r="O612" i="10"/>
  <c r="O596" i="10"/>
  <c r="O579" i="10"/>
  <c r="O560" i="10"/>
  <c r="O541" i="10"/>
  <c r="O519" i="10"/>
  <c r="O497" i="10"/>
  <c r="O480" i="10"/>
  <c r="O458" i="10"/>
  <c r="O434" i="10"/>
  <c r="O401" i="10"/>
  <c r="O375" i="10"/>
  <c r="O349" i="10"/>
  <c r="O314" i="10"/>
  <c r="O284" i="10"/>
  <c r="O245" i="10"/>
  <c r="O213" i="10"/>
  <c r="O183" i="10"/>
  <c r="O142" i="10"/>
  <c r="O112" i="10"/>
  <c r="O73" i="10"/>
  <c r="O41" i="10"/>
  <c r="P606" i="10"/>
  <c r="P571" i="10"/>
  <c r="P529" i="10"/>
  <c r="P491" i="10"/>
  <c r="P450" i="10"/>
  <c r="P401" i="10"/>
  <c r="P340" i="10"/>
  <c r="P229" i="10"/>
  <c r="P89" i="10"/>
  <c r="Q482" i="10"/>
  <c r="Q498" i="10"/>
  <c r="P498" i="10"/>
  <c r="Q318" i="10"/>
  <c r="P318" i="10"/>
  <c r="Q258" i="10"/>
  <c r="P258" i="10"/>
  <c r="Q186" i="10"/>
  <c r="P186" i="10"/>
  <c r="Q90" i="10"/>
  <c r="P90" i="10"/>
  <c r="Q30" i="10"/>
  <c r="P30" i="10"/>
  <c r="O569" i="10"/>
  <c r="O469" i="10"/>
  <c r="O328" i="10"/>
  <c r="O198" i="10"/>
  <c r="O97" i="10"/>
  <c r="O56" i="10"/>
  <c r="Q641" i="10"/>
  <c r="P641" i="10"/>
  <c r="Q581" i="10"/>
  <c r="P581" i="10"/>
  <c r="Q485" i="10"/>
  <c r="P485" i="10"/>
  <c r="P353" i="10"/>
  <c r="Q353" i="10"/>
  <c r="Q467" i="10"/>
  <c r="P467" i="10"/>
  <c r="Q383" i="10"/>
  <c r="P383" i="10"/>
  <c r="P311" i="10"/>
  <c r="Q311" i="10"/>
  <c r="P263" i="10"/>
  <c r="Q263" i="10"/>
  <c r="P227" i="10"/>
  <c r="Q227" i="10"/>
  <c r="P203" i="10"/>
  <c r="Q203" i="10"/>
  <c r="P143" i="10"/>
  <c r="Q143" i="10"/>
  <c r="P131" i="10"/>
  <c r="Q131" i="10"/>
  <c r="P119" i="10"/>
  <c r="Q119" i="10"/>
  <c r="P107" i="10"/>
  <c r="Q107" i="10"/>
  <c r="P95" i="10"/>
  <c r="Q95" i="10"/>
  <c r="P83" i="10"/>
  <c r="Q83" i="10"/>
  <c r="P59" i="10"/>
  <c r="Q59" i="10"/>
  <c r="P11" i="10"/>
  <c r="Q11" i="10"/>
  <c r="O641" i="10"/>
  <c r="O626" i="10"/>
  <c r="O611" i="10"/>
  <c r="O593" i="10"/>
  <c r="O578" i="10"/>
  <c r="O557" i="10"/>
  <c r="O540" i="10"/>
  <c r="O518" i="10"/>
  <c r="O496" i="10"/>
  <c r="O476" i="10"/>
  <c r="O457" i="10"/>
  <c r="O433" i="10"/>
  <c r="O400" i="10"/>
  <c r="O374" i="10"/>
  <c r="O341" i="10"/>
  <c r="O313" i="10"/>
  <c r="O283" i="10"/>
  <c r="O244" i="10"/>
  <c r="O212" i="10"/>
  <c r="O173" i="10"/>
  <c r="O141" i="10"/>
  <c r="O111" i="10"/>
  <c r="O70" i="10"/>
  <c r="O40" i="10"/>
  <c r="P640" i="10"/>
  <c r="P605" i="10"/>
  <c r="P570" i="10"/>
  <c r="P527" i="10"/>
  <c r="P487" i="10"/>
  <c r="P438" i="10"/>
  <c r="P400" i="10"/>
  <c r="P339" i="10"/>
  <c r="P228" i="10"/>
  <c r="P88" i="10"/>
  <c r="Q473" i="10"/>
  <c r="Q582" i="10"/>
  <c r="P582" i="10"/>
  <c r="Q330" i="10"/>
  <c r="P330" i="10"/>
  <c r="Q222" i="10"/>
  <c r="P222" i="10"/>
  <c r="Q78" i="10"/>
  <c r="P78" i="10"/>
  <c r="O620" i="10"/>
  <c r="O300" i="10"/>
  <c r="Q629" i="10"/>
  <c r="P629" i="10"/>
  <c r="Q497" i="10"/>
  <c r="P497" i="10"/>
  <c r="P341" i="10"/>
  <c r="Q341" i="10"/>
  <c r="Q563" i="10"/>
  <c r="P563" i="10"/>
  <c r="Q443" i="10"/>
  <c r="P443" i="10"/>
  <c r="Q395" i="10"/>
  <c r="P395" i="10"/>
  <c r="Q347" i="10"/>
  <c r="P347" i="10"/>
  <c r="P299" i="10"/>
  <c r="Q299" i="10"/>
  <c r="P239" i="10"/>
  <c r="Q239" i="10"/>
  <c r="P179" i="10"/>
  <c r="Q179" i="10"/>
  <c r="P71" i="10"/>
  <c r="Q71" i="10"/>
  <c r="Q634" i="10"/>
  <c r="P634" i="10"/>
  <c r="Q586" i="10"/>
  <c r="P586" i="10"/>
  <c r="Q502" i="10"/>
  <c r="P502" i="10"/>
  <c r="Q490" i="10"/>
  <c r="P490" i="10"/>
  <c r="Q478" i="10"/>
  <c r="P478" i="10"/>
  <c r="Q466" i="10"/>
  <c r="P466" i="10"/>
  <c r="Q454" i="10"/>
  <c r="P454" i="10"/>
  <c r="Q442" i="10"/>
  <c r="P442" i="10"/>
  <c r="Q430" i="10"/>
  <c r="P430" i="10"/>
  <c r="Q418" i="10"/>
  <c r="P418" i="10"/>
  <c r="Q406" i="10"/>
  <c r="P406" i="10"/>
  <c r="Q394" i="10"/>
  <c r="P394" i="10"/>
  <c r="Q382" i="10"/>
  <c r="P382" i="10"/>
  <c r="P370" i="10"/>
  <c r="Q370" i="10"/>
  <c r="P358" i="10"/>
  <c r="Q358" i="10"/>
  <c r="P346" i="10"/>
  <c r="Q346" i="10"/>
  <c r="P334" i="10"/>
  <c r="Q334" i="10"/>
  <c r="P322" i="10"/>
  <c r="Q322" i="10"/>
  <c r="P310" i="10"/>
  <c r="Q310" i="10"/>
  <c r="P298" i="10"/>
  <c r="Q298" i="10"/>
  <c r="P286" i="10"/>
  <c r="Q286" i="10"/>
  <c r="P274" i="10"/>
  <c r="Q274" i="10"/>
  <c r="P262" i="10"/>
  <c r="Q262" i="10"/>
  <c r="P250" i="10"/>
  <c r="Q250" i="10"/>
  <c r="P238" i="10"/>
  <c r="Q238" i="10"/>
  <c r="P226" i="10"/>
  <c r="Q226" i="10"/>
  <c r="P214" i="10"/>
  <c r="Q214" i="10"/>
  <c r="O640" i="10"/>
  <c r="O625" i="10"/>
  <c r="O609" i="10"/>
  <c r="O592" i="10"/>
  <c r="O577" i="10"/>
  <c r="O556" i="10"/>
  <c r="O536" i="10"/>
  <c r="O517" i="10"/>
  <c r="O495" i="10"/>
  <c r="O473" i="10"/>
  <c r="O456" i="10"/>
  <c r="O425" i="10"/>
  <c r="O399" i="10"/>
  <c r="O373" i="10"/>
  <c r="O340" i="10"/>
  <c r="O312" i="10"/>
  <c r="O273" i="10"/>
  <c r="O243" i="10"/>
  <c r="O211" i="10"/>
  <c r="O172" i="10"/>
  <c r="O140" i="10"/>
  <c r="O101" i="10"/>
  <c r="O69" i="10"/>
  <c r="O38" i="10"/>
  <c r="P639" i="10"/>
  <c r="P604" i="10"/>
  <c r="P559" i="10"/>
  <c r="P526" i="10"/>
  <c r="P486" i="10"/>
  <c r="P437" i="10"/>
  <c r="P399" i="10"/>
  <c r="P317" i="10"/>
  <c r="P216" i="10"/>
  <c r="P44" i="10"/>
  <c r="Q546" i="10"/>
  <c r="P546" i="10"/>
  <c r="Q426" i="10"/>
  <c r="P426" i="10"/>
  <c r="Q174" i="10"/>
  <c r="P174" i="10"/>
  <c r="O159" i="10"/>
  <c r="P449" i="10"/>
  <c r="Q449" i="10"/>
  <c r="Q515" i="10"/>
  <c r="P515" i="10"/>
  <c r="Q359" i="10"/>
  <c r="P359" i="10"/>
  <c r="P287" i="10"/>
  <c r="Q287" i="10"/>
  <c r="P191" i="10"/>
  <c r="Q191" i="10"/>
  <c r="P23" i="10"/>
  <c r="Q23" i="10"/>
  <c r="Q633" i="10"/>
  <c r="P633" i="10"/>
  <c r="Q621" i="10"/>
  <c r="P621" i="10"/>
  <c r="Q609" i="10"/>
  <c r="P609" i="10"/>
  <c r="Q597" i="10"/>
  <c r="P597" i="10"/>
  <c r="Q585" i="10"/>
  <c r="P585" i="10"/>
  <c r="Q573" i="10"/>
  <c r="P573" i="10"/>
  <c r="Q561" i="10"/>
  <c r="P561" i="10"/>
  <c r="Q549" i="10"/>
  <c r="P549" i="10"/>
  <c r="Q537" i="10"/>
  <c r="P537" i="10"/>
  <c r="Q525" i="10"/>
  <c r="P525" i="10"/>
  <c r="Q513" i="10"/>
  <c r="P513" i="10"/>
  <c r="Q501" i="10"/>
  <c r="P501" i="10"/>
  <c r="Q489" i="10"/>
  <c r="P489" i="10"/>
  <c r="Q477" i="10"/>
  <c r="P477" i="10"/>
  <c r="Q465" i="10"/>
  <c r="P465" i="10"/>
  <c r="Q453" i="10"/>
  <c r="P453" i="10"/>
  <c r="Q441" i="10"/>
  <c r="P441" i="10"/>
  <c r="Q429" i="10"/>
  <c r="P429" i="10"/>
  <c r="Q417" i="10"/>
  <c r="P417" i="10"/>
  <c r="Q405" i="10"/>
  <c r="P405" i="10"/>
  <c r="Q393" i="10"/>
  <c r="P393" i="10"/>
  <c r="Q381" i="10"/>
  <c r="P381" i="10"/>
  <c r="Q369" i="10"/>
  <c r="P369" i="10"/>
  <c r="Q357" i="10"/>
  <c r="P357" i="10"/>
  <c r="Q345" i="10"/>
  <c r="P345" i="10"/>
  <c r="P333" i="10"/>
  <c r="Q333" i="10"/>
  <c r="P321" i="10"/>
  <c r="Q321" i="10"/>
  <c r="P309" i="10"/>
  <c r="Q309" i="10"/>
  <c r="P297" i="10"/>
  <c r="Q297" i="10"/>
  <c r="P285" i="10"/>
  <c r="Q285" i="10"/>
  <c r="P273" i="10"/>
  <c r="Q273" i="10"/>
  <c r="P261" i="10"/>
  <c r="Q261" i="10"/>
  <c r="P249" i="10"/>
  <c r="Q249" i="10"/>
  <c r="P237" i="10"/>
  <c r="Q237" i="10"/>
  <c r="P225" i="10"/>
  <c r="Q225" i="10"/>
  <c r="P213" i="10"/>
  <c r="Q213" i="10"/>
  <c r="O639" i="10"/>
  <c r="O624" i="10"/>
  <c r="O608" i="10"/>
  <c r="O591" i="10"/>
  <c r="O576" i="10"/>
  <c r="O555" i="10"/>
  <c r="O533" i="10"/>
  <c r="O516" i="10"/>
  <c r="O494" i="10"/>
  <c r="O472" i="10"/>
  <c r="O452" i="10"/>
  <c r="O424" i="10"/>
  <c r="O398" i="10"/>
  <c r="O365" i="10"/>
  <c r="O339" i="10"/>
  <c r="O310" i="10"/>
  <c r="O272" i="10"/>
  <c r="O242" i="10"/>
  <c r="O201" i="10"/>
  <c r="O171" i="10"/>
  <c r="O139" i="10"/>
  <c r="O100" i="10"/>
  <c r="O68" i="10"/>
  <c r="O28" i="10"/>
  <c r="P638" i="10"/>
  <c r="P603" i="10"/>
  <c r="P558" i="10"/>
  <c r="P523" i="10"/>
  <c r="P474" i="10"/>
  <c r="P436" i="10"/>
  <c r="P398" i="10"/>
  <c r="P305" i="10"/>
  <c r="P212" i="10"/>
  <c r="P43" i="10"/>
  <c r="Q354" i="10"/>
  <c r="P354" i="10"/>
  <c r="Q270" i="10"/>
  <c r="P270" i="10"/>
  <c r="Q54" i="10"/>
  <c r="P54" i="10"/>
  <c r="O530" i="10"/>
  <c r="O362" i="10"/>
  <c r="Q389" i="10"/>
  <c r="P389" i="10"/>
  <c r="Q599" i="10"/>
  <c r="P599" i="10"/>
  <c r="Q479" i="10"/>
  <c r="P479" i="10"/>
  <c r="Q431" i="10"/>
  <c r="P431" i="10"/>
  <c r="Q371" i="10"/>
  <c r="P371" i="10"/>
  <c r="P323" i="10"/>
  <c r="Q323" i="10"/>
  <c r="P275" i="10"/>
  <c r="Q275" i="10"/>
  <c r="P215" i="10"/>
  <c r="Q215" i="10"/>
  <c r="P155" i="10"/>
  <c r="Q155" i="10"/>
  <c r="P47" i="10"/>
  <c r="Q47" i="10"/>
  <c r="Q646" i="10"/>
  <c r="P646" i="10"/>
  <c r="Q610" i="10"/>
  <c r="P610" i="10"/>
  <c r="Q562" i="10"/>
  <c r="P562" i="10"/>
  <c r="Q550" i="10"/>
  <c r="P550" i="10"/>
  <c r="Q538" i="10"/>
  <c r="P538" i="10"/>
  <c r="Q514" i="10"/>
  <c r="P514" i="10"/>
  <c r="Q645" i="10"/>
  <c r="P645" i="10"/>
  <c r="Q644" i="10"/>
  <c r="P644" i="10"/>
  <c r="Q632" i="10"/>
  <c r="P632" i="10"/>
  <c r="Q620" i="10"/>
  <c r="P620" i="10"/>
  <c r="Q608" i="10"/>
  <c r="P608" i="10"/>
  <c r="Q596" i="10"/>
  <c r="P596" i="10"/>
  <c r="Q584" i="10"/>
  <c r="P584" i="10"/>
  <c r="Q572" i="10"/>
  <c r="P572" i="10"/>
  <c r="Q560" i="10"/>
  <c r="P560" i="10"/>
  <c r="Q548" i="10"/>
  <c r="P548" i="10"/>
  <c r="Q536" i="10"/>
  <c r="P536" i="10"/>
  <c r="Q524" i="10"/>
  <c r="P524" i="10"/>
  <c r="Q512" i="10"/>
  <c r="P512" i="10"/>
  <c r="Q500" i="10"/>
  <c r="P500" i="10"/>
  <c r="Q488" i="10"/>
  <c r="P488" i="10"/>
  <c r="Q476" i="10"/>
  <c r="P476" i="10"/>
  <c r="Q464" i="10"/>
  <c r="P464" i="10"/>
  <c r="Q452" i="10"/>
  <c r="P452" i="10"/>
  <c r="Q440" i="10"/>
  <c r="P440" i="10"/>
  <c r="Q428" i="10"/>
  <c r="P428" i="10"/>
  <c r="Q416" i="10"/>
  <c r="P416" i="10"/>
  <c r="Q404" i="10"/>
  <c r="P404" i="10"/>
  <c r="Q392" i="10"/>
  <c r="P392" i="10"/>
  <c r="Q380" i="10"/>
  <c r="P380" i="10"/>
  <c r="Q368" i="10"/>
  <c r="P368" i="10"/>
  <c r="Q356" i="10"/>
  <c r="P356" i="10"/>
  <c r="Q344" i="10"/>
  <c r="P344" i="10"/>
  <c r="Q332" i="10"/>
  <c r="P332" i="10"/>
  <c r="Q320" i="10"/>
  <c r="P320" i="10"/>
  <c r="Q308" i="10"/>
  <c r="P308" i="10"/>
  <c r="Q296" i="10"/>
  <c r="P296" i="10"/>
  <c r="Q284" i="10"/>
  <c r="P284" i="10"/>
  <c r="Q272" i="10"/>
  <c r="P272" i="10"/>
  <c r="Q260" i="10"/>
  <c r="P260" i="10"/>
  <c r="Q248" i="10"/>
  <c r="P248" i="10"/>
  <c r="Q236" i="10"/>
  <c r="P236" i="10"/>
  <c r="Q224" i="10"/>
  <c r="P224" i="10"/>
  <c r="Q200" i="10"/>
  <c r="P200" i="10"/>
  <c r="Q188" i="10"/>
  <c r="P188" i="10"/>
  <c r="Q164" i="10"/>
  <c r="P164" i="10"/>
  <c r="Q152" i="10"/>
  <c r="P152" i="10"/>
  <c r="Q140" i="10"/>
  <c r="P140" i="10"/>
  <c r="Q128" i="10"/>
  <c r="P128" i="10"/>
  <c r="Q116" i="10"/>
  <c r="P116" i="10"/>
  <c r="Q104" i="10"/>
  <c r="P104" i="10"/>
  <c r="Q92" i="10"/>
  <c r="P92" i="10"/>
  <c r="Q80" i="10"/>
  <c r="P80" i="10"/>
  <c r="Q68" i="10"/>
  <c r="P68" i="10"/>
  <c r="Q56" i="10"/>
  <c r="P56" i="10"/>
  <c r="Q32" i="10"/>
  <c r="P32" i="10"/>
  <c r="Q20" i="10"/>
  <c r="P20" i="10"/>
  <c r="Q8" i="10"/>
  <c r="P8" i="10"/>
  <c r="O638" i="10"/>
  <c r="O623" i="10"/>
  <c r="O605" i="10"/>
  <c r="O590" i="10"/>
  <c r="O575" i="10"/>
  <c r="O554" i="10"/>
  <c r="O532" i="10"/>
  <c r="O512" i="10"/>
  <c r="O493" i="10"/>
  <c r="O471" i="10"/>
  <c r="O449" i="10"/>
  <c r="O423" i="10"/>
  <c r="O397" i="10"/>
  <c r="O364" i="10"/>
  <c r="O338" i="10"/>
  <c r="O302" i="10"/>
  <c r="O271" i="10"/>
  <c r="O241" i="10"/>
  <c r="O200" i="10"/>
  <c r="O170" i="10"/>
  <c r="O129" i="10"/>
  <c r="O99" i="10"/>
  <c r="O67" i="10"/>
  <c r="P637" i="10"/>
  <c r="P592" i="10"/>
  <c r="P522" i="10"/>
  <c r="P435" i="10"/>
  <c r="P379" i="10"/>
  <c r="P304" i="10"/>
  <c r="P211" i="10"/>
  <c r="P42" i="10"/>
  <c r="Q365" i="10"/>
  <c r="O11" i="10"/>
  <c r="O23" i="10"/>
  <c r="O35" i="10"/>
  <c r="O47" i="10"/>
  <c r="O59" i="10"/>
  <c r="O71" i="10"/>
  <c r="O83" i="10"/>
  <c r="O95" i="10"/>
  <c r="O107" i="10"/>
  <c r="O119" i="10"/>
  <c r="O131" i="10"/>
  <c r="O143" i="10"/>
  <c r="O155" i="10"/>
  <c r="O167" i="10"/>
  <c r="O179" i="10"/>
  <c r="O191" i="10"/>
  <c r="O203" i="10"/>
  <c r="O215" i="10"/>
  <c r="O227" i="10"/>
  <c r="O239" i="10"/>
  <c r="O251" i="10"/>
  <c r="O263" i="10"/>
  <c r="O275" i="10"/>
  <c r="O287" i="10"/>
  <c r="O299" i="10"/>
  <c r="O311" i="10"/>
  <c r="O323" i="10"/>
  <c r="O335" i="10"/>
  <c r="O12" i="10"/>
  <c r="O24" i="10"/>
  <c r="O36" i="10"/>
  <c r="O48" i="10"/>
  <c r="O60" i="10"/>
  <c r="O72" i="10"/>
  <c r="O84" i="10"/>
  <c r="O96" i="10"/>
  <c r="O108" i="10"/>
  <c r="O120" i="10"/>
  <c r="O132" i="10"/>
  <c r="O144" i="10"/>
  <c r="O156" i="10"/>
  <c r="O168" i="10"/>
  <c r="O180" i="10"/>
  <c r="O192" i="10"/>
  <c r="O204" i="10"/>
  <c r="O216" i="10"/>
  <c r="O228" i="10"/>
  <c r="O240" i="10"/>
  <c r="O252" i="10"/>
  <c r="O264" i="10"/>
  <c r="O276" i="10"/>
  <c r="O288" i="10"/>
  <c r="O15" i="10"/>
  <c r="O27" i="10"/>
  <c r="O39" i="10"/>
  <c r="O13" i="10"/>
  <c r="O29" i="10"/>
  <c r="O44" i="10"/>
  <c r="O58" i="10"/>
  <c r="O74" i="10"/>
  <c r="O88" i="10"/>
  <c r="O102" i="10"/>
  <c r="O116" i="10"/>
  <c r="O130" i="10"/>
  <c r="O146" i="10"/>
  <c r="O160" i="10"/>
  <c r="O174" i="10"/>
  <c r="O188" i="10"/>
  <c r="O202" i="10"/>
  <c r="O218" i="10"/>
  <c r="O232" i="10"/>
  <c r="O246" i="10"/>
  <c r="O260" i="10"/>
  <c r="O274" i="10"/>
  <c r="O290" i="10"/>
  <c r="O303" i="10"/>
  <c r="O316" i="10"/>
  <c r="O329" i="10"/>
  <c r="O342" i="10"/>
  <c r="O354" i="10"/>
  <c r="O366" i="10"/>
  <c r="O378" i="10"/>
  <c r="O390" i="10"/>
  <c r="O402" i="10"/>
  <c r="O414" i="10"/>
  <c r="O426" i="10"/>
  <c r="O438" i="10"/>
  <c r="O450" i="10"/>
  <c r="O462" i="10"/>
  <c r="O474" i="10"/>
  <c r="O486" i="10"/>
  <c r="O498" i="10"/>
  <c r="O510" i="10"/>
  <c r="O522" i="10"/>
  <c r="O534" i="10"/>
  <c r="O546" i="10"/>
  <c r="O558" i="10"/>
  <c r="O570" i="10"/>
  <c r="O582" i="10"/>
  <c r="O594" i="10"/>
  <c r="O606" i="10"/>
  <c r="O618" i="10"/>
  <c r="O630" i="10"/>
  <c r="O642" i="10"/>
  <c r="O14" i="10"/>
  <c r="O30" i="10"/>
  <c r="O45" i="10"/>
  <c r="O61" i="10"/>
  <c r="O75" i="10"/>
  <c r="O89" i="10"/>
  <c r="O103" i="10"/>
  <c r="O117" i="10"/>
  <c r="O133" i="10"/>
  <c r="O147" i="10"/>
  <c r="O161" i="10"/>
  <c r="O175" i="10"/>
  <c r="O189" i="10"/>
  <c r="O205" i="10"/>
  <c r="O219" i="10"/>
  <c r="O233" i="10"/>
  <c r="O247" i="10"/>
  <c r="O261" i="10"/>
  <c r="O277" i="10"/>
  <c r="O291" i="10"/>
  <c r="O304" i="10"/>
  <c r="O317" i="10"/>
  <c r="O330" i="10"/>
  <c r="O343" i="10"/>
  <c r="O355" i="10"/>
  <c r="O367" i="10"/>
  <c r="O379" i="10"/>
  <c r="O391" i="10"/>
  <c r="O403" i="10"/>
  <c r="O415" i="10"/>
  <c r="O427" i="10"/>
  <c r="O439" i="10"/>
  <c r="O451" i="10"/>
  <c r="O463" i="10"/>
  <c r="O475" i="10"/>
  <c r="O487" i="10"/>
  <c r="O499" i="10"/>
  <c r="O511" i="10"/>
  <c r="O523" i="10"/>
  <c r="O535" i="10"/>
  <c r="O547" i="10"/>
  <c r="O559" i="10"/>
  <c r="O571" i="10"/>
  <c r="O583" i="10"/>
  <c r="O595" i="10"/>
  <c r="O607" i="10"/>
  <c r="O619" i="10"/>
  <c r="O631" i="10"/>
  <c r="O643" i="10"/>
  <c r="O16" i="10"/>
  <c r="O31" i="10"/>
  <c r="O46" i="10"/>
  <c r="O62" i="10"/>
  <c r="O76" i="10"/>
  <c r="O90" i="10"/>
  <c r="O104" i="10"/>
  <c r="O118" i="10"/>
  <c r="O134" i="10"/>
  <c r="O148" i="10"/>
  <c r="O162" i="10"/>
  <c r="O176" i="10"/>
  <c r="O190" i="10"/>
  <c r="O206" i="10"/>
  <c r="O220" i="10"/>
  <c r="O234" i="10"/>
  <c r="O248" i="10"/>
  <c r="O262" i="10"/>
  <c r="O278" i="10"/>
  <c r="O292" i="10"/>
  <c r="O305" i="10"/>
  <c r="O318" i="10"/>
  <c r="O331" i="10"/>
  <c r="O344" i="10"/>
  <c r="O356" i="10"/>
  <c r="O368" i="10"/>
  <c r="O380" i="10"/>
  <c r="O392" i="10"/>
  <c r="O404" i="10"/>
  <c r="O416" i="10"/>
  <c r="O428" i="10"/>
  <c r="O440" i="10"/>
  <c r="O17" i="10"/>
  <c r="O32" i="10"/>
  <c r="O49" i="10"/>
  <c r="O63" i="10"/>
  <c r="O77" i="10"/>
  <c r="O91" i="10"/>
  <c r="O105" i="10"/>
  <c r="O121" i="10"/>
  <c r="O135" i="10"/>
  <c r="O149" i="10"/>
  <c r="O163" i="10"/>
  <c r="O177" i="10"/>
  <c r="O193" i="10"/>
  <c r="O207" i="10"/>
  <c r="O221" i="10"/>
  <c r="O235" i="10"/>
  <c r="O249" i="10"/>
  <c r="O265" i="10"/>
  <c r="O279" i="10"/>
  <c r="O293" i="10"/>
  <c r="O306" i="10"/>
  <c r="O319" i="10"/>
  <c r="O332" i="10"/>
  <c r="O345" i="10"/>
  <c r="O357" i="10"/>
  <c r="O369" i="10"/>
  <c r="O381" i="10"/>
  <c r="O393" i="10"/>
  <c r="O405" i="10"/>
  <c r="O417" i="10"/>
  <c r="O429" i="10"/>
  <c r="O441" i="10"/>
  <c r="O453" i="10"/>
  <c r="O465" i="10"/>
  <c r="O477" i="10"/>
  <c r="O489" i="10"/>
  <c r="O501" i="10"/>
  <c r="O513" i="10"/>
  <c r="O525" i="10"/>
  <c r="O537" i="10"/>
  <c r="O549" i="10"/>
  <c r="O561" i="10"/>
  <c r="O573" i="10"/>
  <c r="O18" i="10"/>
  <c r="O33" i="10"/>
  <c r="O50" i="10"/>
  <c r="O64" i="10"/>
  <c r="O78" i="10"/>
  <c r="O92" i="10"/>
  <c r="O106" i="10"/>
  <c r="O122" i="10"/>
  <c r="O136" i="10"/>
  <c r="O150" i="10"/>
  <c r="O164" i="10"/>
  <c r="O178" i="10"/>
  <c r="O194" i="10"/>
  <c r="O208" i="10"/>
  <c r="O222" i="10"/>
  <c r="O236" i="10"/>
  <c r="O250" i="10"/>
  <c r="O266" i="10"/>
  <c r="O280" i="10"/>
  <c r="O294" i="10"/>
  <c r="O307" i="10"/>
  <c r="O320" i="10"/>
  <c r="O333" i="10"/>
  <c r="O346" i="10"/>
  <c r="O358" i="10"/>
  <c r="O370" i="10"/>
  <c r="O382" i="10"/>
  <c r="O394" i="10"/>
  <c r="O406" i="10"/>
  <c r="O418" i="10"/>
  <c r="O430" i="10"/>
  <c r="O442" i="10"/>
  <c r="O454" i="10"/>
  <c r="O466" i="10"/>
  <c r="O478" i="10"/>
  <c r="O490" i="10"/>
  <c r="O502" i="10"/>
  <c r="O514" i="10"/>
  <c r="O526" i="10"/>
  <c r="O538" i="10"/>
  <c r="O550" i="10"/>
  <c r="O562" i="10"/>
  <c r="O574" i="10"/>
  <c r="O586" i="10"/>
  <c r="O598" i="10"/>
  <c r="O610" i="10"/>
  <c r="O622" i="10"/>
  <c r="O634" i="10"/>
  <c r="O646" i="10"/>
  <c r="O19" i="10"/>
  <c r="O34" i="10"/>
  <c r="O51" i="10"/>
  <c r="O65" i="10"/>
  <c r="O79" i="10"/>
  <c r="O93" i="10"/>
  <c r="O109" i="10"/>
  <c r="O123" i="10"/>
  <c r="O137" i="10"/>
  <c r="O151" i="10"/>
  <c r="O165" i="10"/>
  <c r="O181" i="10"/>
  <c r="O195" i="10"/>
  <c r="O209" i="10"/>
  <c r="O223" i="10"/>
  <c r="O237" i="10"/>
  <c r="O253" i="10"/>
  <c r="O267" i="10"/>
  <c r="O281" i="10"/>
  <c r="O295" i="10"/>
  <c r="O308" i="10"/>
  <c r="O321" i="10"/>
  <c r="O334" i="10"/>
  <c r="O347" i="10"/>
  <c r="O359" i="10"/>
  <c r="O371" i="10"/>
  <c r="O383" i="10"/>
  <c r="O395" i="10"/>
  <c r="O407" i="10"/>
  <c r="O419" i="10"/>
  <c r="O431" i="10"/>
  <c r="O443" i="10"/>
  <c r="O455" i="10"/>
  <c r="O467" i="10"/>
  <c r="O479" i="10"/>
  <c r="O491" i="10"/>
  <c r="O503" i="10"/>
  <c r="O515" i="10"/>
  <c r="O527" i="10"/>
  <c r="O539" i="10"/>
  <c r="O551" i="10"/>
  <c r="O563" i="10"/>
  <c r="O20" i="10"/>
  <c r="O37" i="10"/>
  <c r="O52" i="10"/>
  <c r="O66" i="10"/>
  <c r="O80" i="10"/>
  <c r="O94" i="10"/>
  <c r="O110" i="10"/>
  <c r="O124" i="10"/>
  <c r="O138" i="10"/>
  <c r="O152" i="10"/>
  <c r="O166" i="10"/>
  <c r="O182" i="10"/>
  <c r="O196" i="10"/>
  <c r="O210" i="10"/>
  <c r="O224" i="10"/>
  <c r="O238" i="10"/>
  <c r="O254" i="10"/>
  <c r="O268" i="10"/>
  <c r="O282" i="10"/>
  <c r="O296" i="10"/>
  <c r="O309" i="10"/>
  <c r="O322" i="10"/>
  <c r="O336" i="10"/>
  <c r="O348" i="10"/>
  <c r="O360" i="10"/>
  <c r="O372" i="10"/>
  <c r="O384" i="10"/>
  <c r="O396" i="10"/>
  <c r="O408" i="10"/>
  <c r="O420" i="10"/>
  <c r="O432" i="10"/>
  <c r="O444" i="10"/>
  <c r="O421" i="10"/>
  <c r="Q617" i="10"/>
  <c r="P617" i="10"/>
  <c r="Q580" i="10"/>
  <c r="P580" i="10"/>
  <c r="Q611" i="10"/>
  <c r="P611" i="10"/>
  <c r="Q551" i="10"/>
  <c r="P551" i="10"/>
  <c r="Q503" i="10"/>
  <c r="P503" i="10"/>
  <c r="Q407" i="10"/>
  <c r="P407" i="10"/>
  <c r="P335" i="10"/>
  <c r="Q335" i="10"/>
  <c r="P251" i="10"/>
  <c r="Q251" i="10"/>
  <c r="P167" i="10"/>
  <c r="Q167" i="10"/>
  <c r="P35" i="10"/>
  <c r="Q35" i="10"/>
  <c r="Q598" i="10"/>
  <c r="P598" i="10"/>
  <c r="Q643" i="10"/>
  <c r="P643" i="10"/>
  <c r="Q631" i="10"/>
  <c r="P631" i="10"/>
  <c r="Q595" i="10"/>
  <c r="P595" i="10"/>
  <c r="Q583" i="10"/>
  <c r="P583" i="10"/>
  <c r="Q547" i="10"/>
  <c r="P547" i="10"/>
  <c r="Q535" i="10"/>
  <c r="P535" i="10"/>
  <c r="Q511" i="10"/>
  <c r="P511" i="10"/>
  <c r="Q499" i="10"/>
  <c r="P499" i="10"/>
  <c r="Q475" i="10"/>
  <c r="P475" i="10"/>
  <c r="Q463" i="10"/>
  <c r="P463" i="10"/>
  <c r="Q439" i="10"/>
  <c r="P439" i="10"/>
  <c r="Q427" i="10"/>
  <c r="P427" i="10"/>
  <c r="Q403" i="10"/>
  <c r="P403" i="10"/>
  <c r="Q391" i="10"/>
  <c r="P391" i="10"/>
  <c r="Q367" i="10"/>
  <c r="P367" i="10"/>
  <c r="Q355" i="10"/>
  <c r="P355" i="10"/>
  <c r="Q343" i="10"/>
  <c r="P343" i="10"/>
  <c r="Q331" i="10"/>
  <c r="P331" i="10"/>
  <c r="Q319" i="10"/>
  <c r="P319" i="10"/>
  <c r="Q307" i="10"/>
  <c r="P307" i="10"/>
  <c r="Q295" i="10"/>
  <c r="P295" i="10"/>
  <c r="Q283" i="10"/>
  <c r="P283" i="10"/>
  <c r="Q271" i="10"/>
  <c r="P271" i="10"/>
  <c r="Q259" i="10"/>
  <c r="P259" i="10"/>
  <c r="Q247" i="10"/>
  <c r="P247" i="10"/>
  <c r="Q235" i="10"/>
  <c r="P235" i="10"/>
  <c r="Q223" i="10"/>
  <c r="P223" i="10"/>
  <c r="Q199" i="10"/>
  <c r="P199" i="10"/>
  <c r="Q187" i="10"/>
  <c r="P187" i="10"/>
  <c r="Q163" i="10"/>
  <c r="P163" i="10"/>
  <c r="Q151" i="10"/>
  <c r="P151" i="10"/>
  <c r="Q127" i="10"/>
  <c r="P127" i="10"/>
  <c r="Q115" i="10"/>
  <c r="P115" i="10"/>
  <c r="Q103" i="10"/>
  <c r="P103" i="10"/>
  <c r="Q91" i="10"/>
  <c r="P91" i="10"/>
  <c r="Q79" i="10"/>
  <c r="P79" i="10"/>
  <c r="Q67" i="10"/>
  <c r="P67" i="10"/>
  <c r="Q55" i="10"/>
  <c r="P55" i="10"/>
  <c r="Q31" i="10"/>
  <c r="P31" i="10"/>
  <c r="Q19" i="10"/>
  <c r="P19" i="10"/>
  <c r="Q7" i="10"/>
  <c r="P7" i="10"/>
  <c r="O637" i="10"/>
  <c r="O621" i="10"/>
  <c r="O604" i="10"/>
  <c r="O589" i="10"/>
  <c r="O572" i="10"/>
  <c r="O553" i="10"/>
  <c r="O531" i="10"/>
  <c r="O509" i="10"/>
  <c r="O492" i="10"/>
  <c r="O470" i="10"/>
  <c r="O448" i="10"/>
  <c r="O422" i="10"/>
  <c r="O389" i="10"/>
  <c r="O363" i="10"/>
  <c r="O337" i="10"/>
  <c r="O301" i="10"/>
  <c r="O270" i="10"/>
  <c r="O231" i="10"/>
  <c r="O199" i="10"/>
  <c r="O169" i="10"/>
  <c r="O128" i="10"/>
  <c r="O98" i="10"/>
  <c r="O57" i="10"/>
  <c r="O25" i="10"/>
  <c r="P635" i="10"/>
  <c r="P591" i="10"/>
  <c r="P510" i="10"/>
  <c r="P472" i="10"/>
  <c r="P434" i="10"/>
  <c r="P378" i="10"/>
  <c r="P303" i="10"/>
  <c r="P180" i="10"/>
  <c r="Q647" i="10"/>
  <c r="Q221" i="10"/>
  <c r="P25" i="10"/>
  <c r="Q13" i="10"/>
  <c r="P13" i="10"/>
  <c r="P202" i="10"/>
  <c r="Q202" i="10"/>
  <c r="P190" i="10"/>
  <c r="Q190" i="10"/>
  <c r="P178" i="10"/>
  <c r="Q178" i="10"/>
  <c r="P166" i="10"/>
  <c r="Q166" i="10"/>
  <c r="P154" i="10"/>
  <c r="Q154" i="10"/>
  <c r="P142" i="10"/>
  <c r="Q142" i="10"/>
  <c r="P130" i="10"/>
  <c r="Q130" i="10"/>
  <c r="P118" i="10"/>
  <c r="Q118" i="10"/>
  <c r="P106" i="10"/>
  <c r="Q106" i="10"/>
  <c r="P94" i="10"/>
  <c r="Q94" i="10"/>
  <c r="P82" i="10"/>
  <c r="Q82" i="10"/>
  <c r="P70" i="10"/>
  <c r="Q70" i="10"/>
  <c r="P58" i="10"/>
  <c r="Q58" i="10"/>
  <c r="P46" i="10"/>
  <c r="Q46" i="10"/>
  <c r="P34" i="10"/>
  <c r="Q34" i="10"/>
  <c r="P22" i="10"/>
  <c r="Q22" i="10"/>
  <c r="P10" i="10"/>
  <c r="Q10" i="10"/>
  <c r="P201" i="10"/>
  <c r="Q201" i="10"/>
  <c r="P189" i="10"/>
  <c r="Q189" i="10"/>
  <c r="P177" i="10"/>
  <c r="Q177" i="10"/>
  <c r="P165" i="10"/>
  <c r="Q165" i="10"/>
  <c r="P153" i="10"/>
  <c r="Q153" i="10"/>
  <c r="P141" i="10"/>
  <c r="Q141" i="10"/>
  <c r="P129" i="10"/>
  <c r="Q129" i="10"/>
  <c r="P117" i="10"/>
  <c r="Q117" i="10"/>
  <c r="P105" i="10"/>
  <c r="Q105" i="10"/>
  <c r="P93" i="10"/>
  <c r="Q93" i="10"/>
  <c r="P81" i="10"/>
  <c r="Q81" i="10"/>
  <c r="P69" i="10"/>
  <c r="Q69" i="10"/>
  <c r="P57" i="10"/>
  <c r="Q57" i="10"/>
  <c r="P45" i="10"/>
  <c r="Q45" i="10"/>
  <c r="P33" i="10"/>
  <c r="Q33" i="10"/>
  <c r="P21" i="10"/>
  <c r="Q21" i="10"/>
  <c r="P9" i="10"/>
  <c r="Q9" i="10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5" i="1"/>
  <c r="Q4" i="1"/>
  <c r="J20" i="1" s="1"/>
  <c r="Q8" i="1" l="1"/>
  <c r="J506" i="1"/>
  <c r="J88" i="1"/>
  <c r="J412" i="1"/>
  <c r="J64" i="1"/>
  <c r="J590" i="1"/>
  <c r="J302" i="1"/>
  <c r="J632" i="1"/>
  <c r="J615" i="1"/>
  <c r="J596" i="1"/>
  <c r="J579" i="1"/>
  <c r="J560" i="1"/>
  <c r="J543" i="1"/>
  <c r="J524" i="1"/>
  <c r="J507" i="1"/>
  <c r="J488" i="1"/>
  <c r="J471" i="1"/>
  <c r="J452" i="1"/>
  <c r="J435" i="1"/>
  <c r="J416" i="1"/>
  <c r="J399" i="1"/>
  <c r="J380" i="1"/>
  <c r="J363" i="1"/>
  <c r="J344" i="1"/>
  <c r="J327" i="1"/>
  <c r="J308" i="1"/>
  <c r="J291" i="1"/>
  <c r="J272" i="1"/>
  <c r="J255" i="1"/>
  <c r="J236" i="1"/>
  <c r="J219" i="1"/>
  <c r="J200" i="1"/>
  <c r="J183" i="1"/>
  <c r="J164" i="1"/>
  <c r="J147" i="1"/>
  <c r="J128" i="1"/>
  <c r="J111" i="1"/>
  <c r="J89" i="1"/>
  <c r="J68" i="1"/>
  <c r="J46" i="1"/>
  <c r="J28" i="1"/>
  <c r="J594" i="1"/>
  <c r="J470" i="1"/>
  <c r="J434" i="1"/>
  <c r="J378" i="1"/>
  <c r="J290" i="1"/>
  <c r="J162" i="1"/>
  <c r="J27" i="1"/>
  <c r="J614" i="1"/>
  <c r="J558" i="1"/>
  <c r="J486" i="1"/>
  <c r="J450" i="1"/>
  <c r="J414" i="1"/>
  <c r="J398" i="1"/>
  <c r="J342" i="1"/>
  <c r="J306" i="1"/>
  <c r="J234" i="1"/>
  <c r="J182" i="1"/>
  <c r="J106" i="1"/>
  <c r="J45" i="1"/>
  <c r="J646" i="1"/>
  <c r="J629" i="1"/>
  <c r="J610" i="1"/>
  <c r="J593" i="1"/>
  <c r="J574" i="1"/>
  <c r="J557" i="1"/>
  <c r="J538" i="1"/>
  <c r="J521" i="1"/>
  <c r="J502" i="1"/>
  <c r="J485" i="1"/>
  <c r="J466" i="1"/>
  <c r="J449" i="1"/>
  <c r="J430" i="1"/>
  <c r="J413" i="1"/>
  <c r="J394" i="1"/>
  <c r="J377" i="1"/>
  <c r="J358" i="1"/>
  <c r="J341" i="1"/>
  <c r="J322" i="1"/>
  <c r="J305" i="1"/>
  <c r="J286" i="1"/>
  <c r="J269" i="1"/>
  <c r="J250" i="1"/>
  <c r="J233" i="1"/>
  <c r="J214" i="1"/>
  <c r="J197" i="1"/>
  <c r="J178" i="1"/>
  <c r="J161" i="1"/>
  <c r="J142" i="1"/>
  <c r="J125" i="1"/>
  <c r="J105" i="1"/>
  <c r="J87" i="1"/>
  <c r="J65" i="1"/>
  <c r="J44" i="1"/>
  <c r="J22" i="1"/>
  <c r="J198" i="1"/>
  <c r="J573" i="1"/>
  <c r="J376" i="1"/>
  <c r="J213" i="1"/>
  <c r="J141" i="1"/>
  <c r="J630" i="1"/>
  <c r="J126" i="1"/>
  <c r="J501" i="1"/>
  <c r="J357" i="1"/>
  <c r="J232" i="1"/>
  <c r="J177" i="1"/>
  <c r="J644" i="1"/>
  <c r="J627" i="1"/>
  <c r="J608" i="1"/>
  <c r="J591" i="1"/>
  <c r="J572" i="1"/>
  <c r="J555" i="1"/>
  <c r="J536" i="1"/>
  <c r="J519" i="1"/>
  <c r="J500" i="1"/>
  <c r="J483" i="1"/>
  <c r="J464" i="1"/>
  <c r="J447" i="1"/>
  <c r="J428" i="1"/>
  <c r="J411" i="1"/>
  <c r="J392" i="1"/>
  <c r="J375" i="1"/>
  <c r="J356" i="1"/>
  <c r="J339" i="1"/>
  <c r="J320" i="1"/>
  <c r="J303" i="1"/>
  <c r="J284" i="1"/>
  <c r="J267" i="1"/>
  <c r="J248" i="1"/>
  <c r="J231" i="1"/>
  <c r="J212" i="1"/>
  <c r="J195" i="1"/>
  <c r="J176" i="1"/>
  <c r="J159" i="1"/>
  <c r="J140" i="1"/>
  <c r="J123" i="1"/>
  <c r="J102" i="1"/>
  <c r="J81" i="1"/>
  <c r="J63" i="1"/>
  <c r="J41" i="1"/>
  <c r="J11" i="1"/>
  <c r="J23" i="1"/>
  <c r="J35" i="1"/>
  <c r="J47" i="1"/>
  <c r="J59" i="1"/>
  <c r="J71" i="1"/>
  <c r="J83" i="1"/>
  <c r="J95" i="1"/>
  <c r="J107" i="1"/>
  <c r="J119" i="1"/>
  <c r="J131" i="1"/>
  <c r="J143" i="1"/>
  <c r="J155" i="1"/>
  <c r="J167" i="1"/>
  <c r="J179" i="1"/>
  <c r="J191" i="1"/>
  <c r="J203" i="1"/>
  <c r="J215" i="1"/>
  <c r="J227" i="1"/>
  <c r="J239" i="1"/>
  <c r="J251" i="1"/>
  <c r="J263" i="1"/>
  <c r="J275" i="1"/>
  <c r="J287" i="1"/>
  <c r="J299" i="1"/>
  <c r="J311" i="1"/>
  <c r="J323" i="1"/>
  <c r="J335" i="1"/>
  <c r="J347" i="1"/>
  <c r="J359" i="1"/>
  <c r="J371" i="1"/>
  <c r="J383" i="1"/>
  <c r="J395" i="1"/>
  <c r="J407" i="1"/>
  <c r="J419" i="1"/>
  <c r="J431" i="1"/>
  <c r="J443" i="1"/>
  <c r="J455" i="1"/>
  <c r="J467" i="1"/>
  <c r="J479" i="1"/>
  <c r="J491" i="1"/>
  <c r="J503" i="1"/>
  <c r="J515" i="1"/>
  <c r="J527" i="1"/>
  <c r="J539" i="1"/>
  <c r="J551" i="1"/>
  <c r="J563" i="1"/>
  <c r="J575" i="1"/>
  <c r="J587" i="1"/>
  <c r="J599" i="1"/>
  <c r="J611" i="1"/>
  <c r="J623" i="1"/>
  <c r="J635" i="1"/>
  <c r="J647" i="1"/>
  <c r="J37" i="1"/>
  <c r="J49" i="1"/>
  <c r="J73" i="1"/>
  <c r="J97" i="1"/>
  <c r="J121" i="1"/>
  <c r="J145" i="1"/>
  <c r="J169" i="1"/>
  <c r="J193" i="1"/>
  <c r="J217" i="1"/>
  <c r="J241" i="1"/>
  <c r="J265" i="1"/>
  <c r="J289" i="1"/>
  <c r="J325" i="1"/>
  <c r="J349" i="1"/>
  <c r="J373" i="1"/>
  <c r="J397" i="1"/>
  <c r="J421" i="1"/>
  <c r="J445" i="1"/>
  <c r="J469" i="1"/>
  <c r="J493" i="1"/>
  <c r="J517" i="1"/>
  <c r="J541" i="1"/>
  <c r="J565" i="1"/>
  <c r="J589" i="1"/>
  <c r="J613" i="1"/>
  <c r="J637" i="1"/>
  <c r="J26" i="1"/>
  <c r="J62" i="1"/>
  <c r="J86" i="1"/>
  <c r="J98" i="1"/>
  <c r="J110" i="1"/>
  <c r="J12" i="1"/>
  <c r="J24" i="1"/>
  <c r="J36" i="1"/>
  <c r="J48" i="1"/>
  <c r="J60" i="1"/>
  <c r="J72" i="1"/>
  <c r="J84" i="1"/>
  <c r="J96" i="1"/>
  <c r="J108" i="1"/>
  <c r="J120" i="1"/>
  <c r="J132" i="1"/>
  <c r="J144" i="1"/>
  <c r="J156" i="1"/>
  <c r="J168" i="1"/>
  <c r="J180" i="1"/>
  <c r="J192" i="1"/>
  <c r="J204" i="1"/>
  <c r="J216" i="1"/>
  <c r="J228" i="1"/>
  <c r="J240" i="1"/>
  <c r="J252" i="1"/>
  <c r="J264" i="1"/>
  <c r="J276" i="1"/>
  <c r="J288" i="1"/>
  <c r="J300" i="1"/>
  <c r="J312" i="1"/>
  <c r="J324" i="1"/>
  <c r="J336" i="1"/>
  <c r="J348" i="1"/>
  <c r="J360" i="1"/>
  <c r="J372" i="1"/>
  <c r="J384" i="1"/>
  <c r="J396" i="1"/>
  <c r="J408" i="1"/>
  <c r="J420" i="1"/>
  <c r="J432" i="1"/>
  <c r="J444" i="1"/>
  <c r="J456" i="1"/>
  <c r="J468" i="1"/>
  <c r="J480" i="1"/>
  <c r="J492" i="1"/>
  <c r="J504" i="1"/>
  <c r="J516" i="1"/>
  <c r="J528" i="1"/>
  <c r="J540" i="1"/>
  <c r="J552" i="1"/>
  <c r="J564" i="1"/>
  <c r="J576" i="1"/>
  <c r="J588" i="1"/>
  <c r="J600" i="1"/>
  <c r="J612" i="1"/>
  <c r="J624" i="1"/>
  <c r="J636" i="1"/>
  <c r="J648" i="1"/>
  <c r="J25" i="1"/>
  <c r="J61" i="1"/>
  <c r="J85" i="1"/>
  <c r="J109" i="1"/>
  <c r="J133" i="1"/>
  <c r="J157" i="1"/>
  <c r="J181" i="1"/>
  <c r="J205" i="1"/>
  <c r="J229" i="1"/>
  <c r="J253" i="1"/>
  <c r="J277" i="1"/>
  <c r="J301" i="1"/>
  <c r="J313" i="1"/>
  <c r="J337" i="1"/>
  <c r="J361" i="1"/>
  <c r="J385" i="1"/>
  <c r="J409" i="1"/>
  <c r="J433" i="1"/>
  <c r="J457" i="1"/>
  <c r="J481" i="1"/>
  <c r="J505" i="1"/>
  <c r="J529" i="1"/>
  <c r="J553" i="1"/>
  <c r="J577" i="1"/>
  <c r="J601" i="1"/>
  <c r="J625" i="1"/>
  <c r="J5" i="1"/>
  <c r="J38" i="1"/>
  <c r="J50" i="1"/>
  <c r="J74" i="1"/>
  <c r="J13" i="1"/>
  <c r="J14" i="1"/>
  <c r="J15" i="1"/>
  <c r="J16" i="1"/>
  <c r="J6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559" i="1"/>
  <c r="J571" i="1"/>
  <c r="J583" i="1"/>
  <c r="J595" i="1"/>
  <c r="J607" i="1"/>
  <c r="J619" i="1"/>
  <c r="J631" i="1"/>
  <c r="J643" i="1"/>
  <c r="J9" i="1"/>
  <c r="J146" i="1"/>
  <c r="J645" i="1"/>
  <c r="J520" i="1"/>
  <c r="J321" i="1"/>
  <c r="J124" i="1"/>
  <c r="J498" i="1"/>
  <c r="J354" i="1"/>
  <c r="J138" i="1"/>
  <c r="J578" i="1"/>
  <c r="J66" i="1"/>
  <c r="J556" i="1"/>
  <c r="J393" i="1"/>
  <c r="J196" i="1"/>
  <c r="J642" i="1"/>
  <c r="J462" i="1"/>
  <c r="J266" i="1"/>
  <c r="J40" i="1"/>
  <c r="J586" i="1"/>
  <c r="J389" i="1"/>
  <c r="J298" i="1"/>
  <c r="J245" i="1"/>
  <c r="J190" i="1"/>
  <c r="J173" i="1"/>
  <c r="J154" i="1"/>
  <c r="J137" i="1"/>
  <c r="J118" i="1"/>
  <c r="J100" i="1"/>
  <c r="J78" i="1"/>
  <c r="J57" i="1"/>
  <c r="J39" i="1"/>
  <c r="J17" i="1"/>
  <c r="J218" i="1"/>
  <c r="J628" i="1"/>
  <c r="J484" i="1"/>
  <c r="J340" i="1"/>
  <c r="J160" i="1"/>
  <c r="J482" i="1"/>
  <c r="J318" i="1"/>
  <c r="J158" i="1"/>
  <c r="J569" i="1"/>
  <c r="J640" i="1"/>
  <c r="J297" i="1"/>
  <c r="J10" i="1"/>
  <c r="J270" i="1"/>
  <c r="J609" i="1"/>
  <c r="J448" i="1"/>
  <c r="J268" i="1"/>
  <c r="J104" i="1"/>
  <c r="J554" i="1"/>
  <c r="J390" i="1"/>
  <c r="J210" i="1"/>
  <c r="J58" i="1"/>
  <c r="J622" i="1"/>
  <c r="J514" i="1"/>
  <c r="J442" i="1"/>
  <c r="J317" i="1"/>
  <c r="J226" i="1"/>
  <c r="J568" i="1"/>
  <c r="J532" i="1"/>
  <c r="J460" i="1"/>
  <c r="J424" i="1"/>
  <c r="J352" i="1"/>
  <c r="J225" i="1"/>
  <c r="J117" i="1"/>
  <c r="J54" i="1"/>
  <c r="J522" i="1"/>
  <c r="J326" i="1"/>
  <c r="J537" i="1"/>
  <c r="J304" i="1"/>
  <c r="J21" i="1"/>
  <c r="J626" i="1"/>
  <c r="J534" i="1"/>
  <c r="J446" i="1"/>
  <c r="J374" i="1"/>
  <c r="J282" i="1"/>
  <c r="J194" i="1"/>
  <c r="J122" i="1"/>
  <c r="J533" i="1"/>
  <c r="J461" i="1"/>
  <c r="J406" i="1"/>
  <c r="J334" i="1"/>
  <c r="J281" i="1"/>
  <c r="J585" i="1"/>
  <c r="J477" i="1"/>
  <c r="J388" i="1"/>
  <c r="J316" i="1"/>
  <c r="J244" i="1"/>
  <c r="J189" i="1"/>
  <c r="J153" i="1"/>
  <c r="J99" i="1"/>
  <c r="J34" i="1"/>
  <c r="J639" i="1"/>
  <c r="J603" i="1"/>
  <c r="J567" i="1"/>
  <c r="J531" i="1"/>
  <c r="J495" i="1"/>
  <c r="J459" i="1"/>
  <c r="J423" i="1"/>
  <c r="J387" i="1"/>
  <c r="J351" i="1"/>
  <c r="J315" i="1"/>
  <c r="J279" i="1"/>
  <c r="J243" i="1"/>
  <c r="J207" i="1"/>
  <c r="J171" i="1"/>
  <c r="J135" i="1"/>
  <c r="J94" i="1"/>
  <c r="J8" i="1"/>
  <c r="J638" i="1"/>
  <c r="J618" i="1"/>
  <c r="J602" i="1"/>
  <c r="J582" i="1"/>
  <c r="J566" i="1"/>
  <c r="J546" i="1"/>
  <c r="J530" i="1"/>
  <c r="J510" i="1"/>
  <c r="J494" i="1"/>
  <c r="J474" i="1"/>
  <c r="J458" i="1"/>
  <c r="J438" i="1"/>
  <c r="J422" i="1"/>
  <c r="J402" i="1"/>
  <c r="J386" i="1"/>
  <c r="J366" i="1"/>
  <c r="J350" i="1"/>
  <c r="J330" i="1"/>
  <c r="J314" i="1"/>
  <c r="J294" i="1"/>
  <c r="J278" i="1"/>
  <c r="J258" i="1"/>
  <c r="J242" i="1"/>
  <c r="J222" i="1"/>
  <c r="J206" i="1"/>
  <c r="J186" i="1"/>
  <c r="J170" i="1"/>
  <c r="J150" i="1"/>
  <c r="J134" i="1"/>
  <c r="J114" i="1"/>
  <c r="J93" i="1"/>
  <c r="J75" i="1"/>
  <c r="J53" i="1"/>
  <c r="J32" i="1"/>
  <c r="Q6" i="1"/>
  <c r="Q7" i="1" s="1"/>
  <c r="J542" i="1"/>
  <c r="J362" i="1"/>
  <c r="J465" i="1"/>
  <c r="J249" i="1"/>
  <c r="J42" i="1"/>
  <c r="J606" i="1"/>
  <c r="J518" i="1"/>
  <c r="J426" i="1"/>
  <c r="J338" i="1"/>
  <c r="J246" i="1"/>
  <c r="J174" i="1"/>
  <c r="J101" i="1"/>
  <c r="J18" i="1"/>
  <c r="J641" i="1"/>
  <c r="J550" i="1"/>
  <c r="J497" i="1"/>
  <c r="J425" i="1"/>
  <c r="J353" i="1"/>
  <c r="J262" i="1"/>
  <c r="J621" i="1"/>
  <c r="J513" i="1"/>
  <c r="J405" i="1"/>
  <c r="J333" i="1"/>
  <c r="J261" i="1"/>
  <c r="J208" i="1"/>
  <c r="J172" i="1"/>
  <c r="J136" i="1"/>
  <c r="J77" i="1"/>
  <c r="J620" i="1"/>
  <c r="J584" i="1"/>
  <c r="J548" i="1"/>
  <c r="J512" i="1"/>
  <c r="J476" i="1"/>
  <c r="J440" i="1"/>
  <c r="J404" i="1"/>
  <c r="J368" i="1"/>
  <c r="J332" i="1"/>
  <c r="J296" i="1"/>
  <c r="J260" i="1"/>
  <c r="J224" i="1"/>
  <c r="J188" i="1"/>
  <c r="J152" i="1"/>
  <c r="J116" i="1"/>
  <c r="J76" i="1"/>
  <c r="J33" i="1"/>
  <c r="J634" i="1"/>
  <c r="J617" i="1"/>
  <c r="J598" i="1"/>
  <c r="J581" i="1"/>
  <c r="J562" i="1"/>
  <c r="J545" i="1"/>
  <c r="J526" i="1"/>
  <c r="J509" i="1"/>
  <c r="J490" i="1"/>
  <c r="J473" i="1"/>
  <c r="J454" i="1"/>
  <c r="J437" i="1"/>
  <c r="J418" i="1"/>
  <c r="J401" i="1"/>
  <c r="J382" i="1"/>
  <c r="J365" i="1"/>
  <c r="J346" i="1"/>
  <c r="J329" i="1"/>
  <c r="J310" i="1"/>
  <c r="J293" i="1"/>
  <c r="J274" i="1"/>
  <c r="J257" i="1"/>
  <c r="J238" i="1"/>
  <c r="J221" i="1"/>
  <c r="J202" i="1"/>
  <c r="J185" i="1"/>
  <c r="J166" i="1"/>
  <c r="J149" i="1"/>
  <c r="J130" i="1"/>
  <c r="J113" i="1"/>
  <c r="J92" i="1"/>
  <c r="J70" i="1"/>
  <c r="J52" i="1"/>
  <c r="J30" i="1"/>
  <c r="J254" i="1"/>
  <c r="J592" i="1"/>
  <c r="J429" i="1"/>
  <c r="J285" i="1"/>
  <c r="J82" i="1"/>
  <c r="J570" i="1"/>
  <c r="J410" i="1"/>
  <c r="J230" i="1"/>
  <c r="J80" i="1"/>
  <c r="J605" i="1"/>
  <c r="J478" i="1"/>
  <c r="J370" i="1"/>
  <c r="J209" i="1"/>
  <c r="J604" i="1"/>
  <c r="J549" i="1"/>
  <c r="J496" i="1"/>
  <c r="J441" i="1"/>
  <c r="J369" i="1"/>
  <c r="J280" i="1"/>
  <c r="J56" i="1"/>
  <c r="J633" i="1"/>
  <c r="J616" i="1"/>
  <c r="J597" i="1"/>
  <c r="J580" i="1"/>
  <c r="J561" i="1"/>
  <c r="J544" i="1"/>
  <c r="J525" i="1"/>
  <c r="J508" i="1"/>
  <c r="J489" i="1"/>
  <c r="J472" i="1"/>
  <c r="J453" i="1"/>
  <c r="J436" i="1"/>
  <c r="J417" i="1"/>
  <c r="J400" i="1"/>
  <c r="J381" i="1"/>
  <c r="J364" i="1"/>
  <c r="J345" i="1"/>
  <c r="J328" i="1"/>
  <c r="J309" i="1"/>
  <c r="J292" i="1"/>
  <c r="J273" i="1"/>
  <c r="J256" i="1"/>
  <c r="J237" i="1"/>
  <c r="J220" i="1"/>
  <c r="J201" i="1"/>
  <c r="J184" i="1"/>
  <c r="J165" i="1"/>
  <c r="J148" i="1"/>
  <c r="J129" i="1"/>
  <c r="J112" i="1"/>
  <c r="J90" i="1"/>
  <c r="J69" i="1"/>
  <c r="J51" i="1"/>
  <c r="J29" i="1"/>
  <c r="U34" i="10"/>
  <c r="U35" i="10" s="1"/>
  <c r="U36" i="10"/>
  <c r="U33" i="10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Q5" i="1" l="1"/>
</calcChain>
</file>

<file path=xl/sharedStrings.xml><?xml version="1.0" encoding="utf-8"?>
<sst xmlns="http://schemas.openxmlformats.org/spreadsheetml/2006/main" count="79" uniqueCount="56">
  <si>
    <t>Federal Funds Rate: Percent</t>
  </si>
  <si>
    <t>Month/Year</t>
  </si>
  <si>
    <t>Rate</t>
  </si>
  <si>
    <t>www.federalreserve.gov</t>
  </si>
  <si>
    <t>Actual</t>
  </si>
  <si>
    <t xml:space="preserve">Mean = </t>
  </si>
  <si>
    <t>Average deviation</t>
  </si>
  <si>
    <t>Squares error</t>
  </si>
  <si>
    <t xml:space="preserve">RMSE = </t>
  </si>
  <si>
    <t>Absolute percentage error</t>
  </si>
  <si>
    <t>Predicted</t>
  </si>
  <si>
    <t>MSE =</t>
  </si>
  <si>
    <t>MAD =</t>
  </si>
  <si>
    <t xml:space="preserve">MAPE = </t>
  </si>
  <si>
    <t>Moving average</t>
  </si>
  <si>
    <t>NA</t>
  </si>
  <si>
    <t>Based on moving average prediction, this sample has been choosen to calculate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</si>
  <si>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</si>
  <si>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</si>
  <si>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</si>
  <si>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</si>
  <si>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</si>
  <si>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</si>
  <si>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</si>
  <si>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</si>
  <si>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</si>
  <si>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</si>
  <si>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</si>
  <si>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</si>
  <si>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</si>
  <si>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</si>
  <si>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</si>
  <si>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</si>
  <si>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</si>
  <si>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</si>
  <si>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</si>
  <si>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</si>
  <si>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</si>
  <si>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</si>
  <si>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</si>
  <si>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</si>
  <si>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</si>
  <si>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</si>
  <si>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Original</t>
  </si>
  <si>
    <t>1st order</t>
  </si>
  <si>
    <t>2nd order</t>
  </si>
  <si>
    <t>3rd order</t>
  </si>
  <si>
    <t>X Variable 3</t>
  </si>
  <si>
    <t xml:space="preserve">So, we have </t>
  </si>
  <si>
    <t>Predict value</t>
  </si>
  <si>
    <t xml:space="preserve">MAD = </t>
  </si>
  <si>
    <t>We choose this sample to evaluate</t>
  </si>
  <si>
    <t>MAPE =</t>
  </si>
  <si>
    <t>Based on prediction, the predicted for April 2013 was approximately 0.15%</t>
  </si>
  <si>
    <t>Based on prediction, the predicted for April 2013 was approximately 0.2%</t>
  </si>
  <si>
    <t>Based on prediction, the predicted for April 2013 was approximately 0.14%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</si>
</sst>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164" formatCode="mmm\-yyyy"/>
    <numFmt numFmtId="165" formatCode="0.0000000%"/>
    <numFmt numFmtId="166" formatCode="_-* #,##0.00_-;\-* #,##0.00_-;_-* &quot;-&quot;_-;_-@_-"/>
    <numFmt numFmtId="167" formatCode="0.0000%"/>
    <numFmt numFmtId="168" formatCode="0.000000%"/>
    <numFmt numFmtId="169" formatCode="0.000000000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0" fontId="1" fillId="0" borderId="0" xfId="1" applyNumberFormat="1" applyFont="1"/>
    <xf numFmtId="0" fontId="2" fillId="0" borderId="1" xfId="0" applyFont="1" applyBorder="1"/>
    <xf numFmtId="10" fontId="0" fillId="0" borderId="0" xfId="1" applyNumberFormat="1" applyFont="1"/>
    <xf numFmtId="0" fontId="3" fillId="0" borderId="0" xfId="2"/>
    <xf numFmtId="10" fontId="1" fillId="0" borderId="0" xfId="0" applyNumberFormat="1" applyFont="1"/>
    <xf numFmtId="165" fontId="1" fillId="0" borderId="0" xfId="1" applyNumberFormat="1" applyFont="1"/>
    <xf numFmtId="166" fontId="1" fillId="0" borderId="0" xfId="3" applyNumberFormat="1" applyFont="1"/>
    <xf numFmtId="0" fontId="1" fillId="0" borderId="0" xfId="0" applyFont="1" applyAlignment="1">
      <alignment horizontal="right"/>
    </xf>
    <xf numFmtId="10" fontId="1" fillId="0" borderId="0" xfId="1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10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2" fontId="0" fillId="0" borderId="0" xfId="0" applyNumberFormat="1"/>
    <xf numFmtId="169" fontId="0" fillId="0" borderId="0" xfId="0" applyNumberFormat="1"/>
  </cellXfs>
  <cellStyles count="4">
    <cellStyle name="Comma [0]" xfId="3" builtinId="6"/>
    <cellStyle name="Hyperlink" xfId="2" builtinId="8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FE36EAC-F535-4D35-8C3B-E4E7E7362E5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Funds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3479561733259872E-2"/>
          <c:y val="4.1609997613934625E-3"/>
          <c:w val="0.90652043826674011"/>
          <c:h val="0.937721009305654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'Q1'!$A$4:$A$650</c:f>
              <c:numCache>
                <c:formatCode>mmm\-yyyy</c:formatCode>
                <c:ptCount val="647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</c:numCache>
            </c:numRef>
          </c:cat>
          <c:val>
            <c:numRef>
              <c:f>'Q1'!$B$4:$B$650</c:f>
              <c:numCache>
                <c:formatCode>0.00%</c:formatCode>
                <c:ptCount val="647"/>
                <c:pt idx="0">
                  <c:v>3.9900000000000005E-2</c:v>
                </c:pt>
                <c:pt idx="1">
                  <c:v>3.9699999999999999E-2</c:v>
                </c:pt>
                <c:pt idx="2">
                  <c:v>3.8399999999999997E-2</c:v>
                </c:pt>
                <c:pt idx="3">
                  <c:v>3.9199999999999999E-2</c:v>
                </c:pt>
                <c:pt idx="4">
                  <c:v>3.85E-2</c:v>
                </c:pt>
                <c:pt idx="5">
                  <c:v>3.32E-2</c:v>
                </c:pt>
                <c:pt idx="6">
                  <c:v>3.2300000000000002E-2</c:v>
                </c:pt>
                <c:pt idx="7">
                  <c:v>2.98E-2</c:v>
                </c:pt>
                <c:pt idx="8">
                  <c:v>2.6000000000000002E-2</c:v>
                </c:pt>
                <c:pt idx="9">
                  <c:v>2.4700000000000003E-2</c:v>
                </c:pt>
                <c:pt idx="10">
                  <c:v>2.4399999999999998E-2</c:v>
                </c:pt>
                <c:pt idx="11">
                  <c:v>1.9799999999999998E-2</c:v>
                </c:pt>
                <c:pt idx="12">
                  <c:v>1.4499999999999999E-2</c:v>
                </c:pt>
                <c:pt idx="13">
                  <c:v>2.5399999999999999E-2</c:v>
                </c:pt>
                <c:pt idx="14">
                  <c:v>2.0199999999999999E-2</c:v>
                </c:pt>
                <c:pt idx="15">
                  <c:v>1.49E-2</c:v>
                </c:pt>
                <c:pt idx="16">
                  <c:v>1.9799999999999998E-2</c:v>
                </c:pt>
                <c:pt idx="17">
                  <c:v>1.7299999999999999E-2</c:v>
                </c:pt>
                <c:pt idx="18">
                  <c:v>1.1699999999999999E-2</c:v>
                </c:pt>
                <c:pt idx="19">
                  <c:v>0.02</c:v>
                </c:pt>
                <c:pt idx="20">
                  <c:v>1.8799999999999997E-2</c:v>
                </c:pt>
                <c:pt idx="21">
                  <c:v>2.2599999999999999E-2</c:v>
                </c:pt>
                <c:pt idx="22">
                  <c:v>2.6099999999999998E-2</c:v>
                </c:pt>
                <c:pt idx="23">
                  <c:v>2.3300000000000001E-2</c:v>
                </c:pt>
                <c:pt idx="24">
                  <c:v>2.1499999999999998E-2</c:v>
                </c:pt>
                <c:pt idx="25">
                  <c:v>2.3700000000000002E-2</c:v>
                </c:pt>
                <c:pt idx="26">
                  <c:v>2.8500000000000001E-2</c:v>
                </c:pt>
                <c:pt idx="27">
                  <c:v>2.7799999999999998E-2</c:v>
                </c:pt>
                <c:pt idx="28">
                  <c:v>2.3599999999999999E-2</c:v>
                </c:pt>
                <c:pt idx="29">
                  <c:v>2.6800000000000001E-2</c:v>
                </c:pt>
                <c:pt idx="30">
                  <c:v>2.7099999999999999E-2</c:v>
                </c:pt>
                <c:pt idx="31">
                  <c:v>2.9300000000000003E-2</c:v>
                </c:pt>
                <c:pt idx="32">
                  <c:v>2.8999999999999998E-2</c:v>
                </c:pt>
                <c:pt idx="33">
                  <c:v>2.8999999999999998E-2</c:v>
                </c:pt>
                <c:pt idx="34">
                  <c:v>2.9399999999999999E-2</c:v>
                </c:pt>
                <c:pt idx="35">
                  <c:v>2.9300000000000003E-2</c:v>
                </c:pt>
                <c:pt idx="36">
                  <c:v>2.92E-2</c:v>
                </c:pt>
                <c:pt idx="37">
                  <c:v>0.03</c:v>
                </c:pt>
                <c:pt idx="38">
                  <c:v>2.98E-2</c:v>
                </c:pt>
                <c:pt idx="39">
                  <c:v>2.8999999999999998E-2</c:v>
                </c:pt>
                <c:pt idx="40">
                  <c:v>0.03</c:v>
                </c:pt>
                <c:pt idx="41">
                  <c:v>2.9900000000000003E-2</c:v>
                </c:pt>
                <c:pt idx="42">
                  <c:v>3.0200000000000001E-2</c:v>
                </c:pt>
                <c:pt idx="43">
                  <c:v>3.49E-2</c:v>
                </c:pt>
                <c:pt idx="44">
                  <c:v>3.4799999999999998E-2</c:v>
                </c:pt>
                <c:pt idx="45">
                  <c:v>3.5000000000000003E-2</c:v>
                </c:pt>
                <c:pt idx="46">
                  <c:v>3.4799999999999998E-2</c:v>
                </c:pt>
                <c:pt idx="47">
                  <c:v>3.3799999999999997E-2</c:v>
                </c:pt>
                <c:pt idx="48">
                  <c:v>3.4799999999999998E-2</c:v>
                </c:pt>
                <c:pt idx="49">
                  <c:v>3.4799999999999998E-2</c:v>
                </c:pt>
                <c:pt idx="50">
                  <c:v>3.4300000000000004E-2</c:v>
                </c:pt>
                <c:pt idx="51">
                  <c:v>3.4700000000000002E-2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3.4200000000000001E-2</c:v>
                </c:pt>
                <c:pt idx="55">
                  <c:v>3.5000000000000003E-2</c:v>
                </c:pt>
                <c:pt idx="56">
                  <c:v>3.4500000000000003E-2</c:v>
                </c:pt>
                <c:pt idx="57">
                  <c:v>3.3599999999999998E-2</c:v>
                </c:pt>
                <c:pt idx="58">
                  <c:v>3.5200000000000002E-2</c:v>
                </c:pt>
                <c:pt idx="59">
                  <c:v>3.85E-2</c:v>
                </c:pt>
                <c:pt idx="60">
                  <c:v>3.9E-2</c:v>
                </c:pt>
                <c:pt idx="61">
                  <c:v>3.9800000000000002E-2</c:v>
                </c:pt>
                <c:pt idx="62">
                  <c:v>4.0399999999999998E-2</c:v>
                </c:pt>
                <c:pt idx="63">
                  <c:v>4.0899999999999999E-2</c:v>
                </c:pt>
                <c:pt idx="64">
                  <c:v>4.0999999999999995E-2</c:v>
                </c:pt>
                <c:pt idx="65">
                  <c:v>4.0399999999999998E-2</c:v>
                </c:pt>
                <c:pt idx="66">
                  <c:v>4.0899999999999999E-2</c:v>
                </c:pt>
                <c:pt idx="67">
                  <c:v>4.1200000000000001E-2</c:v>
                </c:pt>
                <c:pt idx="68">
                  <c:v>4.0099999999999997E-2</c:v>
                </c:pt>
                <c:pt idx="69">
                  <c:v>4.0800000000000003E-2</c:v>
                </c:pt>
                <c:pt idx="70">
                  <c:v>4.0999999999999995E-2</c:v>
                </c:pt>
                <c:pt idx="71">
                  <c:v>4.3200000000000002E-2</c:v>
                </c:pt>
                <c:pt idx="72">
                  <c:v>4.4199999999999996E-2</c:v>
                </c:pt>
                <c:pt idx="73">
                  <c:v>4.5999999999999999E-2</c:v>
                </c:pt>
                <c:pt idx="74">
                  <c:v>4.6500000000000007E-2</c:v>
                </c:pt>
                <c:pt idx="75">
                  <c:v>4.6699999999999998E-2</c:v>
                </c:pt>
                <c:pt idx="76">
                  <c:v>4.9000000000000002E-2</c:v>
                </c:pt>
                <c:pt idx="77">
                  <c:v>5.1699999999999996E-2</c:v>
                </c:pt>
                <c:pt idx="78">
                  <c:v>5.2999999999999999E-2</c:v>
                </c:pt>
                <c:pt idx="79">
                  <c:v>5.5300000000000002E-2</c:v>
                </c:pt>
                <c:pt idx="80">
                  <c:v>5.4000000000000006E-2</c:v>
                </c:pt>
                <c:pt idx="81">
                  <c:v>5.5300000000000002E-2</c:v>
                </c:pt>
                <c:pt idx="82">
                  <c:v>5.7599999999999998E-2</c:v>
                </c:pt>
                <c:pt idx="83">
                  <c:v>5.4000000000000006E-2</c:v>
                </c:pt>
                <c:pt idx="84">
                  <c:v>4.9400000000000006E-2</c:v>
                </c:pt>
                <c:pt idx="85">
                  <c:v>0.05</c:v>
                </c:pt>
                <c:pt idx="86">
                  <c:v>4.53E-2</c:v>
                </c:pt>
                <c:pt idx="87">
                  <c:v>4.0500000000000001E-2</c:v>
                </c:pt>
                <c:pt idx="88">
                  <c:v>3.9399999999999998E-2</c:v>
                </c:pt>
                <c:pt idx="89">
                  <c:v>3.9800000000000002E-2</c:v>
                </c:pt>
                <c:pt idx="90">
                  <c:v>3.7900000000000003E-2</c:v>
                </c:pt>
                <c:pt idx="91">
                  <c:v>3.9E-2</c:v>
                </c:pt>
                <c:pt idx="92">
                  <c:v>3.9900000000000005E-2</c:v>
                </c:pt>
                <c:pt idx="93">
                  <c:v>3.8800000000000001E-2</c:v>
                </c:pt>
                <c:pt idx="94">
                  <c:v>4.1299999999999996E-2</c:v>
                </c:pt>
                <c:pt idx="95">
                  <c:v>4.5100000000000001E-2</c:v>
                </c:pt>
                <c:pt idx="96">
                  <c:v>4.5999999999999999E-2</c:v>
                </c:pt>
                <c:pt idx="97">
                  <c:v>4.7100000000000003E-2</c:v>
                </c:pt>
                <c:pt idx="98">
                  <c:v>5.0499999999999996E-2</c:v>
                </c:pt>
                <c:pt idx="99">
                  <c:v>5.7599999999999998E-2</c:v>
                </c:pt>
                <c:pt idx="100">
                  <c:v>6.1100000000000002E-2</c:v>
                </c:pt>
                <c:pt idx="101">
                  <c:v>6.0700000000000004E-2</c:v>
                </c:pt>
                <c:pt idx="102">
                  <c:v>6.0199999999999997E-2</c:v>
                </c:pt>
                <c:pt idx="103">
                  <c:v>6.0299999999999999E-2</c:v>
                </c:pt>
                <c:pt idx="104">
                  <c:v>5.7800000000000004E-2</c:v>
                </c:pt>
                <c:pt idx="105">
                  <c:v>5.91E-2</c:v>
                </c:pt>
                <c:pt idx="106">
                  <c:v>5.8200000000000002E-2</c:v>
                </c:pt>
                <c:pt idx="107">
                  <c:v>6.0199999999999997E-2</c:v>
                </c:pt>
                <c:pt idx="108">
                  <c:v>6.3E-2</c:v>
                </c:pt>
                <c:pt idx="109">
                  <c:v>6.6100000000000006E-2</c:v>
                </c:pt>
                <c:pt idx="110">
                  <c:v>6.7900000000000002E-2</c:v>
                </c:pt>
                <c:pt idx="111">
                  <c:v>7.4099999999999999E-2</c:v>
                </c:pt>
                <c:pt idx="112">
                  <c:v>8.6699999999999999E-2</c:v>
                </c:pt>
                <c:pt idx="113">
                  <c:v>8.900000000000001E-2</c:v>
                </c:pt>
                <c:pt idx="114">
                  <c:v>8.6099999999999996E-2</c:v>
                </c:pt>
                <c:pt idx="115">
                  <c:v>9.1899999999999996E-2</c:v>
                </c:pt>
                <c:pt idx="116">
                  <c:v>9.1499999999999998E-2</c:v>
                </c:pt>
                <c:pt idx="117">
                  <c:v>0.09</c:v>
                </c:pt>
                <c:pt idx="118">
                  <c:v>8.8499999999999995E-2</c:v>
                </c:pt>
                <c:pt idx="119">
                  <c:v>8.9700000000000002E-2</c:v>
                </c:pt>
                <c:pt idx="120">
                  <c:v>8.9800000000000005E-2</c:v>
                </c:pt>
                <c:pt idx="121">
                  <c:v>8.9800000000000005E-2</c:v>
                </c:pt>
                <c:pt idx="122">
                  <c:v>7.7600000000000002E-2</c:v>
                </c:pt>
                <c:pt idx="123">
                  <c:v>8.1000000000000003E-2</c:v>
                </c:pt>
                <c:pt idx="124">
                  <c:v>7.9399999999999998E-2</c:v>
                </c:pt>
                <c:pt idx="125">
                  <c:v>7.5999999999999998E-2</c:v>
                </c:pt>
                <c:pt idx="126">
                  <c:v>7.2099999999999997E-2</c:v>
                </c:pt>
                <c:pt idx="127">
                  <c:v>6.6100000000000006E-2</c:v>
                </c:pt>
                <c:pt idx="128">
                  <c:v>6.2899999999999998E-2</c:v>
                </c:pt>
                <c:pt idx="129">
                  <c:v>6.2E-2</c:v>
                </c:pt>
                <c:pt idx="130">
                  <c:v>5.5999999999999994E-2</c:v>
                </c:pt>
                <c:pt idx="131">
                  <c:v>4.9000000000000002E-2</c:v>
                </c:pt>
                <c:pt idx="132">
                  <c:v>4.1399999999999999E-2</c:v>
                </c:pt>
                <c:pt idx="133">
                  <c:v>3.7200000000000004E-2</c:v>
                </c:pt>
                <c:pt idx="134">
                  <c:v>3.7100000000000001E-2</c:v>
                </c:pt>
                <c:pt idx="135">
                  <c:v>4.1500000000000002E-2</c:v>
                </c:pt>
                <c:pt idx="136">
                  <c:v>4.6300000000000001E-2</c:v>
                </c:pt>
                <c:pt idx="137">
                  <c:v>4.9100000000000005E-2</c:v>
                </c:pt>
                <c:pt idx="138">
                  <c:v>5.3099999999999994E-2</c:v>
                </c:pt>
                <c:pt idx="139">
                  <c:v>5.5599999999999997E-2</c:v>
                </c:pt>
                <c:pt idx="140">
                  <c:v>5.5500000000000001E-2</c:v>
                </c:pt>
                <c:pt idx="141">
                  <c:v>5.2000000000000005E-2</c:v>
                </c:pt>
                <c:pt idx="142">
                  <c:v>4.9100000000000005E-2</c:v>
                </c:pt>
                <c:pt idx="143">
                  <c:v>4.1399999999999999E-2</c:v>
                </c:pt>
                <c:pt idx="144">
                  <c:v>3.5000000000000003E-2</c:v>
                </c:pt>
                <c:pt idx="145">
                  <c:v>3.2899999999999999E-2</c:v>
                </c:pt>
                <c:pt idx="146">
                  <c:v>3.8300000000000001E-2</c:v>
                </c:pt>
                <c:pt idx="147">
                  <c:v>4.1700000000000001E-2</c:v>
                </c:pt>
                <c:pt idx="148">
                  <c:v>4.2699999999999995E-2</c:v>
                </c:pt>
                <c:pt idx="149">
                  <c:v>4.4600000000000001E-2</c:v>
                </c:pt>
                <c:pt idx="150">
                  <c:v>4.5499999999999999E-2</c:v>
                </c:pt>
                <c:pt idx="151">
                  <c:v>4.8000000000000001E-2</c:v>
                </c:pt>
                <c:pt idx="152">
                  <c:v>4.87E-2</c:v>
                </c:pt>
                <c:pt idx="153">
                  <c:v>5.04E-2</c:v>
                </c:pt>
                <c:pt idx="154">
                  <c:v>5.0599999999999999E-2</c:v>
                </c:pt>
                <c:pt idx="155">
                  <c:v>5.33E-2</c:v>
                </c:pt>
                <c:pt idx="156">
                  <c:v>5.9400000000000001E-2</c:v>
                </c:pt>
                <c:pt idx="157">
                  <c:v>6.5799999999999997E-2</c:v>
                </c:pt>
                <c:pt idx="158">
                  <c:v>7.0900000000000005E-2</c:v>
                </c:pt>
                <c:pt idx="159">
                  <c:v>7.1199999999999999E-2</c:v>
                </c:pt>
                <c:pt idx="160">
                  <c:v>7.8399999999999997E-2</c:v>
                </c:pt>
                <c:pt idx="161">
                  <c:v>8.4900000000000003E-2</c:v>
                </c:pt>
                <c:pt idx="162">
                  <c:v>0.10400000000000001</c:v>
                </c:pt>
                <c:pt idx="163">
                  <c:v>0.105</c:v>
                </c:pt>
                <c:pt idx="164">
                  <c:v>0.10779999999999999</c:v>
                </c:pt>
                <c:pt idx="165">
                  <c:v>0.10009999999999999</c:v>
                </c:pt>
                <c:pt idx="166">
                  <c:v>0.1003</c:v>
                </c:pt>
                <c:pt idx="167">
                  <c:v>9.9499999999999991E-2</c:v>
                </c:pt>
                <c:pt idx="168">
                  <c:v>9.6500000000000002E-2</c:v>
                </c:pt>
                <c:pt idx="169">
                  <c:v>8.9700000000000002E-2</c:v>
                </c:pt>
                <c:pt idx="170">
                  <c:v>9.35E-2</c:v>
                </c:pt>
                <c:pt idx="171">
                  <c:v>0.1051</c:v>
                </c:pt>
                <c:pt idx="172">
                  <c:v>0.11310000000000001</c:v>
                </c:pt>
                <c:pt idx="173">
                  <c:v>0.1193</c:v>
                </c:pt>
                <c:pt idx="174">
                  <c:v>0.12920000000000001</c:v>
                </c:pt>
                <c:pt idx="175">
                  <c:v>0.1201</c:v>
                </c:pt>
                <c:pt idx="176">
                  <c:v>0.1134</c:v>
                </c:pt>
                <c:pt idx="177">
                  <c:v>0.10060000000000001</c:v>
                </c:pt>
                <c:pt idx="178">
                  <c:v>9.4499999999999987E-2</c:v>
                </c:pt>
                <c:pt idx="179">
                  <c:v>8.5299999999999987E-2</c:v>
                </c:pt>
                <c:pt idx="180">
                  <c:v>7.1300000000000002E-2</c:v>
                </c:pt>
                <c:pt idx="181">
                  <c:v>6.2400000000000004E-2</c:v>
                </c:pt>
                <c:pt idx="182">
                  <c:v>5.5399999999999998E-2</c:v>
                </c:pt>
                <c:pt idx="183">
                  <c:v>5.4900000000000004E-2</c:v>
                </c:pt>
                <c:pt idx="184">
                  <c:v>5.2199999999999996E-2</c:v>
                </c:pt>
                <c:pt idx="185">
                  <c:v>5.5500000000000001E-2</c:v>
                </c:pt>
                <c:pt idx="186">
                  <c:v>6.0999999999999999E-2</c:v>
                </c:pt>
                <c:pt idx="187">
                  <c:v>6.1399999999999996E-2</c:v>
                </c:pt>
                <c:pt idx="188">
                  <c:v>6.2400000000000004E-2</c:v>
                </c:pt>
                <c:pt idx="189">
                  <c:v>5.8200000000000002E-2</c:v>
                </c:pt>
                <c:pt idx="190">
                  <c:v>5.2199999999999996E-2</c:v>
                </c:pt>
                <c:pt idx="191">
                  <c:v>5.2000000000000005E-2</c:v>
                </c:pt>
                <c:pt idx="192">
                  <c:v>4.87E-2</c:v>
                </c:pt>
                <c:pt idx="193">
                  <c:v>4.7699999999999992E-2</c:v>
                </c:pt>
                <c:pt idx="194">
                  <c:v>4.8399999999999999E-2</c:v>
                </c:pt>
                <c:pt idx="195">
                  <c:v>4.82E-2</c:v>
                </c:pt>
                <c:pt idx="196">
                  <c:v>5.2900000000000003E-2</c:v>
                </c:pt>
                <c:pt idx="197">
                  <c:v>5.4800000000000001E-2</c:v>
                </c:pt>
                <c:pt idx="198">
                  <c:v>5.3099999999999994E-2</c:v>
                </c:pt>
                <c:pt idx="199">
                  <c:v>5.2900000000000003E-2</c:v>
                </c:pt>
                <c:pt idx="200">
                  <c:v>5.2499999999999998E-2</c:v>
                </c:pt>
                <c:pt idx="201">
                  <c:v>5.0199999999999995E-2</c:v>
                </c:pt>
                <c:pt idx="202">
                  <c:v>4.9500000000000002E-2</c:v>
                </c:pt>
                <c:pt idx="203">
                  <c:v>4.6500000000000007E-2</c:v>
                </c:pt>
                <c:pt idx="204">
                  <c:v>4.6100000000000002E-2</c:v>
                </c:pt>
                <c:pt idx="205">
                  <c:v>4.6799999999999994E-2</c:v>
                </c:pt>
                <c:pt idx="206">
                  <c:v>4.6900000000000004E-2</c:v>
                </c:pt>
                <c:pt idx="207">
                  <c:v>4.7300000000000002E-2</c:v>
                </c:pt>
                <c:pt idx="208">
                  <c:v>5.3499999999999999E-2</c:v>
                </c:pt>
                <c:pt idx="209">
                  <c:v>5.3899999999999997E-2</c:v>
                </c:pt>
                <c:pt idx="210">
                  <c:v>5.4199999999999998E-2</c:v>
                </c:pt>
                <c:pt idx="211">
                  <c:v>5.9000000000000004E-2</c:v>
                </c:pt>
                <c:pt idx="212">
                  <c:v>6.1399999999999996E-2</c:v>
                </c:pt>
                <c:pt idx="213">
                  <c:v>6.4699999999999994E-2</c:v>
                </c:pt>
                <c:pt idx="214">
                  <c:v>6.5099999999999991E-2</c:v>
                </c:pt>
                <c:pt idx="215">
                  <c:v>6.5599999999999992E-2</c:v>
                </c:pt>
                <c:pt idx="216">
                  <c:v>6.7000000000000004E-2</c:v>
                </c:pt>
                <c:pt idx="217">
                  <c:v>6.7799999999999999E-2</c:v>
                </c:pt>
                <c:pt idx="218">
                  <c:v>6.7900000000000002E-2</c:v>
                </c:pt>
                <c:pt idx="219">
                  <c:v>6.8900000000000003E-2</c:v>
                </c:pt>
                <c:pt idx="220">
                  <c:v>7.3599999999999999E-2</c:v>
                </c:pt>
                <c:pt idx="221">
                  <c:v>7.5999999999999998E-2</c:v>
                </c:pt>
                <c:pt idx="222">
                  <c:v>7.8100000000000003E-2</c:v>
                </c:pt>
                <c:pt idx="223">
                  <c:v>8.0399999999999985E-2</c:v>
                </c:pt>
                <c:pt idx="224">
                  <c:v>8.4499999999999992E-2</c:v>
                </c:pt>
                <c:pt idx="225">
                  <c:v>8.9600000000000013E-2</c:v>
                </c:pt>
                <c:pt idx="226">
                  <c:v>9.7599999999999992E-2</c:v>
                </c:pt>
                <c:pt idx="227">
                  <c:v>0.1003</c:v>
                </c:pt>
                <c:pt idx="228">
                  <c:v>0.1007</c:v>
                </c:pt>
                <c:pt idx="229">
                  <c:v>0.10060000000000001</c:v>
                </c:pt>
                <c:pt idx="230">
                  <c:v>0.1009</c:v>
                </c:pt>
                <c:pt idx="231">
                  <c:v>0.10009999999999999</c:v>
                </c:pt>
                <c:pt idx="232">
                  <c:v>0.1024</c:v>
                </c:pt>
                <c:pt idx="233">
                  <c:v>0.10289999999999999</c:v>
                </c:pt>
                <c:pt idx="234">
                  <c:v>0.1047</c:v>
                </c:pt>
                <c:pt idx="235">
                  <c:v>0.1094</c:v>
                </c:pt>
                <c:pt idx="236">
                  <c:v>0.1143</c:v>
                </c:pt>
                <c:pt idx="237">
                  <c:v>0.13769999999999999</c:v>
                </c:pt>
                <c:pt idx="238">
                  <c:v>0.1318</c:v>
                </c:pt>
                <c:pt idx="239">
                  <c:v>0.13780000000000001</c:v>
                </c:pt>
                <c:pt idx="240">
                  <c:v>0.13819999999999999</c:v>
                </c:pt>
                <c:pt idx="241">
                  <c:v>0.14130000000000001</c:v>
                </c:pt>
                <c:pt idx="242">
                  <c:v>0.17190000000000003</c:v>
                </c:pt>
                <c:pt idx="243">
                  <c:v>0.17610000000000001</c:v>
                </c:pt>
                <c:pt idx="244">
                  <c:v>0.10980000000000001</c:v>
                </c:pt>
                <c:pt idx="245">
                  <c:v>9.4700000000000006E-2</c:v>
                </c:pt>
                <c:pt idx="246">
                  <c:v>9.0299999999999991E-2</c:v>
                </c:pt>
                <c:pt idx="247">
                  <c:v>9.6099999999999991E-2</c:v>
                </c:pt>
                <c:pt idx="248">
                  <c:v>0.10869999999999999</c:v>
                </c:pt>
                <c:pt idx="249">
                  <c:v>0.12809999999999999</c:v>
                </c:pt>
                <c:pt idx="250">
                  <c:v>0.1585</c:v>
                </c:pt>
                <c:pt idx="251">
                  <c:v>0.18899999999999997</c:v>
                </c:pt>
                <c:pt idx="252">
                  <c:v>0.19079999999999997</c:v>
                </c:pt>
                <c:pt idx="253">
                  <c:v>0.1593</c:v>
                </c:pt>
                <c:pt idx="254">
                  <c:v>0.14699999999999999</c:v>
                </c:pt>
                <c:pt idx="255">
                  <c:v>0.15720000000000001</c:v>
                </c:pt>
                <c:pt idx="256">
                  <c:v>0.1852</c:v>
                </c:pt>
                <c:pt idx="257">
                  <c:v>0.191</c:v>
                </c:pt>
                <c:pt idx="258">
                  <c:v>0.19039999999999999</c:v>
                </c:pt>
                <c:pt idx="259">
                  <c:v>0.1782</c:v>
                </c:pt>
                <c:pt idx="260">
                  <c:v>0.15869999999999998</c:v>
                </c:pt>
                <c:pt idx="261">
                  <c:v>0.15079999999999999</c:v>
                </c:pt>
                <c:pt idx="262">
                  <c:v>0.1331</c:v>
                </c:pt>
                <c:pt idx="263">
                  <c:v>0.12369999999999999</c:v>
                </c:pt>
                <c:pt idx="264">
                  <c:v>0.13220000000000001</c:v>
                </c:pt>
                <c:pt idx="265">
                  <c:v>0.14779999999999999</c:v>
                </c:pt>
                <c:pt idx="266">
                  <c:v>0.14679999999999999</c:v>
                </c:pt>
                <c:pt idx="267">
                  <c:v>0.14940000000000001</c:v>
                </c:pt>
                <c:pt idx="268">
                  <c:v>0.14449999999999999</c:v>
                </c:pt>
                <c:pt idx="269">
                  <c:v>0.14150000000000001</c:v>
                </c:pt>
                <c:pt idx="270">
                  <c:v>0.12590000000000001</c:v>
                </c:pt>
                <c:pt idx="271">
                  <c:v>0.1012</c:v>
                </c:pt>
                <c:pt idx="272">
                  <c:v>0.10310000000000001</c:v>
                </c:pt>
                <c:pt idx="273">
                  <c:v>9.7100000000000006E-2</c:v>
                </c:pt>
                <c:pt idx="274">
                  <c:v>9.1999999999999998E-2</c:v>
                </c:pt>
                <c:pt idx="275">
                  <c:v>8.9499999999999996E-2</c:v>
                </c:pt>
                <c:pt idx="276">
                  <c:v>8.6800000000000002E-2</c:v>
                </c:pt>
                <c:pt idx="277">
                  <c:v>8.5099999999999995E-2</c:v>
                </c:pt>
                <c:pt idx="278">
                  <c:v>8.77E-2</c:v>
                </c:pt>
                <c:pt idx="279">
                  <c:v>8.8000000000000009E-2</c:v>
                </c:pt>
                <c:pt idx="280">
                  <c:v>8.6300000000000002E-2</c:v>
                </c:pt>
                <c:pt idx="281">
                  <c:v>8.9800000000000005E-2</c:v>
                </c:pt>
                <c:pt idx="282">
                  <c:v>9.3699999999999992E-2</c:v>
                </c:pt>
                <c:pt idx="283">
                  <c:v>9.5600000000000004E-2</c:v>
                </c:pt>
                <c:pt idx="284">
                  <c:v>9.4499999999999987E-2</c:v>
                </c:pt>
                <c:pt idx="285">
                  <c:v>9.4800000000000009E-2</c:v>
                </c:pt>
                <c:pt idx="286">
                  <c:v>9.3399999999999997E-2</c:v>
                </c:pt>
                <c:pt idx="287">
                  <c:v>9.4700000000000006E-2</c:v>
                </c:pt>
                <c:pt idx="288">
                  <c:v>9.5600000000000004E-2</c:v>
                </c:pt>
                <c:pt idx="289">
                  <c:v>9.5899999999999999E-2</c:v>
                </c:pt>
                <c:pt idx="290">
                  <c:v>9.9100000000000008E-2</c:v>
                </c:pt>
                <c:pt idx="291">
                  <c:v>0.10289999999999999</c:v>
                </c:pt>
                <c:pt idx="292">
                  <c:v>0.1032</c:v>
                </c:pt>
                <c:pt idx="293">
                  <c:v>0.1106</c:v>
                </c:pt>
                <c:pt idx="294">
                  <c:v>0.11230000000000001</c:v>
                </c:pt>
                <c:pt idx="295">
                  <c:v>0.1164</c:v>
                </c:pt>
                <c:pt idx="296">
                  <c:v>0.113</c:v>
                </c:pt>
                <c:pt idx="297">
                  <c:v>9.9900000000000003E-2</c:v>
                </c:pt>
                <c:pt idx="298">
                  <c:v>9.4299999999999995E-2</c:v>
                </c:pt>
                <c:pt idx="299">
                  <c:v>8.3800000000000013E-2</c:v>
                </c:pt>
                <c:pt idx="300">
                  <c:v>8.3499999999999991E-2</c:v>
                </c:pt>
                <c:pt idx="301">
                  <c:v>8.5000000000000006E-2</c:v>
                </c:pt>
                <c:pt idx="302">
                  <c:v>8.5800000000000001E-2</c:v>
                </c:pt>
                <c:pt idx="303">
                  <c:v>8.2699999999999996E-2</c:v>
                </c:pt>
                <c:pt idx="304">
                  <c:v>7.9699999999999993E-2</c:v>
                </c:pt>
                <c:pt idx="305">
                  <c:v>7.5300000000000006E-2</c:v>
                </c:pt>
                <c:pt idx="306">
                  <c:v>7.8799999999999995E-2</c:v>
                </c:pt>
                <c:pt idx="307">
                  <c:v>7.9000000000000001E-2</c:v>
                </c:pt>
                <c:pt idx="308">
                  <c:v>7.9199999999999993E-2</c:v>
                </c:pt>
                <c:pt idx="309">
                  <c:v>7.9899999999999999E-2</c:v>
                </c:pt>
                <c:pt idx="310">
                  <c:v>8.0500000000000002E-2</c:v>
                </c:pt>
                <c:pt idx="311">
                  <c:v>8.2699999999999996E-2</c:v>
                </c:pt>
                <c:pt idx="312">
                  <c:v>8.14E-2</c:v>
                </c:pt>
                <c:pt idx="313">
                  <c:v>7.8600000000000003E-2</c:v>
                </c:pt>
                <c:pt idx="314">
                  <c:v>7.4800000000000005E-2</c:v>
                </c:pt>
                <c:pt idx="315">
                  <c:v>6.9900000000000004E-2</c:v>
                </c:pt>
                <c:pt idx="316">
                  <c:v>6.8499999999999991E-2</c:v>
                </c:pt>
                <c:pt idx="317">
                  <c:v>6.9199999999999998E-2</c:v>
                </c:pt>
                <c:pt idx="318">
                  <c:v>6.5599999999999992E-2</c:v>
                </c:pt>
                <c:pt idx="319">
                  <c:v>6.1699999999999998E-2</c:v>
                </c:pt>
                <c:pt idx="320">
                  <c:v>5.8899999999999994E-2</c:v>
                </c:pt>
                <c:pt idx="321">
                  <c:v>5.8499999999999996E-2</c:v>
                </c:pt>
                <c:pt idx="322">
                  <c:v>6.0400000000000002E-2</c:v>
                </c:pt>
                <c:pt idx="323">
                  <c:v>6.9099999999999995E-2</c:v>
                </c:pt>
                <c:pt idx="324">
                  <c:v>6.4299999999999996E-2</c:v>
                </c:pt>
                <c:pt idx="325">
                  <c:v>6.0999999999999999E-2</c:v>
                </c:pt>
                <c:pt idx="326">
                  <c:v>6.13E-2</c:v>
                </c:pt>
                <c:pt idx="327">
                  <c:v>6.3700000000000007E-2</c:v>
                </c:pt>
                <c:pt idx="328">
                  <c:v>6.8499999999999991E-2</c:v>
                </c:pt>
                <c:pt idx="329">
                  <c:v>6.7299999999999999E-2</c:v>
                </c:pt>
                <c:pt idx="330">
                  <c:v>6.5799999999999997E-2</c:v>
                </c:pt>
                <c:pt idx="331">
                  <c:v>6.7299999999999999E-2</c:v>
                </c:pt>
                <c:pt idx="332">
                  <c:v>7.22E-2</c:v>
                </c:pt>
                <c:pt idx="333">
                  <c:v>7.2900000000000006E-2</c:v>
                </c:pt>
                <c:pt idx="334">
                  <c:v>6.6900000000000001E-2</c:v>
                </c:pt>
                <c:pt idx="335">
                  <c:v>6.7699999999999996E-2</c:v>
                </c:pt>
                <c:pt idx="336">
                  <c:v>6.83E-2</c:v>
                </c:pt>
                <c:pt idx="337">
                  <c:v>6.5799999999999997E-2</c:v>
                </c:pt>
                <c:pt idx="338">
                  <c:v>6.5799999999999997E-2</c:v>
                </c:pt>
                <c:pt idx="339">
                  <c:v>6.8699999999999997E-2</c:v>
                </c:pt>
                <c:pt idx="340">
                  <c:v>7.0900000000000005E-2</c:v>
                </c:pt>
                <c:pt idx="341">
                  <c:v>7.51E-2</c:v>
                </c:pt>
                <c:pt idx="342">
                  <c:v>7.7499999999999999E-2</c:v>
                </c:pt>
                <c:pt idx="343">
                  <c:v>8.0100000000000005E-2</c:v>
                </c:pt>
                <c:pt idx="344">
                  <c:v>8.1900000000000001E-2</c:v>
                </c:pt>
                <c:pt idx="345">
                  <c:v>8.3000000000000004E-2</c:v>
                </c:pt>
                <c:pt idx="346">
                  <c:v>8.3499999999999991E-2</c:v>
                </c:pt>
                <c:pt idx="347">
                  <c:v>8.7599999999999997E-2</c:v>
                </c:pt>
                <c:pt idx="348">
                  <c:v>9.1199999999999989E-2</c:v>
                </c:pt>
                <c:pt idx="349">
                  <c:v>9.3599999999999989E-2</c:v>
                </c:pt>
                <c:pt idx="350">
                  <c:v>9.849999999999999E-2</c:v>
                </c:pt>
                <c:pt idx="351">
                  <c:v>9.8400000000000001E-2</c:v>
                </c:pt>
                <c:pt idx="352">
                  <c:v>9.8100000000000007E-2</c:v>
                </c:pt>
                <c:pt idx="353">
                  <c:v>9.5299999999999996E-2</c:v>
                </c:pt>
                <c:pt idx="354">
                  <c:v>9.2399999999999996E-2</c:v>
                </c:pt>
                <c:pt idx="355">
                  <c:v>8.9900000000000008E-2</c:v>
                </c:pt>
                <c:pt idx="356">
                  <c:v>9.0200000000000002E-2</c:v>
                </c:pt>
                <c:pt idx="357">
                  <c:v>8.8399999999999992E-2</c:v>
                </c:pt>
                <c:pt idx="358">
                  <c:v>8.5500000000000007E-2</c:v>
                </c:pt>
                <c:pt idx="359">
                  <c:v>8.4499999999999992E-2</c:v>
                </c:pt>
                <c:pt idx="360">
                  <c:v>8.2299999999999998E-2</c:v>
                </c:pt>
                <c:pt idx="361">
                  <c:v>8.2400000000000001E-2</c:v>
                </c:pt>
                <c:pt idx="362">
                  <c:v>8.2799999999999999E-2</c:v>
                </c:pt>
                <c:pt idx="363">
                  <c:v>8.2599999999999993E-2</c:v>
                </c:pt>
                <c:pt idx="364">
                  <c:v>8.1799999999999998E-2</c:v>
                </c:pt>
                <c:pt idx="365">
                  <c:v>8.2899999999999988E-2</c:v>
                </c:pt>
                <c:pt idx="366">
                  <c:v>8.1500000000000003E-2</c:v>
                </c:pt>
                <c:pt idx="367">
                  <c:v>8.1300000000000011E-2</c:v>
                </c:pt>
                <c:pt idx="368">
                  <c:v>8.199999999999999E-2</c:v>
                </c:pt>
                <c:pt idx="369">
                  <c:v>8.1099999999999992E-2</c:v>
                </c:pt>
                <c:pt idx="370">
                  <c:v>7.8100000000000003E-2</c:v>
                </c:pt>
                <c:pt idx="371">
                  <c:v>7.3099999999999998E-2</c:v>
                </c:pt>
                <c:pt idx="372">
                  <c:v>6.9099999999999995E-2</c:v>
                </c:pt>
                <c:pt idx="373">
                  <c:v>6.25E-2</c:v>
                </c:pt>
                <c:pt idx="374">
                  <c:v>6.1200000000000004E-2</c:v>
                </c:pt>
                <c:pt idx="375">
                  <c:v>5.91E-2</c:v>
                </c:pt>
                <c:pt idx="376">
                  <c:v>5.7800000000000004E-2</c:v>
                </c:pt>
                <c:pt idx="377">
                  <c:v>5.9000000000000004E-2</c:v>
                </c:pt>
                <c:pt idx="378">
                  <c:v>5.8200000000000002E-2</c:v>
                </c:pt>
                <c:pt idx="379">
                  <c:v>5.6600000000000004E-2</c:v>
                </c:pt>
                <c:pt idx="380">
                  <c:v>5.45E-2</c:v>
                </c:pt>
                <c:pt idx="381">
                  <c:v>5.21E-2</c:v>
                </c:pt>
                <c:pt idx="382">
                  <c:v>4.8099999999999997E-2</c:v>
                </c:pt>
                <c:pt idx="383">
                  <c:v>4.4299999999999999E-2</c:v>
                </c:pt>
                <c:pt idx="384">
                  <c:v>4.0300000000000002E-2</c:v>
                </c:pt>
                <c:pt idx="385">
                  <c:v>4.0599999999999997E-2</c:v>
                </c:pt>
                <c:pt idx="386">
                  <c:v>3.9800000000000002E-2</c:v>
                </c:pt>
                <c:pt idx="387">
                  <c:v>3.73E-2</c:v>
                </c:pt>
                <c:pt idx="388">
                  <c:v>3.8199999999999998E-2</c:v>
                </c:pt>
                <c:pt idx="389">
                  <c:v>3.7599999999999995E-2</c:v>
                </c:pt>
                <c:pt idx="390">
                  <c:v>3.2500000000000001E-2</c:v>
                </c:pt>
                <c:pt idx="391">
                  <c:v>3.3000000000000002E-2</c:v>
                </c:pt>
                <c:pt idx="392">
                  <c:v>3.2199999999999999E-2</c:v>
                </c:pt>
                <c:pt idx="393">
                  <c:v>3.1E-2</c:v>
                </c:pt>
                <c:pt idx="394">
                  <c:v>3.0899999999999997E-2</c:v>
                </c:pt>
                <c:pt idx="395">
                  <c:v>2.92E-2</c:v>
                </c:pt>
                <c:pt idx="396">
                  <c:v>3.0200000000000001E-2</c:v>
                </c:pt>
                <c:pt idx="397">
                  <c:v>3.0299999999999997E-2</c:v>
                </c:pt>
                <c:pt idx="398">
                  <c:v>3.0699999999999998E-2</c:v>
                </c:pt>
                <c:pt idx="399">
                  <c:v>2.9600000000000001E-2</c:v>
                </c:pt>
                <c:pt idx="400">
                  <c:v>0.03</c:v>
                </c:pt>
                <c:pt idx="401">
                  <c:v>3.04E-2</c:v>
                </c:pt>
                <c:pt idx="402">
                  <c:v>3.0600000000000002E-2</c:v>
                </c:pt>
                <c:pt idx="403">
                  <c:v>3.0299999999999997E-2</c:v>
                </c:pt>
                <c:pt idx="404">
                  <c:v>3.0899999999999997E-2</c:v>
                </c:pt>
                <c:pt idx="405">
                  <c:v>2.9900000000000003E-2</c:v>
                </c:pt>
                <c:pt idx="406">
                  <c:v>3.0200000000000001E-2</c:v>
                </c:pt>
                <c:pt idx="407">
                  <c:v>2.9600000000000001E-2</c:v>
                </c:pt>
                <c:pt idx="408">
                  <c:v>3.0499999999999999E-2</c:v>
                </c:pt>
                <c:pt idx="409">
                  <c:v>3.2500000000000001E-2</c:v>
                </c:pt>
                <c:pt idx="410">
                  <c:v>3.3399999999999999E-2</c:v>
                </c:pt>
                <c:pt idx="411">
                  <c:v>3.56E-2</c:v>
                </c:pt>
                <c:pt idx="412">
                  <c:v>4.0099999999999997E-2</c:v>
                </c:pt>
                <c:pt idx="413">
                  <c:v>4.2500000000000003E-2</c:v>
                </c:pt>
                <c:pt idx="414">
                  <c:v>4.2599999999999999E-2</c:v>
                </c:pt>
                <c:pt idx="415">
                  <c:v>4.4699999999999997E-2</c:v>
                </c:pt>
                <c:pt idx="416">
                  <c:v>4.7300000000000002E-2</c:v>
                </c:pt>
                <c:pt idx="417">
                  <c:v>4.7599999999999996E-2</c:v>
                </c:pt>
                <c:pt idx="418">
                  <c:v>5.2900000000000003E-2</c:v>
                </c:pt>
                <c:pt idx="419">
                  <c:v>5.45E-2</c:v>
                </c:pt>
                <c:pt idx="420">
                  <c:v>5.5300000000000002E-2</c:v>
                </c:pt>
                <c:pt idx="421">
                  <c:v>5.9200000000000003E-2</c:v>
                </c:pt>
                <c:pt idx="422">
                  <c:v>5.9800000000000006E-2</c:v>
                </c:pt>
                <c:pt idx="423">
                  <c:v>6.0499999999999998E-2</c:v>
                </c:pt>
                <c:pt idx="424">
                  <c:v>6.0100000000000001E-2</c:v>
                </c:pt>
                <c:pt idx="425">
                  <c:v>0.06</c:v>
                </c:pt>
                <c:pt idx="426">
                  <c:v>5.8499999999999996E-2</c:v>
                </c:pt>
                <c:pt idx="427">
                  <c:v>5.74E-2</c:v>
                </c:pt>
                <c:pt idx="428">
                  <c:v>5.7999999999999996E-2</c:v>
                </c:pt>
                <c:pt idx="429">
                  <c:v>5.7599999999999998E-2</c:v>
                </c:pt>
                <c:pt idx="430">
                  <c:v>5.7999999999999996E-2</c:v>
                </c:pt>
                <c:pt idx="431">
                  <c:v>5.5999999999999994E-2</c:v>
                </c:pt>
                <c:pt idx="432">
                  <c:v>5.5599999999999997E-2</c:v>
                </c:pt>
                <c:pt idx="433">
                  <c:v>5.2199999999999996E-2</c:v>
                </c:pt>
                <c:pt idx="434">
                  <c:v>5.3099999999999994E-2</c:v>
                </c:pt>
                <c:pt idx="435">
                  <c:v>5.2199999999999996E-2</c:v>
                </c:pt>
                <c:pt idx="436">
                  <c:v>5.2400000000000002E-2</c:v>
                </c:pt>
                <c:pt idx="437">
                  <c:v>5.2699999999999997E-2</c:v>
                </c:pt>
                <c:pt idx="438">
                  <c:v>5.4000000000000006E-2</c:v>
                </c:pt>
                <c:pt idx="439">
                  <c:v>5.2199999999999996E-2</c:v>
                </c:pt>
                <c:pt idx="440">
                  <c:v>5.2999999999999999E-2</c:v>
                </c:pt>
                <c:pt idx="441">
                  <c:v>5.2400000000000002E-2</c:v>
                </c:pt>
                <c:pt idx="442">
                  <c:v>5.3099999999999994E-2</c:v>
                </c:pt>
                <c:pt idx="443">
                  <c:v>5.2900000000000003E-2</c:v>
                </c:pt>
                <c:pt idx="444">
                  <c:v>5.2499999999999998E-2</c:v>
                </c:pt>
                <c:pt idx="445">
                  <c:v>5.1900000000000002E-2</c:v>
                </c:pt>
                <c:pt idx="446">
                  <c:v>5.3899999999999997E-2</c:v>
                </c:pt>
                <c:pt idx="447">
                  <c:v>5.5099999999999996E-2</c:v>
                </c:pt>
                <c:pt idx="448">
                  <c:v>5.5E-2</c:v>
                </c:pt>
                <c:pt idx="449">
                  <c:v>5.5599999999999997E-2</c:v>
                </c:pt>
                <c:pt idx="450">
                  <c:v>5.5199999999999999E-2</c:v>
                </c:pt>
                <c:pt idx="451">
                  <c:v>5.5399999999999998E-2</c:v>
                </c:pt>
                <c:pt idx="452">
                  <c:v>5.5399999999999998E-2</c:v>
                </c:pt>
                <c:pt idx="453">
                  <c:v>5.5E-2</c:v>
                </c:pt>
                <c:pt idx="454">
                  <c:v>5.5199999999999999E-2</c:v>
                </c:pt>
                <c:pt idx="455">
                  <c:v>5.5E-2</c:v>
                </c:pt>
                <c:pt idx="456">
                  <c:v>5.5599999999999997E-2</c:v>
                </c:pt>
                <c:pt idx="457">
                  <c:v>5.5099999999999996E-2</c:v>
                </c:pt>
                <c:pt idx="458">
                  <c:v>5.4900000000000004E-2</c:v>
                </c:pt>
                <c:pt idx="459">
                  <c:v>5.45E-2</c:v>
                </c:pt>
                <c:pt idx="460">
                  <c:v>5.4900000000000004E-2</c:v>
                </c:pt>
                <c:pt idx="461">
                  <c:v>5.5599999999999997E-2</c:v>
                </c:pt>
                <c:pt idx="462">
                  <c:v>5.5399999999999998E-2</c:v>
                </c:pt>
                <c:pt idx="463">
                  <c:v>5.5500000000000001E-2</c:v>
                </c:pt>
                <c:pt idx="464">
                  <c:v>5.5099999999999996E-2</c:v>
                </c:pt>
                <c:pt idx="465">
                  <c:v>5.0700000000000002E-2</c:v>
                </c:pt>
                <c:pt idx="466">
                  <c:v>4.8300000000000003E-2</c:v>
                </c:pt>
                <c:pt idx="467">
                  <c:v>4.6799999999999994E-2</c:v>
                </c:pt>
                <c:pt idx="468">
                  <c:v>4.6300000000000001E-2</c:v>
                </c:pt>
                <c:pt idx="469">
                  <c:v>4.7599999999999996E-2</c:v>
                </c:pt>
                <c:pt idx="470">
                  <c:v>4.8099999999999997E-2</c:v>
                </c:pt>
                <c:pt idx="471">
                  <c:v>4.7400000000000005E-2</c:v>
                </c:pt>
                <c:pt idx="472">
                  <c:v>4.7400000000000005E-2</c:v>
                </c:pt>
                <c:pt idx="473">
                  <c:v>4.7599999999999996E-2</c:v>
                </c:pt>
                <c:pt idx="474">
                  <c:v>4.99E-2</c:v>
                </c:pt>
                <c:pt idx="475">
                  <c:v>5.0700000000000002E-2</c:v>
                </c:pt>
                <c:pt idx="476">
                  <c:v>5.2199999999999996E-2</c:v>
                </c:pt>
                <c:pt idx="477">
                  <c:v>5.2000000000000005E-2</c:v>
                </c:pt>
                <c:pt idx="478">
                  <c:v>5.4199999999999998E-2</c:v>
                </c:pt>
                <c:pt idx="479">
                  <c:v>5.2999999999999999E-2</c:v>
                </c:pt>
                <c:pt idx="480">
                  <c:v>5.45E-2</c:v>
                </c:pt>
                <c:pt idx="481">
                  <c:v>5.7300000000000004E-2</c:v>
                </c:pt>
                <c:pt idx="482">
                  <c:v>5.8499999999999996E-2</c:v>
                </c:pt>
                <c:pt idx="483">
                  <c:v>6.0199999999999997E-2</c:v>
                </c:pt>
                <c:pt idx="484">
                  <c:v>6.2699999999999992E-2</c:v>
                </c:pt>
                <c:pt idx="485">
                  <c:v>6.5299999999999997E-2</c:v>
                </c:pt>
                <c:pt idx="486">
                  <c:v>6.54E-2</c:v>
                </c:pt>
                <c:pt idx="487">
                  <c:v>6.5000000000000002E-2</c:v>
                </c:pt>
                <c:pt idx="488">
                  <c:v>6.5199999999999994E-2</c:v>
                </c:pt>
                <c:pt idx="489">
                  <c:v>6.5099999999999991E-2</c:v>
                </c:pt>
                <c:pt idx="490">
                  <c:v>6.5099999999999991E-2</c:v>
                </c:pt>
                <c:pt idx="491">
                  <c:v>6.4000000000000001E-2</c:v>
                </c:pt>
                <c:pt idx="492">
                  <c:v>5.9800000000000006E-2</c:v>
                </c:pt>
                <c:pt idx="493">
                  <c:v>5.4900000000000004E-2</c:v>
                </c:pt>
                <c:pt idx="494">
                  <c:v>5.3099999999999994E-2</c:v>
                </c:pt>
                <c:pt idx="495">
                  <c:v>4.8000000000000001E-2</c:v>
                </c:pt>
                <c:pt idx="496">
                  <c:v>4.2099999999999999E-2</c:v>
                </c:pt>
                <c:pt idx="497">
                  <c:v>3.9699999999999999E-2</c:v>
                </c:pt>
                <c:pt idx="498">
                  <c:v>3.7699999999999997E-2</c:v>
                </c:pt>
                <c:pt idx="499">
                  <c:v>3.6499999999999998E-2</c:v>
                </c:pt>
                <c:pt idx="500">
                  <c:v>3.0699999999999998E-2</c:v>
                </c:pt>
                <c:pt idx="501">
                  <c:v>2.4900000000000002E-2</c:v>
                </c:pt>
                <c:pt idx="502">
                  <c:v>2.0899999999999998E-2</c:v>
                </c:pt>
                <c:pt idx="503">
                  <c:v>1.8200000000000001E-2</c:v>
                </c:pt>
                <c:pt idx="504">
                  <c:v>1.7299999999999999E-2</c:v>
                </c:pt>
                <c:pt idx="505">
                  <c:v>1.7399999999999999E-2</c:v>
                </c:pt>
                <c:pt idx="506">
                  <c:v>1.7299999999999999E-2</c:v>
                </c:pt>
                <c:pt idx="507">
                  <c:v>1.7500000000000002E-2</c:v>
                </c:pt>
                <c:pt idx="508">
                  <c:v>1.7500000000000002E-2</c:v>
                </c:pt>
                <c:pt idx="509">
                  <c:v>1.7500000000000002E-2</c:v>
                </c:pt>
                <c:pt idx="510">
                  <c:v>1.7299999999999999E-2</c:v>
                </c:pt>
                <c:pt idx="511">
                  <c:v>1.7399999999999999E-2</c:v>
                </c:pt>
                <c:pt idx="512">
                  <c:v>1.7500000000000002E-2</c:v>
                </c:pt>
                <c:pt idx="513">
                  <c:v>1.7500000000000002E-2</c:v>
                </c:pt>
                <c:pt idx="514">
                  <c:v>1.34E-2</c:v>
                </c:pt>
                <c:pt idx="515">
                  <c:v>1.24E-2</c:v>
                </c:pt>
                <c:pt idx="516">
                  <c:v>1.24E-2</c:v>
                </c:pt>
                <c:pt idx="517">
                  <c:v>1.26E-2</c:v>
                </c:pt>
                <c:pt idx="518">
                  <c:v>1.2500000000000001E-2</c:v>
                </c:pt>
                <c:pt idx="519">
                  <c:v>1.26E-2</c:v>
                </c:pt>
                <c:pt idx="520">
                  <c:v>1.26E-2</c:v>
                </c:pt>
                <c:pt idx="521">
                  <c:v>1.2199999999999999E-2</c:v>
                </c:pt>
                <c:pt idx="522">
                  <c:v>1.01E-2</c:v>
                </c:pt>
                <c:pt idx="523">
                  <c:v>1.03E-2</c:v>
                </c:pt>
                <c:pt idx="524">
                  <c:v>1.01E-2</c:v>
                </c:pt>
                <c:pt idx="525">
                  <c:v>1.01E-2</c:v>
                </c:pt>
                <c:pt idx="526">
                  <c:v>0.01</c:v>
                </c:pt>
                <c:pt idx="527">
                  <c:v>9.7999999999999997E-3</c:v>
                </c:pt>
                <c:pt idx="528">
                  <c:v>0.01</c:v>
                </c:pt>
                <c:pt idx="529">
                  <c:v>1.01E-2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1.03E-2</c:v>
                </c:pt>
                <c:pt idx="534">
                  <c:v>1.26E-2</c:v>
                </c:pt>
                <c:pt idx="535">
                  <c:v>1.43E-2</c:v>
                </c:pt>
                <c:pt idx="536">
                  <c:v>1.61E-2</c:v>
                </c:pt>
                <c:pt idx="537">
                  <c:v>1.7600000000000001E-2</c:v>
                </c:pt>
                <c:pt idx="538">
                  <c:v>1.9299999999999998E-2</c:v>
                </c:pt>
                <c:pt idx="539">
                  <c:v>2.1600000000000001E-2</c:v>
                </c:pt>
                <c:pt idx="540">
                  <c:v>2.2799999999999997E-2</c:v>
                </c:pt>
                <c:pt idx="541">
                  <c:v>2.5000000000000001E-2</c:v>
                </c:pt>
                <c:pt idx="542">
                  <c:v>2.63E-2</c:v>
                </c:pt>
                <c:pt idx="543">
                  <c:v>2.7900000000000001E-2</c:v>
                </c:pt>
                <c:pt idx="544">
                  <c:v>0.03</c:v>
                </c:pt>
                <c:pt idx="545">
                  <c:v>3.04E-2</c:v>
                </c:pt>
                <c:pt idx="546">
                  <c:v>3.2599999999999997E-2</c:v>
                </c:pt>
                <c:pt idx="547">
                  <c:v>3.5000000000000003E-2</c:v>
                </c:pt>
                <c:pt idx="548">
                  <c:v>3.6200000000000003E-2</c:v>
                </c:pt>
                <c:pt idx="549">
                  <c:v>3.78E-2</c:v>
                </c:pt>
                <c:pt idx="550">
                  <c:v>0.04</c:v>
                </c:pt>
                <c:pt idx="551">
                  <c:v>4.1599999999999998E-2</c:v>
                </c:pt>
                <c:pt idx="552">
                  <c:v>4.2900000000000001E-2</c:v>
                </c:pt>
                <c:pt idx="553">
                  <c:v>4.4900000000000002E-2</c:v>
                </c:pt>
                <c:pt idx="554">
                  <c:v>4.5899999999999996E-2</c:v>
                </c:pt>
                <c:pt idx="555">
                  <c:v>4.7899999999999998E-2</c:v>
                </c:pt>
                <c:pt idx="556">
                  <c:v>4.9400000000000006E-2</c:v>
                </c:pt>
                <c:pt idx="557">
                  <c:v>4.99E-2</c:v>
                </c:pt>
                <c:pt idx="558">
                  <c:v>5.2400000000000002E-2</c:v>
                </c:pt>
                <c:pt idx="559">
                  <c:v>5.2499999999999998E-2</c:v>
                </c:pt>
                <c:pt idx="560">
                  <c:v>5.2499999999999998E-2</c:v>
                </c:pt>
                <c:pt idx="561">
                  <c:v>5.2499999999999998E-2</c:v>
                </c:pt>
                <c:pt idx="562">
                  <c:v>5.2499999999999998E-2</c:v>
                </c:pt>
                <c:pt idx="563">
                  <c:v>5.2400000000000002E-2</c:v>
                </c:pt>
                <c:pt idx="564">
                  <c:v>5.2499999999999998E-2</c:v>
                </c:pt>
                <c:pt idx="565">
                  <c:v>5.2600000000000001E-2</c:v>
                </c:pt>
                <c:pt idx="566">
                  <c:v>5.2600000000000001E-2</c:v>
                </c:pt>
                <c:pt idx="567">
                  <c:v>5.2499999999999998E-2</c:v>
                </c:pt>
                <c:pt idx="568">
                  <c:v>5.2499999999999998E-2</c:v>
                </c:pt>
                <c:pt idx="569">
                  <c:v>5.2499999999999998E-2</c:v>
                </c:pt>
                <c:pt idx="570">
                  <c:v>5.2600000000000001E-2</c:v>
                </c:pt>
                <c:pt idx="571">
                  <c:v>5.0199999999999995E-2</c:v>
                </c:pt>
                <c:pt idx="572">
                  <c:v>4.9400000000000006E-2</c:v>
                </c:pt>
                <c:pt idx="573">
                  <c:v>4.7599999999999996E-2</c:v>
                </c:pt>
                <c:pt idx="574">
                  <c:v>4.4900000000000002E-2</c:v>
                </c:pt>
                <c:pt idx="575">
                  <c:v>4.24E-2</c:v>
                </c:pt>
                <c:pt idx="576">
                  <c:v>3.9399999999999998E-2</c:v>
                </c:pt>
                <c:pt idx="577">
                  <c:v>2.98E-2</c:v>
                </c:pt>
                <c:pt idx="578">
                  <c:v>2.6099999999999998E-2</c:v>
                </c:pt>
                <c:pt idx="579">
                  <c:v>2.2799999999999997E-2</c:v>
                </c:pt>
                <c:pt idx="580">
                  <c:v>1.9799999999999998E-2</c:v>
                </c:pt>
                <c:pt idx="581">
                  <c:v>0.02</c:v>
                </c:pt>
                <c:pt idx="582">
                  <c:v>2.0099999999999996E-2</c:v>
                </c:pt>
                <c:pt idx="583">
                  <c:v>0.02</c:v>
                </c:pt>
                <c:pt idx="584">
                  <c:v>1.8100000000000002E-2</c:v>
                </c:pt>
                <c:pt idx="585">
                  <c:v>9.7000000000000003E-3</c:v>
                </c:pt>
                <c:pt idx="586">
                  <c:v>3.8999999999999998E-3</c:v>
                </c:pt>
                <c:pt idx="587">
                  <c:v>1.6000000000000001E-3</c:v>
                </c:pt>
                <c:pt idx="588">
                  <c:v>1.5E-3</c:v>
                </c:pt>
                <c:pt idx="589">
                  <c:v>2.2000000000000001E-3</c:v>
                </c:pt>
                <c:pt idx="590">
                  <c:v>1.8E-3</c:v>
                </c:pt>
                <c:pt idx="591">
                  <c:v>1.5E-3</c:v>
                </c:pt>
                <c:pt idx="592">
                  <c:v>1.8E-3</c:v>
                </c:pt>
                <c:pt idx="593">
                  <c:v>2.0999999999999999E-3</c:v>
                </c:pt>
                <c:pt idx="594">
                  <c:v>1.6000000000000001E-3</c:v>
                </c:pt>
                <c:pt idx="595">
                  <c:v>1.6000000000000001E-3</c:v>
                </c:pt>
                <c:pt idx="596">
                  <c:v>1.5E-3</c:v>
                </c:pt>
                <c:pt idx="597">
                  <c:v>1.1999999999999999E-3</c:v>
                </c:pt>
                <c:pt idx="598">
                  <c:v>1.1999999999999999E-3</c:v>
                </c:pt>
                <c:pt idx="599">
                  <c:v>1.1999999999999999E-3</c:v>
                </c:pt>
                <c:pt idx="600">
                  <c:v>1.1000000000000001E-3</c:v>
                </c:pt>
                <c:pt idx="601">
                  <c:v>1.2999999999999999E-3</c:v>
                </c:pt>
                <c:pt idx="602">
                  <c:v>1.6000000000000001E-3</c:v>
                </c:pt>
                <c:pt idx="603">
                  <c:v>2E-3</c:v>
                </c:pt>
                <c:pt idx="604">
                  <c:v>2E-3</c:v>
                </c:pt>
                <c:pt idx="605">
                  <c:v>1.8E-3</c:v>
                </c:pt>
                <c:pt idx="606">
                  <c:v>1.8E-3</c:v>
                </c:pt>
                <c:pt idx="607">
                  <c:v>1.9E-3</c:v>
                </c:pt>
                <c:pt idx="608">
                  <c:v>1.9E-3</c:v>
                </c:pt>
                <c:pt idx="609">
                  <c:v>1.9E-3</c:v>
                </c:pt>
                <c:pt idx="610">
                  <c:v>1.9E-3</c:v>
                </c:pt>
                <c:pt idx="611">
                  <c:v>1.8E-3</c:v>
                </c:pt>
                <c:pt idx="612">
                  <c:v>1.6999999999999999E-3</c:v>
                </c:pt>
                <c:pt idx="613">
                  <c:v>1.6000000000000001E-3</c:v>
                </c:pt>
                <c:pt idx="614">
                  <c:v>1.4E-3</c:v>
                </c:pt>
                <c:pt idx="615">
                  <c:v>1E-3</c:v>
                </c:pt>
                <c:pt idx="616">
                  <c:v>8.9999999999999998E-4</c:v>
                </c:pt>
                <c:pt idx="617">
                  <c:v>8.9999999999999998E-4</c:v>
                </c:pt>
                <c:pt idx="618">
                  <c:v>6.9999999999999999E-4</c:v>
                </c:pt>
                <c:pt idx="619">
                  <c:v>1E-3</c:v>
                </c:pt>
                <c:pt idx="620">
                  <c:v>8.0000000000000004E-4</c:v>
                </c:pt>
                <c:pt idx="621">
                  <c:v>6.9999999999999999E-4</c:v>
                </c:pt>
                <c:pt idx="622">
                  <c:v>8.0000000000000004E-4</c:v>
                </c:pt>
                <c:pt idx="623">
                  <c:v>6.9999999999999999E-4</c:v>
                </c:pt>
                <c:pt idx="624">
                  <c:v>8.0000000000000004E-4</c:v>
                </c:pt>
                <c:pt idx="625">
                  <c:v>1E-3</c:v>
                </c:pt>
                <c:pt idx="626">
                  <c:v>1.2999999999999999E-3</c:v>
                </c:pt>
                <c:pt idx="627">
                  <c:v>1.4E-3</c:v>
                </c:pt>
                <c:pt idx="628">
                  <c:v>1.6000000000000001E-3</c:v>
                </c:pt>
                <c:pt idx="629">
                  <c:v>1.6000000000000001E-3</c:v>
                </c:pt>
                <c:pt idx="630">
                  <c:v>1.6000000000000001E-3</c:v>
                </c:pt>
                <c:pt idx="631">
                  <c:v>1.2999999999999999E-3</c:v>
                </c:pt>
                <c:pt idx="632">
                  <c:v>1.4E-3</c:v>
                </c:pt>
                <c:pt idx="633">
                  <c:v>1.6000000000000001E-3</c:v>
                </c:pt>
                <c:pt idx="634">
                  <c:v>1.6000000000000001E-3</c:v>
                </c:pt>
                <c:pt idx="635">
                  <c:v>1.6000000000000001E-3</c:v>
                </c:pt>
                <c:pt idx="636">
                  <c:v>1.4E-3</c:v>
                </c:pt>
                <c:pt idx="637">
                  <c:v>1.5E-3</c:v>
                </c:pt>
                <c:pt idx="638">
                  <c:v>1.4E-3</c:v>
                </c:pt>
                <c:pt idx="639">
                  <c:v>1.5E-3</c:v>
                </c:pt>
                <c:pt idx="640">
                  <c:v>1.1000000000000001E-3</c:v>
                </c:pt>
                <c:pt idx="641">
                  <c:v>8.9999999999999998E-4</c:v>
                </c:pt>
                <c:pt idx="642">
                  <c:v>8.9999999999999998E-4</c:v>
                </c:pt>
                <c:pt idx="643">
                  <c:v>8.0000000000000004E-4</c:v>
                </c:pt>
                <c:pt idx="644">
                  <c:v>8.0000000000000004E-4</c:v>
                </c:pt>
                <c:pt idx="645">
                  <c:v>8.9999999999999998E-4</c:v>
                </c:pt>
                <c:pt idx="646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DB6-AD21-70FEC817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43064"/>
        <c:axId val="-2127159112"/>
      </c:lineChart>
      <c:dateAx>
        <c:axId val="2138443064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-2127159112"/>
        <c:crosses val="autoZero"/>
        <c:auto val="1"/>
        <c:lblOffset val="100"/>
        <c:baseTimeUnit val="months"/>
      </c:dateAx>
      <c:valAx>
        <c:axId val="-21271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38443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158750</xdr:colOff>
      <xdr:row>256</xdr:row>
      <xdr:rowOff>152400</xdr:rowOff>
    </xdr:from>
    <xdr:to>
      <xdr:col>30</xdr:col>
      <xdr:colOff>596900</xdr:colOff>
      <xdr:row>293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44450</xdr:colOff>
      <xdr:row>29</xdr:row>
      <xdr:rowOff>19050</xdr:rowOff>
    </xdr:from>
    <xdr:ext cx="422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E6DBAA-47BB-214F-96BA-DEEFE342849B}"/>
                </a:ext>
              </a:extLst>
            </xdr:cNvPr>
            <xdr:cNvSpPr txBox="1"/>
          </xdr:nvSpPr>
          <xdr:spPr>
            <a:xfrm>
              <a:off x="19030950" y="4908550"/>
              <a:ext cx="422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=0.00063539+1.44140757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−0.611849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+ 0.15807396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−3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E6DBAA-47BB-214F-96BA-DEEFE342849B}"/>
                </a:ext>
              </a:extLst>
            </xdr:cNvPr>
            <xdr:cNvSpPr txBox="1"/>
          </xdr:nvSpPr>
          <xdr:spPr>
            <a:xfrm>
              <a:off x="19030950" y="4908550"/>
              <a:ext cx="422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𝑌_𝑖=0.00063539+1.44140757𝑌_(𝑖−1)  −0.611849𝑌_(𝑖−2)  </a:t>
              </a:r>
              <a:r>
                <a:rPr lang="en-US" sz="1100"/>
                <a:t>+ 0.15807396</a:t>
              </a:r>
              <a:r>
                <a:rPr lang="en-US" sz="1100" b="0" i="0">
                  <a:latin typeface="Cambria Math" panose="02040503050406030204" pitchFamily="18" charset="0"/>
                </a:rPr>
                <a:t>𝑌_(𝑖−3)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federalreserve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0"/>
  <sheetViews>
    <sheetView workbookViewId="0">
      <selection activeCell="W25" sqref="W25"/>
    </sheetView>
  </sheetViews>
  <sheetFormatPr baseColWidth="10" defaultColWidth="8.83203125" defaultRowHeight="13" x14ac:dyDescent="0.15"/>
  <cols>
    <col min="1" max="1" width="12" style="2" customWidth="1"/>
    <col min="2" max="2" width="8.83203125" style="2"/>
    <col min="3" max="3" width="14.5" style="12" customWidth="1"/>
    <col min="4" max="9" width="8.83203125" style="2"/>
    <col min="10" max="10" width="15.1640625" style="2" customWidth="1"/>
    <col min="11" max="11" width="18.6640625" style="2" customWidth="1"/>
    <col min="12" max="12" width="21" style="2" customWidth="1"/>
    <col min="13" max="16" width="8.83203125" style="2"/>
    <col min="17" max="17" width="11.1640625" style="2" bestFit="1" customWidth="1"/>
    <col min="18" max="16384" width="8.83203125" style="2"/>
  </cols>
  <sheetData>
    <row r="1" spans="1:17" x14ac:dyDescent="0.15">
      <c r="A1" s="1" t="s">
        <v>0</v>
      </c>
      <c r="D1" s="7" t="s">
        <v>3</v>
      </c>
    </row>
    <row r="2" spans="1:17" x14ac:dyDescent="0.15">
      <c r="A2" s="1"/>
      <c r="G2" s="2" t="s">
        <v>16</v>
      </c>
    </row>
    <row r="3" spans="1:17" ht="14" thickBot="1" x14ac:dyDescent="0.2">
      <c r="A3" s="5" t="s">
        <v>1</v>
      </c>
      <c r="B3" s="5" t="s">
        <v>2</v>
      </c>
      <c r="C3" s="12" t="s">
        <v>14</v>
      </c>
    </row>
    <row r="4" spans="1:17" ht="14" thickTop="1" x14ac:dyDescent="0.15">
      <c r="A4" s="3">
        <f>DATE(1960,1,1)</f>
        <v>21916</v>
      </c>
      <c r="B4" s="4">
        <v>3.9900000000000005E-2</v>
      </c>
      <c r="C4" s="12" t="s">
        <v>15</v>
      </c>
      <c r="H4" s="11" t="s">
        <v>4</v>
      </c>
      <c r="I4" s="11" t="s">
        <v>10</v>
      </c>
      <c r="J4" s="11" t="s">
        <v>6</v>
      </c>
      <c r="K4" s="11" t="s">
        <v>7</v>
      </c>
      <c r="L4" s="11" t="s">
        <v>9</v>
      </c>
      <c r="P4" s="2" t="s">
        <v>5</v>
      </c>
      <c r="Q4" s="8">
        <f>AVERAGE(H5:H648)</f>
        <v>5.4662111801242232E-2</v>
      </c>
    </row>
    <row r="5" spans="1:17" x14ac:dyDescent="0.15">
      <c r="A5" s="3">
        <f>DATE(1960,2,1)</f>
        <v>21947</v>
      </c>
      <c r="B5" s="4">
        <v>3.9699999999999999E-2</v>
      </c>
      <c r="C5" s="12" t="s">
        <v>15</v>
      </c>
      <c r="G5" s="3">
        <f>DATE(1960,3,1)</f>
        <v>21976</v>
      </c>
      <c r="H5" s="4">
        <v>3.8399999999999997E-2</v>
      </c>
      <c r="I5" s="12">
        <v>3.9300000000000002E-2</v>
      </c>
      <c r="J5" s="4">
        <f>ABS(H5-$Q$4)</f>
        <v>1.6262111801242235E-2</v>
      </c>
      <c r="K5" s="9">
        <f>(H5-I5)^2</f>
        <v>8.1000000000000897E-7</v>
      </c>
      <c r="L5" s="10">
        <f>ABS(H5-I5)/H5*100</f>
        <v>2.3437500000000133</v>
      </c>
      <c r="P5" s="2" t="s">
        <v>12</v>
      </c>
      <c r="Q5" s="8">
        <f>AVERAGE(J5:J648)</f>
        <v>2.6631125342386475E-2</v>
      </c>
    </row>
    <row r="6" spans="1:17" x14ac:dyDescent="0.15">
      <c r="A6" s="3">
        <f>DATE(1960,3,1)</f>
        <v>21976</v>
      </c>
      <c r="B6" s="4">
        <v>3.8399999999999997E-2</v>
      </c>
      <c r="C6" s="12">
        <f>(B4+B5+B6+B7)/4</f>
        <v>3.9300000000000002E-2</v>
      </c>
      <c r="G6" s="3">
        <f>DATE(1960,4,1)</f>
        <v>22007</v>
      </c>
      <c r="H6" s="4">
        <v>3.9199999999999999E-2</v>
      </c>
      <c r="I6" s="12">
        <v>3.8949999999999999E-2</v>
      </c>
      <c r="J6" s="4">
        <f t="shared" ref="J6:J69" si="0">ABS(H6-$Q$4)</f>
        <v>1.5462111801242233E-2</v>
      </c>
      <c r="K6" s="9">
        <f t="shared" ref="K6:K69" si="1">(H6-I6)^2</f>
        <v>6.2500000000000116E-8</v>
      </c>
      <c r="L6" s="10">
        <f t="shared" ref="L6:L69" si="2">ABS(H6-I6)/H6*100</f>
        <v>0.63775510204081698</v>
      </c>
      <c r="P6" s="2" t="s">
        <v>11</v>
      </c>
      <c r="Q6" s="13">
        <f>AVERAGE(K5:K648)</f>
        <v>1.1002056482919227E-5</v>
      </c>
    </row>
    <row r="7" spans="1:17" x14ac:dyDescent="0.15">
      <c r="A7" s="3">
        <f>DATE(1960,4,1)</f>
        <v>22007</v>
      </c>
      <c r="B7" s="4">
        <v>3.9199999999999999E-2</v>
      </c>
      <c r="C7" s="12">
        <f t="shared" ref="C7:C70" si="3">(B5+B6+B7+B8)/4</f>
        <v>3.8949999999999999E-2</v>
      </c>
      <c r="G7" s="3">
        <f>DATE(1960,5,1)</f>
        <v>22037</v>
      </c>
      <c r="H7" s="4">
        <v>3.85E-2</v>
      </c>
      <c r="I7" s="12">
        <v>3.7325000000000004E-2</v>
      </c>
      <c r="J7" s="4">
        <f t="shared" si="0"/>
        <v>1.6162111801242232E-2</v>
      </c>
      <c r="K7" s="9">
        <f t="shared" si="1"/>
        <v>1.3806249999999894E-6</v>
      </c>
      <c r="L7" s="10">
        <f t="shared" si="2"/>
        <v>3.05194805194804</v>
      </c>
      <c r="P7" s="2" t="s">
        <v>8</v>
      </c>
      <c r="Q7" s="4">
        <f>SQRT(Q6)</f>
        <v>3.316934802331699E-3</v>
      </c>
    </row>
    <row r="8" spans="1:17" x14ac:dyDescent="0.15">
      <c r="A8" s="3">
        <f>DATE(1960,5,1)</f>
        <v>22037</v>
      </c>
      <c r="B8" s="4">
        <v>3.85E-2</v>
      </c>
      <c r="C8" s="12">
        <f t="shared" si="3"/>
        <v>3.7325000000000004E-2</v>
      </c>
      <c r="G8" s="3">
        <f>DATE(1960,6,1)</f>
        <v>22068</v>
      </c>
      <c r="H8" s="4">
        <v>3.32E-2</v>
      </c>
      <c r="I8" s="12">
        <v>3.5799999999999998E-2</v>
      </c>
      <c r="J8" s="4">
        <f t="shared" si="0"/>
        <v>2.1462111801242231E-2</v>
      </c>
      <c r="K8" s="9">
        <f t="shared" si="1"/>
        <v>6.7599999999999903E-6</v>
      </c>
      <c r="L8" s="10">
        <f t="shared" si="2"/>
        <v>7.8313253012048136</v>
      </c>
      <c r="P8" s="2" t="s">
        <v>13</v>
      </c>
      <c r="Q8" s="14">
        <f>AVERAGE(L5:L648)</f>
        <v>3.9106549289470314</v>
      </c>
    </row>
    <row r="9" spans="1:17" x14ac:dyDescent="0.15">
      <c r="A9" s="3">
        <f>DATE(1960,6,1)</f>
        <v>22068</v>
      </c>
      <c r="B9" s="4">
        <v>3.32E-2</v>
      </c>
      <c r="C9" s="12">
        <f t="shared" si="3"/>
        <v>3.5799999999999998E-2</v>
      </c>
      <c r="G9" s="3">
        <f>DATE(1960,7,1)</f>
        <v>22098</v>
      </c>
      <c r="H9" s="4">
        <v>3.2300000000000002E-2</v>
      </c>
      <c r="I9" s="12">
        <v>3.3450000000000001E-2</v>
      </c>
      <c r="J9" s="4">
        <f t="shared" si="0"/>
        <v>2.2362111801242229E-2</v>
      </c>
      <c r="K9" s="9">
        <f t="shared" si="1"/>
        <v>1.322499999999996E-6</v>
      </c>
      <c r="L9" s="10">
        <f t="shared" si="2"/>
        <v>3.5603715170278583</v>
      </c>
    </row>
    <row r="10" spans="1:17" x14ac:dyDescent="0.15">
      <c r="A10" s="3">
        <f>DATE(1960,7,1)</f>
        <v>22098</v>
      </c>
      <c r="B10" s="4">
        <v>3.2300000000000002E-2</v>
      </c>
      <c r="C10" s="12">
        <f t="shared" si="3"/>
        <v>3.3450000000000001E-2</v>
      </c>
      <c r="G10" s="3">
        <f>DATE(1960,8,1)</f>
        <v>22129</v>
      </c>
      <c r="H10" s="4">
        <v>2.98E-2</v>
      </c>
      <c r="I10" s="12">
        <v>3.0324999999999998E-2</v>
      </c>
      <c r="J10" s="4">
        <f t="shared" si="0"/>
        <v>2.4862111801242232E-2</v>
      </c>
      <c r="K10" s="9">
        <f t="shared" si="1"/>
        <v>2.7562499999999757E-7</v>
      </c>
      <c r="L10" s="10">
        <f t="shared" si="2"/>
        <v>1.7617449664429452</v>
      </c>
      <c r="P10" s="2" t="s">
        <v>55</v>
      </c>
    </row>
    <row r="11" spans="1:17" x14ac:dyDescent="0.15">
      <c r="A11" s="3">
        <f>DATE(1960,8,1)</f>
        <v>22129</v>
      </c>
      <c r="B11" s="4">
        <v>2.98E-2</v>
      </c>
      <c r="C11" s="12">
        <f t="shared" si="3"/>
        <v>3.0324999999999998E-2</v>
      </c>
      <c r="G11" s="3">
        <f>DATE(1960,9,1)</f>
        <v>22160</v>
      </c>
      <c r="H11" s="4">
        <v>2.6000000000000002E-2</v>
      </c>
      <c r="I11" s="12">
        <v>2.8200000000000003E-2</v>
      </c>
      <c r="J11" s="4">
        <f t="shared" si="0"/>
        <v>2.8662111801242229E-2</v>
      </c>
      <c r="K11" s="9">
        <f t="shared" si="1"/>
        <v>4.8400000000000028E-6</v>
      </c>
      <c r="L11" s="10">
        <f t="shared" si="2"/>
        <v>8.4615384615384635</v>
      </c>
    </row>
    <row r="12" spans="1:17" x14ac:dyDescent="0.15">
      <c r="A12" s="3">
        <f>DATE(1960,9,1)</f>
        <v>22160</v>
      </c>
      <c r="B12" s="4">
        <v>2.6000000000000002E-2</v>
      </c>
      <c r="C12" s="12">
        <f t="shared" si="3"/>
        <v>2.8200000000000003E-2</v>
      </c>
      <c r="G12" s="3">
        <f>DATE(1960,10,1)</f>
        <v>22190</v>
      </c>
      <c r="H12" s="4">
        <v>2.4700000000000003E-2</v>
      </c>
      <c r="I12" s="12">
        <v>2.6224999999999998E-2</v>
      </c>
      <c r="J12" s="4">
        <f t="shared" si="0"/>
        <v>2.9962111801242228E-2</v>
      </c>
      <c r="K12" s="9">
        <f t="shared" si="1"/>
        <v>2.325624999999985E-6</v>
      </c>
      <c r="L12" s="10">
        <f t="shared" si="2"/>
        <v>6.1740890688258903</v>
      </c>
    </row>
    <row r="13" spans="1:17" x14ac:dyDescent="0.15">
      <c r="A13" s="3">
        <f>DATE(1960,10,1)</f>
        <v>22190</v>
      </c>
      <c r="B13" s="4">
        <v>2.4700000000000003E-2</v>
      </c>
      <c r="C13" s="12">
        <f t="shared" si="3"/>
        <v>2.6224999999999998E-2</v>
      </c>
      <c r="G13" s="3">
        <f>DATE(1960,11,1)</f>
        <v>22221</v>
      </c>
      <c r="H13" s="4">
        <v>2.4399999999999998E-2</v>
      </c>
      <c r="I13" s="12">
        <v>2.3725E-2</v>
      </c>
      <c r="J13" s="4">
        <f t="shared" si="0"/>
        <v>3.0262111801242234E-2</v>
      </c>
      <c r="K13" s="9">
        <f t="shared" si="1"/>
        <v>4.5562499999999802E-7</v>
      </c>
      <c r="L13" s="10">
        <f t="shared" si="2"/>
        <v>2.7663934426229448</v>
      </c>
    </row>
    <row r="14" spans="1:17" x14ac:dyDescent="0.15">
      <c r="A14" s="3">
        <f>DATE(1960,11,1)</f>
        <v>22221</v>
      </c>
      <c r="B14" s="4">
        <v>2.4399999999999998E-2</v>
      </c>
      <c r="C14" s="12">
        <f t="shared" si="3"/>
        <v>2.3725E-2</v>
      </c>
      <c r="G14" s="3">
        <f>DATE(1960,12,1)</f>
        <v>22251</v>
      </c>
      <c r="H14" s="4">
        <v>1.9799999999999998E-2</v>
      </c>
      <c r="I14" s="12">
        <v>2.085E-2</v>
      </c>
      <c r="J14" s="4">
        <f t="shared" si="0"/>
        <v>3.4862111801242233E-2</v>
      </c>
      <c r="K14" s="9">
        <f t="shared" si="1"/>
        <v>1.1025000000000049E-6</v>
      </c>
      <c r="L14" s="10">
        <f t="shared" si="2"/>
        <v>5.3030303030303152</v>
      </c>
    </row>
    <row r="15" spans="1:17" x14ac:dyDescent="0.15">
      <c r="A15" s="3">
        <f>DATE(1960,12,1)</f>
        <v>22251</v>
      </c>
      <c r="B15" s="4">
        <v>1.9799999999999998E-2</v>
      </c>
      <c r="C15" s="12">
        <f t="shared" si="3"/>
        <v>2.085E-2</v>
      </c>
      <c r="G15" s="3">
        <f>DATE(1961,1,1)</f>
        <v>22282</v>
      </c>
      <c r="H15" s="4">
        <v>1.4499999999999999E-2</v>
      </c>
      <c r="I15" s="12">
        <v>2.1024999999999999E-2</v>
      </c>
      <c r="J15" s="4">
        <f t="shared" si="0"/>
        <v>4.0162111801242233E-2</v>
      </c>
      <c r="K15" s="9">
        <f t="shared" si="1"/>
        <v>4.2575624999999994E-5</v>
      </c>
      <c r="L15" s="10">
        <f t="shared" si="2"/>
        <v>45</v>
      </c>
    </row>
    <row r="16" spans="1:17" x14ac:dyDescent="0.15">
      <c r="A16" s="3">
        <f>DATE(1961,1,1)</f>
        <v>22282</v>
      </c>
      <c r="B16" s="4">
        <v>1.4499999999999999E-2</v>
      </c>
      <c r="C16" s="12">
        <f t="shared" si="3"/>
        <v>2.1024999999999999E-2</v>
      </c>
      <c r="G16" s="3">
        <f>DATE(1961,2,1)</f>
        <v>22313</v>
      </c>
      <c r="H16" s="4">
        <v>2.5399999999999999E-2</v>
      </c>
      <c r="I16" s="12">
        <v>1.9975E-2</v>
      </c>
      <c r="J16" s="4">
        <f t="shared" si="0"/>
        <v>2.9262111801242233E-2</v>
      </c>
      <c r="K16" s="9">
        <f t="shared" si="1"/>
        <v>2.9430624999999991E-5</v>
      </c>
      <c r="L16" s="10">
        <f t="shared" si="2"/>
        <v>21.35826771653543</v>
      </c>
    </row>
    <row r="17" spans="1:12" x14ac:dyDescent="0.15">
      <c r="A17" s="3">
        <f>DATE(1961,2,1)</f>
        <v>22313</v>
      </c>
      <c r="B17" s="4">
        <v>2.5399999999999999E-2</v>
      </c>
      <c r="C17" s="12">
        <f t="shared" si="3"/>
        <v>1.9975E-2</v>
      </c>
      <c r="G17" s="3">
        <f>DATE(1961,3,1)</f>
        <v>22341</v>
      </c>
      <c r="H17" s="4">
        <v>2.0199999999999999E-2</v>
      </c>
      <c r="I17" s="12">
        <v>1.8749999999999999E-2</v>
      </c>
      <c r="J17" s="4">
        <f t="shared" si="0"/>
        <v>3.4462111801242229E-2</v>
      </c>
      <c r="K17" s="9">
        <f t="shared" si="1"/>
        <v>2.1024999999999998E-6</v>
      </c>
      <c r="L17" s="10">
        <f t="shared" si="2"/>
        <v>7.1782178217821775</v>
      </c>
    </row>
    <row r="18" spans="1:12" x14ac:dyDescent="0.15">
      <c r="A18" s="3">
        <f>DATE(1961,3,1)</f>
        <v>22341</v>
      </c>
      <c r="B18" s="4">
        <v>2.0199999999999999E-2</v>
      </c>
      <c r="C18" s="12">
        <f t="shared" si="3"/>
        <v>1.8749999999999999E-2</v>
      </c>
      <c r="G18" s="3">
        <f>DATE(1961,4,1)</f>
        <v>22372</v>
      </c>
      <c r="H18" s="4">
        <v>1.49E-2</v>
      </c>
      <c r="I18" s="12">
        <v>2.0074999999999999E-2</v>
      </c>
      <c r="J18" s="4">
        <f t="shared" si="0"/>
        <v>3.9762111801242228E-2</v>
      </c>
      <c r="K18" s="9">
        <f t="shared" si="1"/>
        <v>2.6780624999999991E-5</v>
      </c>
      <c r="L18" s="10">
        <f t="shared" si="2"/>
        <v>34.731543624161063</v>
      </c>
    </row>
    <row r="19" spans="1:12" x14ac:dyDescent="0.15">
      <c r="A19" s="3">
        <f>DATE(1961,4,1)</f>
        <v>22372</v>
      </c>
      <c r="B19" s="4">
        <v>1.49E-2</v>
      </c>
      <c r="C19" s="12">
        <f t="shared" si="3"/>
        <v>2.0074999999999999E-2</v>
      </c>
      <c r="G19" s="3">
        <f>DATE(1961,5,1)</f>
        <v>22402</v>
      </c>
      <c r="H19" s="4">
        <v>1.9799999999999998E-2</v>
      </c>
      <c r="I19" s="12">
        <v>1.805E-2</v>
      </c>
      <c r="J19" s="4">
        <f t="shared" si="0"/>
        <v>3.4862111801242233E-2</v>
      </c>
      <c r="K19" s="9">
        <f t="shared" si="1"/>
        <v>3.0624999999999931E-6</v>
      </c>
      <c r="L19" s="10">
        <f t="shared" si="2"/>
        <v>8.8383838383838302</v>
      </c>
    </row>
    <row r="20" spans="1:12" x14ac:dyDescent="0.15">
      <c r="A20" s="3">
        <f>DATE(1961,5,1)</f>
        <v>22402</v>
      </c>
      <c r="B20" s="4">
        <v>1.9799999999999998E-2</v>
      </c>
      <c r="C20" s="12">
        <f t="shared" si="3"/>
        <v>1.805E-2</v>
      </c>
      <c r="G20" s="3">
        <f>DATE(1961,6,1)</f>
        <v>22433</v>
      </c>
      <c r="H20" s="4">
        <v>1.7299999999999999E-2</v>
      </c>
      <c r="I20" s="12">
        <v>1.5924999999999998E-2</v>
      </c>
      <c r="J20" s="4">
        <f t="shared" si="0"/>
        <v>3.7362111801242229E-2</v>
      </c>
      <c r="K20" s="9">
        <f t="shared" si="1"/>
        <v>1.8906250000000034E-6</v>
      </c>
      <c r="L20" s="10">
        <f t="shared" si="2"/>
        <v>7.9479768786127236</v>
      </c>
    </row>
    <row r="21" spans="1:12" x14ac:dyDescent="0.15">
      <c r="A21" s="3">
        <f>DATE(1961,6,1)</f>
        <v>22433</v>
      </c>
      <c r="B21" s="4">
        <v>1.7299999999999999E-2</v>
      </c>
      <c r="C21" s="12">
        <f t="shared" si="3"/>
        <v>1.5924999999999998E-2</v>
      </c>
      <c r="G21" s="3">
        <f>DATE(1961,7,1)</f>
        <v>22463</v>
      </c>
      <c r="H21" s="4">
        <v>1.1699999999999999E-2</v>
      </c>
      <c r="I21" s="12">
        <v>1.72E-2</v>
      </c>
      <c r="J21" s="4">
        <f t="shared" si="0"/>
        <v>4.2962111801242236E-2</v>
      </c>
      <c r="K21" s="9">
        <f t="shared" si="1"/>
        <v>3.0250000000000017E-5</v>
      </c>
      <c r="L21" s="10">
        <f t="shared" si="2"/>
        <v>47.008547008547026</v>
      </c>
    </row>
    <row r="22" spans="1:12" x14ac:dyDescent="0.15">
      <c r="A22" s="3">
        <f>DATE(1961,7,1)</f>
        <v>22463</v>
      </c>
      <c r="B22" s="4">
        <v>1.1699999999999999E-2</v>
      </c>
      <c r="C22" s="12">
        <f t="shared" si="3"/>
        <v>1.72E-2</v>
      </c>
      <c r="G22" s="3">
        <f>DATE(1961,8,1)</f>
        <v>22494</v>
      </c>
      <c r="H22" s="4">
        <v>0.02</v>
      </c>
      <c r="I22" s="12">
        <v>1.695E-2</v>
      </c>
      <c r="J22" s="4">
        <f t="shared" si="0"/>
        <v>3.4662111801242235E-2</v>
      </c>
      <c r="K22" s="9">
        <f t="shared" si="1"/>
        <v>9.3025000000000045E-6</v>
      </c>
      <c r="L22" s="10">
        <f t="shared" si="2"/>
        <v>15.250000000000002</v>
      </c>
    </row>
    <row r="23" spans="1:12" x14ac:dyDescent="0.15">
      <c r="A23" s="3">
        <f>DATE(1961,8,1)</f>
        <v>22494</v>
      </c>
      <c r="B23" s="4">
        <v>0.02</v>
      </c>
      <c r="C23" s="12">
        <f t="shared" si="3"/>
        <v>1.695E-2</v>
      </c>
      <c r="G23" s="3">
        <f>DATE(1961,9,1)</f>
        <v>22525</v>
      </c>
      <c r="H23" s="4">
        <v>1.8799999999999997E-2</v>
      </c>
      <c r="I23" s="12">
        <v>1.8275E-2</v>
      </c>
      <c r="J23" s="4">
        <f t="shared" si="0"/>
        <v>3.5862111801242234E-2</v>
      </c>
      <c r="K23" s="9">
        <f t="shared" si="1"/>
        <v>2.7562499999999757E-7</v>
      </c>
      <c r="L23" s="10">
        <f t="shared" si="2"/>
        <v>2.7925531914893496</v>
      </c>
    </row>
    <row r="24" spans="1:12" x14ac:dyDescent="0.15">
      <c r="A24" s="3">
        <f>DATE(1961,9,1)</f>
        <v>22525</v>
      </c>
      <c r="B24" s="4">
        <v>1.8799999999999997E-2</v>
      </c>
      <c r="C24" s="12">
        <f t="shared" si="3"/>
        <v>1.8275E-2</v>
      </c>
      <c r="G24" s="3">
        <f>DATE(1961,10,1)</f>
        <v>22555</v>
      </c>
      <c r="H24" s="4">
        <v>2.2599999999999999E-2</v>
      </c>
      <c r="I24" s="12">
        <v>2.1874999999999999E-2</v>
      </c>
      <c r="J24" s="4">
        <f t="shared" si="0"/>
        <v>3.206211180124223E-2</v>
      </c>
      <c r="K24" s="9">
        <f t="shared" si="1"/>
        <v>5.2562499999999994E-7</v>
      </c>
      <c r="L24" s="10">
        <f t="shared" si="2"/>
        <v>3.2079646017699117</v>
      </c>
    </row>
    <row r="25" spans="1:12" x14ac:dyDescent="0.15">
      <c r="A25" s="3">
        <f>DATE(1961,10,1)</f>
        <v>22555</v>
      </c>
      <c r="B25" s="4">
        <v>2.2599999999999999E-2</v>
      </c>
      <c r="C25" s="12">
        <f t="shared" si="3"/>
        <v>2.1874999999999999E-2</v>
      </c>
      <c r="G25" s="3">
        <f>DATE(1961,11,1)</f>
        <v>22586</v>
      </c>
      <c r="H25" s="4">
        <v>2.6099999999999998E-2</v>
      </c>
      <c r="I25" s="12">
        <v>2.2699999999999998E-2</v>
      </c>
      <c r="J25" s="4">
        <f t="shared" si="0"/>
        <v>2.8562111801242233E-2</v>
      </c>
      <c r="K25" s="9">
        <f t="shared" si="1"/>
        <v>1.1560000000000001E-5</v>
      </c>
      <c r="L25" s="10">
        <f t="shared" si="2"/>
        <v>13.026819923371649</v>
      </c>
    </row>
    <row r="26" spans="1:12" x14ac:dyDescent="0.15">
      <c r="A26" s="3">
        <f>DATE(1961,11,1)</f>
        <v>22586</v>
      </c>
      <c r="B26" s="4">
        <v>2.6099999999999998E-2</v>
      </c>
      <c r="C26" s="12">
        <f t="shared" si="3"/>
        <v>2.2699999999999998E-2</v>
      </c>
      <c r="G26" s="3">
        <f>DATE(1961,12,1)</f>
        <v>22616</v>
      </c>
      <c r="H26" s="4">
        <v>2.3300000000000001E-2</v>
      </c>
      <c r="I26" s="12">
        <v>2.3375E-2</v>
      </c>
      <c r="J26" s="4">
        <f t="shared" si="0"/>
        <v>3.136211180124223E-2</v>
      </c>
      <c r="K26" s="9">
        <f t="shared" si="1"/>
        <v>5.6249999999998022E-9</v>
      </c>
      <c r="L26" s="10">
        <f t="shared" si="2"/>
        <v>0.32188841201716167</v>
      </c>
    </row>
    <row r="27" spans="1:12" x14ac:dyDescent="0.15">
      <c r="A27" s="3">
        <f>DATE(1961,12,1)</f>
        <v>22616</v>
      </c>
      <c r="B27" s="4">
        <v>2.3300000000000001E-2</v>
      </c>
      <c r="C27" s="12">
        <f t="shared" si="3"/>
        <v>2.3375E-2</v>
      </c>
      <c r="G27" s="3">
        <f>DATE(1962,1,1)</f>
        <v>22647</v>
      </c>
      <c r="H27" s="4">
        <v>2.1499999999999998E-2</v>
      </c>
      <c r="I27" s="12">
        <v>2.3649999999999997E-2</v>
      </c>
      <c r="J27" s="4">
        <f t="shared" si="0"/>
        <v>3.3162111801242233E-2</v>
      </c>
      <c r="K27" s="9">
        <f t="shared" si="1"/>
        <v>4.622499999999996E-6</v>
      </c>
      <c r="L27" s="10">
        <f t="shared" si="2"/>
        <v>9.9999999999999964</v>
      </c>
    </row>
    <row r="28" spans="1:12" x14ac:dyDescent="0.15">
      <c r="A28" s="3">
        <f>DATE(1962,1,1)</f>
        <v>22647</v>
      </c>
      <c r="B28" s="4">
        <v>2.1499999999999998E-2</v>
      </c>
      <c r="C28" s="12">
        <f t="shared" si="3"/>
        <v>2.3649999999999997E-2</v>
      </c>
      <c r="G28" s="3">
        <f>DATE(1962,2,1)</f>
        <v>22678</v>
      </c>
      <c r="H28" s="4">
        <v>2.3700000000000002E-2</v>
      </c>
      <c r="I28" s="12">
        <v>2.4250000000000001E-2</v>
      </c>
      <c r="J28" s="4">
        <f t="shared" si="0"/>
        <v>3.0962111801242229E-2</v>
      </c>
      <c r="K28" s="9">
        <f t="shared" si="1"/>
        <v>3.0249999999999827E-7</v>
      </c>
      <c r="L28" s="10">
        <f t="shared" si="2"/>
        <v>2.320675105485225</v>
      </c>
    </row>
    <row r="29" spans="1:12" x14ac:dyDescent="0.15">
      <c r="A29" s="3">
        <f>DATE(1962,2,1)</f>
        <v>22678</v>
      </c>
      <c r="B29" s="4">
        <v>2.3700000000000002E-2</v>
      </c>
      <c r="C29" s="12">
        <f t="shared" si="3"/>
        <v>2.4250000000000001E-2</v>
      </c>
      <c r="G29" s="3">
        <f>DATE(1962,3,1)</f>
        <v>22706</v>
      </c>
      <c r="H29" s="4">
        <v>2.8500000000000001E-2</v>
      </c>
      <c r="I29" s="12">
        <v>2.5375000000000002E-2</v>
      </c>
      <c r="J29" s="4">
        <f t="shared" si="0"/>
        <v>2.6162111801242231E-2</v>
      </c>
      <c r="K29" s="9">
        <f t="shared" si="1"/>
        <v>9.7656249999999951E-6</v>
      </c>
      <c r="L29" s="10">
        <f t="shared" si="2"/>
        <v>10.964912280701752</v>
      </c>
    </row>
    <row r="30" spans="1:12" x14ac:dyDescent="0.15">
      <c r="A30" s="3">
        <f>DATE(1962,3,1)</f>
        <v>22706</v>
      </c>
      <c r="B30" s="4">
        <v>2.8500000000000001E-2</v>
      </c>
      <c r="C30" s="12">
        <f t="shared" si="3"/>
        <v>2.5375000000000002E-2</v>
      </c>
      <c r="G30" s="3">
        <f>DATE(1962,4,1)</f>
        <v>22737</v>
      </c>
      <c r="H30" s="4">
        <v>2.7799999999999998E-2</v>
      </c>
      <c r="I30" s="12">
        <v>2.5899999999999999E-2</v>
      </c>
      <c r="J30" s="4">
        <f t="shared" si="0"/>
        <v>2.6862111801242233E-2</v>
      </c>
      <c r="K30" s="9">
        <f t="shared" si="1"/>
        <v>3.6099999999999959E-6</v>
      </c>
      <c r="L30" s="10">
        <f t="shared" si="2"/>
        <v>6.834532374100716</v>
      </c>
    </row>
    <row r="31" spans="1:12" x14ac:dyDescent="0.15">
      <c r="A31" s="3">
        <f>DATE(1962,4,1)</f>
        <v>22737</v>
      </c>
      <c r="B31" s="4">
        <v>2.7799999999999998E-2</v>
      </c>
      <c r="C31" s="12">
        <f t="shared" si="3"/>
        <v>2.5899999999999999E-2</v>
      </c>
      <c r="G31" s="3">
        <f>DATE(1962,5,1)</f>
        <v>22767</v>
      </c>
      <c r="H31" s="4">
        <v>2.3599999999999999E-2</v>
      </c>
      <c r="I31" s="12">
        <v>2.6675000000000001E-2</v>
      </c>
      <c r="J31" s="4">
        <f t="shared" si="0"/>
        <v>3.1062111801242232E-2</v>
      </c>
      <c r="K31" s="9">
        <f t="shared" si="1"/>
        <v>9.4556250000000083E-6</v>
      </c>
      <c r="L31" s="10">
        <f t="shared" si="2"/>
        <v>13.029661016949159</v>
      </c>
    </row>
    <row r="32" spans="1:12" x14ac:dyDescent="0.15">
      <c r="A32" s="3">
        <f>DATE(1962,5,1)</f>
        <v>22767</v>
      </c>
      <c r="B32" s="4">
        <v>2.3599999999999999E-2</v>
      </c>
      <c r="C32" s="12">
        <f t="shared" si="3"/>
        <v>2.6675000000000001E-2</v>
      </c>
      <c r="G32" s="3">
        <f>DATE(1962,6,1)</f>
        <v>22798</v>
      </c>
      <c r="H32" s="4">
        <v>2.6800000000000001E-2</v>
      </c>
      <c r="I32" s="12">
        <v>2.6325000000000001E-2</v>
      </c>
      <c r="J32" s="4">
        <f t="shared" si="0"/>
        <v>2.7862111801242231E-2</v>
      </c>
      <c r="K32" s="9">
        <f t="shared" si="1"/>
        <v>2.2562499999999975E-7</v>
      </c>
      <c r="L32" s="10">
        <f t="shared" si="2"/>
        <v>1.7723880597014914</v>
      </c>
    </row>
    <row r="33" spans="1:12" x14ac:dyDescent="0.15">
      <c r="A33" s="3">
        <f>DATE(1962,6,1)</f>
        <v>22798</v>
      </c>
      <c r="B33" s="4">
        <v>2.6800000000000001E-2</v>
      </c>
      <c r="C33" s="12">
        <f t="shared" si="3"/>
        <v>2.6325000000000001E-2</v>
      </c>
      <c r="G33" s="3">
        <f>DATE(1962,7,1)</f>
        <v>22828</v>
      </c>
      <c r="H33" s="4">
        <v>2.7099999999999999E-2</v>
      </c>
      <c r="I33" s="12">
        <v>2.6700000000000002E-2</v>
      </c>
      <c r="J33" s="4">
        <f t="shared" si="0"/>
        <v>2.7562111801242233E-2</v>
      </c>
      <c r="K33" s="9">
        <f t="shared" si="1"/>
        <v>1.5999999999999807E-7</v>
      </c>
      <c r="L33" s="10">
        <f t="shared" si="2"/>
        <v>1.4760147601475926</v>
      </c>
    </row>
    <row r="34" spans="1:12" x14ac:dyDescent="0.15">
      <c r="A34" s="3">
        <f>DATE(1962,7,1)</f>
        <v>22828</v>
      </c>
      <c r="B34" s="4">
        <v>2.7099999999999999E-2</v>
      </c>
      <c r="C34" s="12">
        <f t="shared" si="3"/>
        <v>2.6700000000000002E-2</v>
      </c>
      <c r="G34" s="3">
        <f>DATE(1962,8,1)</f>
        <v>22859</v>
      </c>
      <c r="H34" s="4">
        <v>2.9300000000000003E-2</v>
      </c>
      <c r="I34" s="12">
        <v>2.8050000000000002E-2</v>
      </c>
      <c r="J34" s="4">
        <f t="shared" si="0"/>
        <v>2.5362111801242228E-2</v>
      </c>
      <c r="K34" s="9">
        <f t="shared" si="1"/>
        <v>1.5625000000000028E-6</v>
      </c>
      <c r="L34" s="10">
        <f t="shared" si="2"/>
        <v>4.2662116040955667</v>
      </c>
    </row>
    <row r="35" spans="1:12" x14ac:dyDescent="0.15">
      <c r="A35" s="3">
        <f>DATE(1962,8,1)</f>
        <v>22859</v>
      </c>
      <c r="B35" s="4">
        <v>2.9300000000000003E-2</v>
      </c>
      <c r="C35" s="12">
        <f t="shared" si="3"/>
        <v>2.8050000000000002E-2</v>
      </c>
      <c r="G35" s="3">
        <f>DATE(1962,9,1)</f>
        <v>22890</v>
      </c>
      <c r="H35" s="4">
        <v>2.8999999999999998E-2</v>
      </c>
      <c r="I35" s="12">
        <v>2.86E-2</v>
      </c>
      <c r="J35" s="4">
        <f t="shared" si="0"/>
        <v>2.5662111801242234E-2</v>
      </c>
      <c r="K35" s="9">
        <f t="shared" si="1"/>
        <v>1.5999999999999807E-7</v>
      </c>
      <c r="L35" s="10">
        <f t="shared" si="2"/>
        <v>1.3793103448275781</v>
      </c>
    </row>
    <row r="36" spans="1:12" x14ac:dyDescent="0.15">
      <c r="A36" s="3">
        <f>DATE(1962,9,1)</f>
        <v>22890</v>
      </c>
      <c r="B36" s="4">
        <v>2.8999999999999998E-2</v>
      </c>
      <c r="C36" s="12">
        <f t="shared" si="3"/>
        <v>2.86E-2</v>
      </c>
      <c r="G36" s="3">
        <f>DATE(1962,10,1)</f>
        <v>22920</v>
      </c>
      <c r="H36" s="4">
        <v>2.8999999999999998E-2</v>
      </c>
      <c r="I36" s="12">
        <v>2.9175E-2</v>
      </c>
      <c r="J36" s="4">
        <f t="shared" si="0"/>
        <v>2.5662111801242234E-2</v>
      </c>
      <c r="K36" s="9">
        <f t="shared" si="1"/>
        <v>3.0625000000000541E-8</v>
      </c>
      <c r="L36" s="10">
        <f t="shared" si="2"/>
        <v>0.60344827586207428</v>
      </c>
    </row>
    <row r="37" spans="1:12" x14ac:dyDescent="0.15">
      <c r="A37" s="3">
        <f>DATE(1962,10,1)</f>
        <v>22920</v>
      </c>
      <c r="B37" s="4">
        <v>2.8999999999999998E-2</v>
      </c>
      <c r="C37" s="12">
        <f t="shared" si="3"/>
        <v>2.9175E-2</v>
      </c>
      <c r="G37" s="3">
        <f>DATE(1962,11,1)</f>
        <v>22951</v>
      </c>
      <c r="H37" s="4">
        <v>2.9399999999999999E-2</v>
      </c>
      <c r="I37" s="12">
        <v>2.9175E-2</v>
      </c>
      <c r="J37" s="4">
        <f t="shared" si="0"/>
        <v>2.5262111801242233E-2</v>
      </c>
      <c r="K37" s="9">
        <f t="shared" si="1"/>
        <v>5.062499999999978E-8</v>
      </c>
      <c r="L37" s="10">
        <f t="shared" si="2"/>
        <v>0.76530612244897789</v>
      </c>
    </row>
    <row r="38" spans="1:12" x14ac:dyDescent="0.15">
      <c r="A38" s="3">
        <f>DATE(1962,11,1)</f>
        <v>22951</v>
      </c>
      <c r="B38" s="4">
        <v>2.9399999999999999E-2</v>
      </c>
      <c r="C38" s="12">
        <f t="shared" si="3"/>
        <v>2.9175E-2</v>
      </c>
      <c r="G38" s="3">
        <f>DATE(1962,12,1)</f>
        <v>22981</v>
      </c>
      <c r="H38" s="4">
        <v>2.9300000000000003E-2</v>
      </c>
      <c r="I38" s="12">
        <v>2.9225000000000001E-2</v>
      </c>
      <c r="J38" s="4">
        <f t="shared" si="0"/>
        <v>2.5362111801242228E-2</v>
      </c>
      <c r="K38" s="9">
        <f t="shared" si="1"/>
        <v>5.6250000000003225E-9</v>
      </c>
      <c r="L38" s="10">
        <f t="shared" si="2"/>
        <v>0.25597269624574109</v>
      </c>
    </row>
    <row r="39" spans="1:12" x14ac:dyDescent="0.15">
      <c r="A39" s="3">
        <f>DATE(1962,12,1)</f>
        <v>22981</v>
      </c>
      <c r="B39" s="4">
        <v>2.9300000000000003E-2</v>
      </c>
      <c r="C39" s="12">
        <f t="shared" si="3"/>
        <v>2.9225000000000001E-2</v>
      </c>
      <c r="G39" s="3">
        <f>DATE(1963,1,1)</f>
        <v>23012</v>
      </c>
      <c r="H39" s="4">
        <v>2.92E-2</v>
      </c>
      <c r="I39" s="12">
        <v>2.9475000000000001E-2</v>
      </c>
      <c r="J39" s="4">
        <f t="shared" si="0"/>
        <v>2.5462111801242231E-2</v>
      </c>
      <c r="K39" s="9">
        <f t="shared" si="1"/>
        <v>7.562500000000052E-8</v>
      </c>
      <c r="L39" s="10">
        <f t="shared" si="2"/>
        <v>0.94178082191781143</v>
      </c>
    </row>
    <row r="40" spans="1:12" x14ac:dyDescent="0.15">
      <c r="A40" s="3">
        <f>DATE(1963,1,1)</f>
        <v>23012</v>
      </c>
      <c r="B40" s="4">
        <v>2.92E-2</v>
      </c>
      <c r="C40" s="12">
        <f t="shared" si="3"/>
        <v>2.9475000000000001E-2</v>
      </c>
      <c r="G40" s="3">
        <f>DATE(1963,2,1)</f>
        <v>23043</v>
      </c>
      <c r="H40" s="4">
        <v>0.03</v>
      </c>
      <c r="I40" s="12">
        <v>2.9574999999999997E-2</v>
      </c>
      <c r="J40" s="4">
        <f t="shared" si="0"/>
        <v>2.4662111801242233E-2</v>
      </c>
      <c r="K40" s="9">
        <f t="shared" si="1"/>
        <v>1.806250000000015E-7</v>
      </c>
      <c r="L40" s="10">
        <f t="shared" si="2"/>
        <v>1.4166666666666727</v>
      </c>
    </row>
    <row r="41" spans="1:12" x14ac:dyDescent="0.15">
      <c r="A41" s="3">
        <f>DATE(1963,2,1)</f>
        <v>23043</v>
      </c>
      <c r="B41" s="4">
        <v>0.03</v>
      </c>
      <c r="C41" s="12">
        <f t="shared" si="3"/>
        <v>2.9574999999999997E-2</v>
      </c>
      <c r="G41" s="3">
        <f>DATE(1963,3,1)</f>
        <v>23071</v>
      </c>
      <c r="H41" s="4">
        <v>2.98E-2</v>
      </c>
      <c r="I41" s="12">
        <v>2.9499999999999998E-2</v>
      </c>
      <c r="J41" s="4">
        <f t="shared" si="0"/>
        <v>2.4862111801242232E-2</v>
      </c>
      <c r="K41" s="9">
        <f t="shared" si="1"/>
        <v>9.0000000000000991E-8</v>
      </c>
      <c r="L41" s="10">
        <f t="shared" si="2"/>
        <v>1.0067114093959786</v>
      </c>
    </row>
    <row r="42" spans="1:12" x14ac:dyDescent="0.15">
      <c r="A42" s="3">
        <f>DATE(1963,3,1)</f>
        <v>23071</v>
      </c>
      <c r="B42" s="4">
        <v>2.98E-2</v>
      </c>
      <c r="C42" s="12">
        <f t="shared" si="3"/>
        <v>2.9499999999999998E-2</v>
      </c>
      <c r="G42" s="3">
        <f>DATE(1963,4,1)</f>
        <v>23102</v>
      </c>
      <c r="H42" s="4">
        <v>2.8999999999999998E-2</v>
      </c>
      <c r="I42" s="12">
        <v>2.9699999999999997E-2</v>
      </c>
      <c r="J42" s="4">
        <f t="shared" si="0"/>
        <v>2.5662111801242234E-2</v>
      </c>
      <c r="K42" s="9">
        <f t="shared" si="1"/>
        <v>4.8999999999999891E-7</v>
      </c>
      <c r="L42" s="10">
        <f t="shared" si="2"/>
        <v>2.4137931034482736</v>
      </c>
    </row>
    <row r="43" spans="1:12" x14ac:dyDescent="0.15">
      <c r="A43" s="3">
        <f>DATE(1963,4,1)</f>
        <v>23102</v>
      </c>
      <c r="B43" s="4">
        <v>2.8999999999999998E-2</v>
      </c>
      <c r="C43" s="12">
        <f t="shared" si="3"/>
        <v>2.9699999999999997E-2</v>
      </c>
      <c r="G43" s="3">
        <f>DATE(1963,5,1)</f>
        <v>23132</v>
      </c>
      <c r="H43" s="4">
        <v>0.03</v>
      </c>
      <c r="I43" s="12">
        <v>2.9675E-2</v>
      </c>
      <c r="J43" s="4">
        <f t="shared" si="0"/>
        <v>2.4662111801242233E-2</v>
      </c>
      <c r="K43" s="9">
        <f t="shared" si="1"/>
        <v>1.0562499999999928E-7</v>
      </c>
      <c r="L43" s="10">
        <f t="shared" si="2"/>
        <v>1.0833333333333297</v>
      </c>
    </row>
    <row r="44" spans="1:12" x14ac:dyDescent="0.15">
      <c r="A44" s="3">
        <f>DATE(1963,5,1)</f>
        <v>23132</v>
      </c>
      <c r="B44" s="4">
        <v>0.03</v>
      </c>
      <c r="C44" s="12">
        <f t="shared" si="3"/>
        <v>2.9675E-2</v>
      </c>
      <c r="G44" s="3">
        <f>DATE(1963,6,1)</f>
        <v>23163</v>
      </c>
      <c r="H44" s="4">
        <v>2.9900000000000003E-2</v>
      </c>
      <c r="I44" s="12">
        <v>2.9775000000000003E-2</v>
      </c>
      <c r="J44" s="4">
        <f t="shared" si="0"/>
        <v>2.4762111801242229E-2</v>
      </c>
      <c r="K44" s="9">
        <f t="shared" si="1"/>
        <v>1.5625000000000029E-8</v>
      </c>
      <c r="L44" s="10">
        <f t="shared" si="2"/>
        <v>0.41806020066889665</v>
      </c>
    </row>
    <row r="45" spans="1:12" x14ac:dyDescent="0.15">
      <c r="A45" s="3">
        <f>DATE(1963,6,1)</f>
        <v>23163</v>
      </c>
      <c r="B45" s="4">
        <v>2.9900000000000003E-2</v>
      </c>
      <c r="C45" s="12">
        <f t="shared" si="3"/>
        <v>2.9775000000000003E-2</v>
      </c>
      <c r="G45" s="3">
        <f>DATE(1963,7,1)</f>
        <v>23193</v>
      </c>
      <c r="H45" s="4">
        <v>3.0200000000000001E-2</v>
      </c>
      <c r="I45" s="12">
        <v>3.125E-2</v>
      </c>
      <c r="J45" s="4">
        <f t="shared" si="0"/>
        <v>2.446211180124223E-2</v>
      </c>
      <c r="K45" s="9">
        <f t="shared" si="1"/>
        <v>1.1024999999999975E-6</v>
      </c>
      <c r="L45" s="10">
        <f t="shared" si="2"/>
        <v>3.4768211920529764</v>
      </c>
    </row>
    <row r="46" spans="1:12" x14ac:dyDescent="0.15">
      <c r="A46" s="3">
        <f>DATE(1963,7,1)</f>
        <v>23193</v>
      </c>
      <c r="B46" s="4">
        <v>3.0200000000000001E-2</v>
      </c>
      <c r="C46" s="12">
        <f t="shared" si="3"/>
        <v>3.125E-2</v>
      </c>
      <c r="G46" s="3">
        <f>DATE(1963,8,1)</f>
        <v>23224</v>
      </c>
      <c r="H46" s="4">
        <v>3.49E-2</v>
      </c>
      <c r="I46" s="12">
        <v>3.245E-2</v>
      </c>
      <c r="J46" s="4">
        <f t="shared" si="0"/>
        <v>1.9762111801242231E-2</v>
      </c>
      <c r="K46" s="9">
        <f t="shared" si="1"/>
        <v>6.0025000000000039E-6</v>
      </c>
      <c r="L46" s="10">
        <f t="shared" si="2"/>
        <v>7.0200573065902603</v>
      </c>
    </row>
    <row r="47" spans="1:12" x14ac:dyDescent="0.15">
      <c r="A47" s="3">
        <f>DATE(1963,8,1)</f>
        <v>23224</v>
      </c>
      <c r="B47" s="4">
        <v>3.49E-2</v>
      </c>
      <c r="C47" s="12">
        <f t="shared" si="3"/>
        <v>3.245E-2</v>
      </c>
      <c r="G47" s="3">
        <f>DATE(1963,9,1)</f>
        <v>23255</v>
      </c>
      <c r="H47" s="4">
        <v>3.4799999999999998E-2</v>
      </c>
      <c r="I47" s="12">
        <v>3.3725000000000005E-2</v>
      </c>
      <c r="J47" s="4">
        <f t="shared" si="0"/>
        <v>1.9862111801242234E-2</v>
      </c>
      <c r="K47" s="9">
        <f t="shared" si="1"/>
        <v>1.1556249999999842E-6</v>
      </c>
      <c r="L47" s="10">
        <f t="shared" si="2"/>
        <v>3.089080459770094</v>
      </c>
    </row>
    <row r="48" spans="1:12" x14ac:dyDescent="0.15">
      <c r="A48" s="3">
        <f>DATE(1963,9,1)</f>
        <v>23255</v>
      </c>
      <c r="B48" s="4">
        <v>3.4799999999999998E-2</v>
      </c>
      <c r="C48" s="12">
        <f t="shared" si="3"/>
        <v>3.3725000000000005E-2</v>
      </c>
      <c r="G48" s="3">
        <f>DATE(1963,10,1)</f>
        <v>23285</v>
      </c>
      <c r="H48" s="4">
        <v>3.5000000000000003E-2</v>
      </c>
      <c r="I48" s="12">
        <v>3.4875000000000003E-2</v>
      </c>
      <c r="J48" s="4">
        <f t="shared" si="0"/>
        <v>1.9662111801242228E-2</v>
      </c>
      <c r="K48" s="9">
        <f t="shared" si="1"/>
        <v>1.5625000000000029E-8</v>
      </c>
      <c r="L48" s="10">
        <f t="shared" si="2"/>
        <v>0.35714285714285743</v>
      </c>
    </row>
    <row r="49" spans="1:12" x14ac:dyDescent="0.15">
      <c r="A49" s="3">
        <f>DATE(1963,10,1)</f>
        <v>23285</v>
      </c>
      <c r="B49" s="4">
        <v>3.5000000000000003E-2</v>
      </c>
      <c r="C49" s="12">
        <f t="shared" si="3"/>
        <v>3.4875000000000003E-2</v>
      </c>
      <c r="G49" s="3">
        <f>DATE(1963,11,1)</f>
        <v>23316</v>
      </c>
      <c r="H49" s="4">
        <v>3.4799999999999998E-2</v>
      </c>
      <c r="I49" s="12">
        <v>3.4599999999999999E-2</v>
      </c>
      <c r="J49" s="4">
        <f t="shared" si="0"/>
        <v>1.9862111801242234E-2</v>
      </c>
      <c r="K49" s="9">
        <f t="shared" si="1"/>
        <v>3.9999999999999518E-8</v>
      </c>
      <c r="L49" s="10">
        <f t="shared" si="2"/>
        <v>0.57471264367815744</v>
      </c>
    </row>
    <row r="50" spans="1:12" x14ac:dyDescent="0.15">
      <c r="A50" s="3">
        <f>DATE(1963,11,1)</f>
        <v>23316</v>
      </c>
      <c r="B50" s="4">
        <v>3.4799999999999998E-2</v>
      </c>
      <c r="C50" s="12">
        <f t="shared" si="3"/>
        <v>3.4599999999999999E-2</v>
      </c>
      <c r="G50" s="3">
        <f>DATE(1963,12,1)</f>
        <v>23346</v>
      </c>
      <c r="H50" s="4">
        <v>3.3799999999999997E-2</v>
      </c>
      <c r="I50" s="12">
        <v>3.4599999999999999E-2</v>
      </c>
      <c r="J50" s="4">
        <f t="shared" si="0"/>
        <v>2.0862111801242235E-2</v>
      </c>
      <c r="K50" s="9">
        <f t="shared" si="1"/>
        <v>6.400000000000034E-7</v>
      </c>
      <c r="L50" s="10">
        <f t="shared" si="2"/>
        <v>2.3668639053254505</v>
      </c>
    </row>
    <row r="51" spans="1:12" x14ac:dyDescent="0.15">
      <c r="A51" s="3">
        <f>DATE(1963,12,1)</f>
        <v>23346</v>
      </c>
      <c r="B51" s="4">
        <v>3.3799999999999997E-2</v>
      </c>
      <c r="C51" s="12">
        <f t="shared" si="3"/>
        <v>3.4599999999999999E-2</v>
      </c>
      <c r="G51" s="3">
        <f>DATE(1964,1,1)</f>
        <v>23377</v>
      </c>
      <c r="H51" s="4">
        <v>3.4799999999999998E-2</v>
      </c>
      <c r="I51" s="12">
        <v>3.4549999999999997E-2</v>
      </c>
      <c r="J51" s="4">
        <f t="shared" si="0"/>
        <v>1.9862111801242234E-2</v>
      </c>
      <c r="K51" s="9">
        <f t="shared" si="1"/>
        <v>6.2500000000000116E-8</v>
      </c>
      <c r="L51" s="10">
        <f t="shared" si="2"/>
        <v>0.71839080459770188</v>
      </c>
    </row>
    <row r="52" spans="1:12" x14ac:dyDescent="0.15">
      <c r="A52" s="3">
        <f>DATE(1964,1,1)</f>
        <v>23377</v>
      </c>
      <c r="B52" s="4">
        <v>3.4799999999999998E-2</v>
      </c>
      <c r="C52" s="12">
        <f t="shared" si="3"/>
        <v>3.4549999999999997E-2</v>
      </c>
      <c r="G52" s="3">
        <f>DATE(1964,2,1)</f>
        <v>23408</v>
      </c>
      <c r="H52" s="4">
        <v>3.4799999999999998E-2</v>
      </c>
      <c r="I52" s="12">
        <v>3.4424999999999997E-2</v>
      </c>
      <c r="J52" s="4">
        <f t="shared" si="0"/>
        <v>1.9862111801242234E-2</v>
      </c>
      <c r="K52" s="9">
        <f t="shared" si="1"/>
        <v>1.4062500000000024E-7</v>
      </c>
      <c r="L52" s="10">
        <f t="shared" si="2"/>
        <v>1.0775862068965529</v>
      </c>
    </row>
    <row r="53" spans="1:12" x14ac:dyDescent="0.15">
      <c r="A53" s="3">
        <f>DATE(1964,2,1)</f>
        <v>23408</v>
      </c>
      <c r="B53" s="4">
        <v>3.4799999999999998E-2</v>
      </c>
      <c r="C53" s="12">
        <f t="shared" si="3"/>
        <v>3.4424999999999997E-2</v>
      </c>
      <c r="G53" s="3">
        <f>DATE(1964,3,1)</f>
        <v>23437</v>
      </c>
      <c r="H53" s="4">
        <v>3.4300000000000004E-2</v>
      </c>
      <c r="I53" s="12">
        <v>3.465E-2</v>
      </c>
      <c r="J53" s="4">
        <f t="shared" si="0"/>
        <v>2.0362111801242228E-2</v>
      </c>
      <c r="K53" s="9">
        <f t="shared" si="1"/>
        <v>1.2249999999999729E-7</v>
      </c>
      <c r="L53" s="10">
        <f t="shared" si="2"/>
        <v>1.0204081632652948</v>
      </c>
    </row>
    <row r="54" spans="1:12" x14ac:dyDescent="0.15">
      <c r="A54" s="3">
        <f>DATE(1964,3,1)</f>
        <v>23437</v>
      </c>
      <c r="B54" s="4">
        <v>3.4300000000000004E-2</v>
      </c>
      <c r="C54" s="12">
        <f t="shared" si="3"/>
        <v>3.465E-2</v>
      </c>
      <c r="G54" s="3">
        <f>DATE(1964,4,1)</f>
        <v>23468</v>
      </c>
      <c r="H54" s="4">
        <v>3.4700000000000002E-2</v>
      </c>
      <c r="I54" s="12">
        <v>3.4700000000000002E-2</v>
      </c>
      <c r="J54" s="4">
        <f t="shared" si="0"/>
        <v>1.996211180124223E-2</v>
      </c>
      <c r="K54" s="9">
        <f t="shared" si="1"/>
        <v>0</v>
      </c>
      <c r="L54" s="10">
        <f t="shared" si="2"/>
        <v>0</v>
      </c>
    </row>
    <row r="55" spans="1:12" x14ac:dyDescent="0.15">
      <c r="A55" s="3">
        <f>DATE(1964,4,1)</f>
        <v>23468</v>
      </c>
      <c r="B55" s="4">
        <v>3.4700000000000002E-2</v>
      </c>
      <c r="C55" s="12">
        <f t="shared" si="3"/>
        <v>3.4700000000000002E-2</v>
      </c>
      <c r="G55" s="3">
        <f>DATE(1964,5,1)</f>
        <v>23498</v>
      </c>
      <c r="H55" s="4">
        <v>3.5000000000000003E-2</v>
      </c>
      <c r="I55" s="12">
        <v>3.4750000000000003E-2</v>
      </c>
      <c r="J55" s="4">
        <f t="shared" si="0"/>
        <v>1.9662111801242228E-2</v>
      </c>
      <c r="K55" s="9">
        <f t="shared" si="1"/>
        <v>6.2500000000000116E-8</v>
      </c>
      <c r="L55" s="10">
        <f t="shared" si="2"/>
        <v>0.71428571428571486</v>
      </c>
    </row>
    <row r="56" spans="1:12" x14ac:dyDescent="0.15">
      <c r="A56" s="3">
        <f>DATE(1964,5,1)</f>
        <v>23498</v>
      </c>
      <c r="B56" s="4">
        <v>3.5000000000000003E-2</v>
      </c>
      <c r="C56" s="12">
        <f t="shared" si="3"/>
        <v>3.4750000000000003E-2</v>
      </c>
      <c r="G56" s="3">
        <f>DATE(1964,6,1)</f>
        <v>23529</v>
      </c>
      <c r="H56" s="4">
        <v>3.5000000000000003E-2</v>
      </c>
      <c r="I56" s="12">
        <v>3.4725000000000006E-2</v>
      </c>
      <c r="J56" s="4">
        <f t="shared" si="0"/>
        <v>1.9662111801242228E-2</v>
      </c>
      <c r="K56" s="9">
        <f t="shared" si="1"/>
        <v>7.5624999999998614E-8</v>
      </c>
      <c r="L56" s="10">
        <f t="shared" si="2"/>
        <v>0.78571428571427848</v>
      </c>
    </row>
    <row r="57" spans="1:12" x14ac:dyDescent="0.15">
      <c r="A57" s="3">
        <f>DATE(1964,6,1)</f>
        <v>23529</v>
      </c>
      <c r="B57" s="4">
        <v>3.5000000000000003E-2</v>
      </c>
      <c r="C57" s="12">
        <f t="shared" si="3"/>
        <v>3.4725000000000006E-2</v>
      </c>
      <c r="G57" s="3">
        <f>DATE(1964,7,1)</f>
        <v>23559</v>
      </c>
      <c r="H57" s="4">
        <v>3.4200000000000001E-2</v>
      </c>
      <c r="I57" s="12">
        <v>3.4800000000000005E-2</v>
      </c>
      <c r="J57" s="4">
        <f t="shared" si="0"/>
        <v>2.046211180124223E-2</v>
      </c>
      <c r="K57" s="9">
        <f t="shared" si="1"/>
        <v>3.6000000000000396E-7</v>
      </c>
      <c r="L57" s="10">
        <f t="shared" si="2"/>
        <v>1.7543859649122904</v>
      </c>
    </row>
    <row r="58" spans="1:12" x14ac:dyDescent="0.15">
      <c r="A58" s="3">
        <f>DATE(1964,7,1)</f>
        <v>23559</v>
      </c>
      <c r="B58" s="4">
        <v>3.4200000000000001E-2</v>
      </c>
      <c r="C58" s="12">
        <f t="shared" si="3"/>
        <v>3.4800000000000005E-2</v>
      </c>
      <c r="G58" s="3">
        <f>DATE(1964,8,1)</f>
        <v>23590</v>
      </c>
      <c r="H58" s="4">
        <v>3.5000000000000003E-2</v>
      </c>
      <c r="I58" s="12">
        <v>3.4675000000000004E-2</v>
      </c>
      <c r="J58" s="4">
        <f t="shared" si="0"/>
        <v>1.9662111801242228E-2</v>
      </c>
      <c r="K58" s="9">
        <f t="shared" si="1"/>
        <v>1.0562499999999928E-7</v>
      </c>
      <c r="L58" s="10">
        <f t="shared" si="2"/>
        <v>0.92857142857142527</v>
      </c>
    </row>
    <row r="59" spans="1:12" x14ac:dyDescent="0.15">
      <c r="A59" s="3">
        <f>DATE(1964,8,1)</f>
        <v>23590</v>
      </c>
      <c r="B59" s="4">
        <v>3.5000000000000003E-2</v>
      </c>
      <c r="C59" s="12">
        <f t="shared" si="3"/>
        <v>3.4675000000000004E-2</v>
      </c>
      <c r="G59" s="3">
        <f>DATE(1964,9,1)</f>
        <v>23621</v>
      </c>
      <c r="H59" s="4">
        <v>3.4500000000000003E-2</v>
      </c>
      <c r="I59" s="12">
        <v>3.4325000000000001E-2</v>
      </c>
      <c r="J59" s="4">
        <f t="shared" si="0"/>
        <v>2.0162111801242229E-2</v>
      </c>
      <c r="K59" s="9">
        <f t="shared" si="1"/>
        <v>3.0625000000000541E-8</v>
      </c>
      <c r="L59" s="10">
        <f t="shared" si="2"/>
        <v>0.50724637681159868</v>
      </c>
    </row>
    <row r="60" spans="1:12" x14ac:dyDescent="0.15">
      <c r="A60" s="3">
        <f>DATE(1964,9,1)</f>
        <v>23621</v>
      </c>
      <c r="B60" s="4">
        <v>3.4500000000000003E-2</v>
      </c>
      <c r="C60" s="12">
        <f t="shared" si="3"/>
        <v>3.4325000000000001E-2</v>
      </c>
      <c r="G60" s="3">
        <f>DATE(1964,10,1)</f>
        <v>23651</v>
      </c>
      <c r="H60" s="4">
        <v>3.3599999999999998E-2</v>
      </c>
      <c r="I60" s="12">
        <v>3.4575000000000002E-2</v>
      </c>
      <c r="J60" s="4">
        <f t="shared" si="0"/>
        <v>2.1062111801242234E-2</v>
      </c>
      <c r="K60" s="9">
        <f t="shared" si="1"/>
        <v>9.506250000000071E-7</v>
      </c>
      <c r="L60" s="10">
        <f t="shared" si="2"/>
        <v>2.9017857142857251</v>
      </c>
    </row>
    <row r="61" spans="1:12" x14ac:dyDescent="0.15">
      <c r="A61" s="3">
        <f>DATE(1964,10,1)</f>
        <v>23651</v>
      </c>
      <c r="B61" s="4">
        <v>3.3599999999999998E-2</v>
      </c>
      <c r="C61" s="12">
        <f t="shared" si="3"/>
        <v>3.4575000000000002E-2</v>
      </c>
      <c r="G61" s="3">
        <f>DATE(1964,11,1)</f>
        <v>23682</v>
      </c>
      <c r="H61" s="4">
        <v>3.5200000000000002E-2</v>
      </c>
      <c r="I61" s="12">
        <v>3.5450000000000002E-2</v>
      </c>
      <c r="J61" s="4">
        <f t="shared" si="0"/>
        <v>1.946211180124223E-2</v>
      </c>
      <c r="K61" s="9">
        <f t="shared" si="1"/>
        <v>6.2500000000000116E-8</v>
      </c>
      <c r="L61" s="10">
        <f t="shared" si="2"/>
        <v>0.71022727272727326</v>
      </c>
    </row>
    <row r="62" spans="1:12" x14ac:dyDescent="0.15">
      <c r="A62" s="3">
        <f>DATE(1964,11,1)</f>
        <v>23682</v>
      </c>
      <c r="B62" s="4">
        <v>3.5200000000000002E-2</v>
      </c>
      <c r="C62" s="12">
        <f t="shared" si="3"/>
        <v>3.5450000000000002E-2</v>
      </c>
      <c r="G62" s="3">
        <f>DATE(1964,12,1)</f>
        <v>23712</v>
      </c>
      <c r="H62" s="4">
        <v>3.85E-2</v>
      </c>
      <c r="I62" s="12">
        <v>3.6575000000000003E-2</v>
      </c>
      <c r="J62" s="4">
        <f t="shared" si="0"/>
        <v>1.6162111801242232E-2</v>
      </c>
      <c r="K62" s="9">
        <f t="shared" si="1"/>
        <v>3.7056249999999854E-6</v>
      </c>
      <c r="L62" s="10">
        <f t="shared" si="2"/>
        <v>4.9999999999999902</v>
      </c>
    </row>
    <row r="63" spans="1:12" x14ac:dyDescent="0.15">
      <c r="A63" s="3">
        <f>DATE(1964,12,1)</f>
        <v>23712</v>
      </c>
      <c r="B63" s="4">
        <v>3.85E-2</v>
      </c>
      <c r="C63" s="12">
        <f t="shared" si="3"/>
        <v>3.6575000000000003E-2</v>
      </c>
      <c r="G63" s="3">
        <f>DATE(1965,1,1)</f>
        <v>23743</v>
      </c>
      <c r="H63" s="4">
        <v>3.9E-2</v>
      </c>
      <c r="I63" s="12">
        <v>3.8124999999999999E-2</v>
      </c>
      <c r="J63" s="4">
        <f t="shared" si="0"/>
        <v>1.5662111801242232E-2</v>
      </c>
      <c r="K63" s="9">
        <f t="shared" si="1"/>
        <v>7.6562500000000135E-7</v>
      </c>
      <c r="L63" s="10">
        <f t="shared" si="2"/>
        <v>2.2435897435897458</v>
      </c>
    </row>
    <row r="64" spans="1:12" x14ac:dyDescent="0.15">
      <c r="A64" s="3">
        <f>DATE(1965,1,1)</f>
        <v>23743</v>
      </c>
      <c r="B64" s="4">
        <v>3.9E-2</v>
      </c>
      <c r="C64" s="12">
        <f t="shared" si="3"/>
        <v>3.8124999999999999E-2</v>
      </c>
      <c r="G64" s="3">
        <f>DATE(1965,2,1)</f>
        <v>23774</v>
      </c>
      <c r="H64" s="4">
        <v>3.9800000000000002E-2</v>
      </c>
      <c r="I64" s="12">
        <v>3.9425000000000002E-2</v>
      </c>
      <c r="J64" s="4">
        <f t="shared" si="0"/>
        <v>1.486211180124223E-2</v>
      </c>
      <c r="K64" s="9">
        <f t="shared" si="1"/>
        <v>1.4062500000000024E-7</v>
      </c>
      <c r="L64" s="10">
        <f t="shared" si="2"/>
        <v>0.94221105527638271</v>
      </c>
    </row>
    <row r="65" spans="1:12" x14ac:dyDescent="0.15">
      <c r="A65" s="3">
        <f>DATE(1965,2,1)</f>
        <v>23774</v>
      </c>
      <c r="B65" s="4">
        <v>3.9800000000000002E-2</v>
      </c>
      <c r="C65" s="12">
        <f t="shared" si="3"/>
        <v>3.9425000000000002E-2</v>
      </c>
      <c r="G65" s="3">
        <f>DATE(1965,3,1)</f>
        <v>23802</v>
      </c>
      <c r="H65" s="4">
        <v>4.0399999999999998E-2</v>
      </c>
      <c r="I65" s="12">
        <v>4.0024999999999998E-2</v>
      </c>
      <c r="J65" s="4">
        <f t="shared" si="0"/>
        <v>1.4262111801242233E-2</v>
      </c>
      <c r="K65" s="9">
        <f t="shared" si="1"/>
        <v>1.4062500000000024E-7</v>
      </c>
      <c r="L65" s="10">
        <f t="shared" si="2"/>
        <v>0.92821782178217904</v>
      </c>
    </row>
    <row r="66" spans="1:12" x14ac:dyDescent="0.15">
      <c r="A66" s="3">
        <f>DATE(1965,3,1)</f>
        <v>23802</v>
      </c>
      <c r="B66" s="4">
        <v>4.0399999999999998E-2</v>
      </c>
      <c r="C66" s="12">
        <f t="shared" si="3"/>
        <v>4.0024999999999998E-2</v>
      </c>
      <c r="G66" s="3">
        <f>DATE(1965,4,1)</f>
        <v>23833</v>
      </c>
      <c r="H66" s="4">
        <v>4.0899999999999999E-2</v>
      </c>
      <c r="I66" s="12">
        <v>4.0524999999999992E-2</v>
      </c>
      <c r="J66" s="4">
        <f t="shared" si="0"/>
        <v>1.3762111801242233E-2</v>
      </c>
      <c r="K66" s="9">
        <f t="shared" si="1"/>
        <v>1.4062500000000546E-7</v>
      </c>
      <c r="L66" s="10">
        <f t="shared" si="2"/>
        <v>0.91687041564793947</v>
      </c>
    </row>
    <row r="67" spans="1:12" x14ac:dyDescent="0.15">
      <c r="A67" s="3">
        <f>DATE(1965,4,1)</f>
        <v>23833</v>
      </c>
      <c r="B67" s="4">
        <v>4.0899999999999999E-2</v>
      </c>
      <c r="C67" s="12">
        <f t="shared" si="3"/>
        <v>4.0524999999999992E-2</v>
      </c>
      <c r="G67" s="3">
        <f>DATE(1965,5,1)</f>
        <v>23863</v>
      </c>
      <c r="H67" s="4">
        <v>4.0999999999999995E-2</v>
      </c>
      <c r="I67" s="12">
        <v>4.0674999999999996E-2</v>
      </c>
      <c r="J67" s="4">
        <f t="shared" si="0"/>
        <v>1.3662111801242237E-2</v>
      </c>
      <c r="K67" s="9">
        <f t="shared" si="1"/>
        <v>1.0562499999999928E-7</v>
      </c>
      <c r="L67" s="10">
        <f t="shared" si="2"/>
        <v>0.79268292682926567</v>
      </c>
    </row>
    <row r="68" spans="1:12" x14ac:dyDescent="0.15">
      <c r="A68" s="3">
        <f>DATE(1965,5,1)</f>
        <v>23863</v>
      </c>
      <c r="B68" s="4">
        <v>4.0999999999999995E-2</v>
      </c>
      <c r="C68" s="12">
        <f t="shared" si="3"/>
        <v>4.0674999999999996E-2</v>
      </c>
      <c r="G68" s="3">
        <f>DATE(1965,6,1)</f>
        <v>23894</v>
      </c>
      <c r="H68" s="4">
        <v>4.0399999999999998E-2</v>
      </c>
      <c r="I68" s="12">
        <v>4.0799999999999996E-2</v>
      </c>
      <c r="J68" s="4">
        <f t="shared" si="0"/>
        <v>1.4262111801242233E-2</v>
      </c>
      <c r="K68" s="9">
        <f t="shared" si="1"/>
        <v>1.5999999999999807E-7</v>
      </c>
      <c r="L68" s="10">
        <f t="shared" si="2"/>
        <v>0.99009900990098421</v>
      </c>
    </row>
    <row r="69" spans="1:12" x14ac:dyDescent="0.15">
      <c r="A69" s="3">
        <f>DATE(1965,6,1)</f>
        <v>23894</v>
      </c>
      <c r="B69" s="4">
        <v>4.0399999999999998E-2</v>
      </c>
      <c r="C69" s="12">
        <f t="shared" si="3"/>
        <v>4.0799999999999996E-2</v>
      </c>
      <c r="G69" s="3">
        <f>DATE(1965,7,1)</f>
        <v>23924</v>
      </c>
      <c r="H69" s="4">
        <v>4.0899999999999999E-2</v>
      </c>
      <c r="I69" s="12">
        <v>4.0874999999999995E-2</v>
      </c>
      <c r="J69" s="4">
        <f t="shared" si="0"/>
        <v>1.3762111801242233E-2</v>
      </c>
      <c r="K69" s="9">
        <f t="shared" si="1"/>
        <v>6.2500000000020929E-10</v>
      </c>
      <c r="L69" s="10">
        <f t="shared" si="2"/>
        <v>6.1124694376538349E-2</v>
      </c>
    </row>
    <row r="70" spans="1:12" x14ac:dyDescent="0.15">
      <c r="A70" s="3">
        <f>DATE(1965,7,1)</f>
        <v>23924</v>
      </c>
      <c r="B70" s="4">
        <v>4.0899999999999999E-2</v>
      </c>
      <c r="C70" s="12">
        <f t="shared" si="3"/>
        <v>4.0874999999999995E-2</v>
      </c>
      <c r="G70" s="3">
        <f>DATE(1965,8,1)</f>
        <v>23955</v>
      </c>
      <c r="H70" s="4">
        <v>4.1200000000000001E-2</v>
      </c>
      <c r="I70" s="12">
        <v>4.0649999999999999E-2</v>
      </c>
      <c r="J70" s="4">
        <f t="shared" ref="J70:J133" si="4">ABS(H70-$Q$4)</f>
        <v>1.3462111801242231E-2</v>
      </c>
      <c r="K70" s="9">
        <f t="shared" ref="K70:K133" si="5">(H70-I70)^2</f>
        <v>3.0250000000000208E-7</v>
      </c>
      <c r="L70" s="10">
        <f t="shared" ref="L70:L133" si="6">ABS(H70-I70)/H70*100</f>
        <v>1.3349514563106841</v>
      </c>
    </row>
    <row r="71" spans="1:12" x14ac:dyDescent="0.15">
      <c r="A71" s="3">
        <f>DATE(1965,8,1)</f>
        <v>23955</v>
      </c>
      <c r="B71" s="4">
        <v>4.1200000000000001E-2</v>
      </c>
      <c r="C71" s="12">
        <f t="shared" ref="C71:C134" si="7">(B69+B70+B71+B72)/4</f>
        <v>4.0649999999999999E-2</v>
      </c>
      <c r="G71" s="3">
        <f>DATE(1965,9,1)</f>
        <v>23986</v>
      </c>
      <c r="H71" s="4">
        <v>4.0099999999999997E-2</v>
      </c>
      <c r="I71" s="12">
        <v>4.0750000000000001E-2</v>
      </c>
      <c r="J71" s="4">
        <f t="shared" si="4"/>
        <v>1.4562111801242235E-2</v>
      </c>
      <c r="K71" s="9">
        <f t="shared" si="5"/>
        <v>4.2250000000000617E-7</v>
      </c>
      <c r="L71" s="10">
        <f t="shared" si="6"/>
        <v>1.6209476309227051</v>
      </c>
    </row>
    <row r="72" spans="1:12" x14ac:dyDescent="0.15">
      <c r="A72" s="3">
        <f>DATE(1965,9,1)</f>
        <v>23986</v>
      </c>
      <c r="B72" s="4">
        <v>4.0099999999999997E-2</v>
      </c>
      <c r="C72" s="12">
        <f t="shared" si="7"/>
        <v>4.0750000000000001E-2</v>
      </c>
      <c r="G72" s="3">
        <f>DATE(1965,10,1)</f>
        <v>24016</v>
      </c>
      <c r="H72" s="4">
        <v>4.0800000000000003E-2</v>
      </c>
      <c r="I72" s="12">
        <v>4.0774999999999999E-2</v>
      </c>
      <c r="J72" s="4">
        <f t="shared" si="4"/>
        <v>1.3862111801242229E-2</v>
      </c>
      <c r="K72" s="9">
        <f t="shared" si="5"/>
        <v>6.2500000000020929E-10</v>
      </c>
      <c r="L72" s="10">
        <f t="shared" si="6"/>
        <v>6.1274509803931822E-2</v>
      </c>
    </row>
    <row r="73" spans="1:12" x14ac:dyDescent="0.15">
      <c r="A73" s="3">
        <f>DATE(1965,10,1)</f>
        <v>24016</v>
      </c>
      <c r="B73" s="4">
        <v>4.0800000000000003E-2</v>
      </c>
      <c r="C73" s="12">
        <f t="shared" si="7"/>
        <v>4.0774999999999999E-2</v>
      </c>
      <c r="G73" s="3">
        <f>DATE(1965,11,1)</f>
        <v>24047</v>
      </c>
      <c r="H73" s="4">
        <v>4.0999999999999995E-2</v>
      </c>
      <c r="I73" s="12">
        <v>4.1274999999999999E-2</v>
      </c>
      <c r="J73" s="4">
        <f t="shared" si="4"/>
        <v>1.3662111801242237E-2</v>
      </c>
      <c r="K73" s="9">
        <f t="shared" si="5"/>
        <v>7.5625000000002426E-8</v>
      </c>
      <c r="L73" s="10">
        <f t="shared" si="6"/>
        <v>0.67073170731708398</v>
      </c>
    </row>
    <row r="74" spans="1:12" x14ac:dyDescent="0.15">
      <c r="A74" s="3">
        <f>DATE(1965,11,1)</f>
        <v>24047</v>
      </c>
      <c r="B74" s="4">
        <v>4.0999999999999995E-2</v>
      </c>
      <c r="C74" s="12">
        <f t="shared" si="7"/>
        <v>4.1274999999999999E-2</v>
      </c>
      <c r="G74" s="3">
        <f>DATE(1965,12,1)</f>
        <v>24077</v>
      </c>
      <c r="H74" s="4">
        <v>4.3200000000000002E-2</v>
      </c>
      <c r="I74" s="12">
        <v>4.2299999999999997E-2</v>
      </c>
      <c r="J74" s="4">
        <f t="shared" si="4"/>
        <v>1.1462111801242229E-2</v>
      </c>
      <c r="K74" s="9">
        <f t="shared" si="5"/>
        <v>8.1000000000000897E-7</v>
      </c>
      <c r="L74" s="10">
        <f t="shared" si="6"/>
        <v>2.0833333333333446</v>
      </c>
    </row>
    <row r="75" spans="1:12" x14ac:dyDescent="0.15">
      <c r="A75" s="3">
        <f>DATE(1965,12,1)</f>
        <v>24077</v>
      </c>
      <c r="B75" s="4">
        <v>4.3200000000000002E-2</v>
      </c>
      <c r="C75" s="12">
        <f t="shared" si="7"/>
        <v>4.2299999999999997E-2</v>
      </c>
      <c r="G75" s="3">
        <f>DATE(1966,1,1)</f>
        <v>24108</v>
      </c>
      <c r="H75" s="4">
        <v>4.4199999999999996E-2</v>
      </c>
      <c r="I75" s="12">
        <v>4.36E-2</v>
      </c>
      <c r="J75" s="4">
        <f t="shared" si="4"/>
        <v>1.0462111801242235E-2</v>
      </c>
      <c r="K75" s="9">
        <f t="shared" si="5"/>
        <v>3.5999999999999565E-7</v>
      </c>
      <c r="L75" s="10">
        <f t="shared" si="6"/>
        <v>1.3574660633484081</v>
      </c>
    </row>
    <row r="76" spans="1:12" x14ac:dyDescent="0.15">
      <c r="A76" s="3">
        <f>DATE(1966,1,1)</f>
        <v>24108</v>
      </c>
      <c r="B76" s="4">
        <v>4.4199999999999996E-2</v>
      </c>
      <c r="C76" s="12">
        <f t="shared" si="7"/>
        <v>4.36E-2</v>
      </c>
      <c r="G76" s="3">
        <f>DATE(1966,2,1)</f>
        <v>24139</v>
      </c>
      <c r="H76" s="4">
        <v>4.5999999999999999E-2</v>
      </c>
      <c r="I76" s="12">
        <v>4.4975000000000008E-2</v>
      </c>
      <c r="J76" s="4">
        <f t="shared" si="4"/>
        <v>8.6621118012422324E-3</v>
      </c>
      <c r="K76" s="9">
        <f t="shared" si="5"/>
        <v>1.050624999999982E-6</v>
      </c>
      <c r="L76" s="10">
        <f t="shared" si="6"/>
        <v>2.2282608695651982</v>
      </c>
    </row>
    <row r="77" spans="1:12" x14ac:dyDescent="0.15">
      <c r="A77" s="3">
        <f>DATE(1966,2,1)</f>
        <v>24139</v>
      </c>
      <c r="B77" s="4">
        <v>4.5999999999999999E-2</v>
      </c>
      <c r="C77" s="12">
        <f t="shared" si="7"/>
        <v>4.4975000000000008E-2</v>
      </c>
      <c r="G77" s="3">
        <f>DATE(1966,3,1)</f>
        <v>24167</v>
      </c>
      <c r="H77" s="4">
        <v>4.6500000000000007E-2</v>
      </c>
      <c r="I77" s="12">
        <v>4.5850000000000002E-2</v>
      </c>
      <c r="J77" s="4">
        <f t="shared" si="4"/>
        <v>8.162111801242225E-3</v>
      </c>
      <c r="K77" s="9">
        <f t="shared" si="5"/>
        <v>4.2250000000000617E-7</v>
      </c>
      <c r="L77" s="10">
        <f t="shared" si="6"/>
        <v>1.3978494623656013</v>
      </c>
    </row>
    <row r="78" spans="1:12" x14ac:dyDescent="0.15">
      <c r="A78" s="3">
        <f>DATE(1966,3,1)</f>
        <v>24167</v>
      </c>
      <c r="B78" s="4">
        <v>4.6500000000000007E-2</v>
      </c>
      <c r="C78" s="12">
        <f t="shared" si="7"/>
        <v>4.5850000000000002E-2</v>
      </c>
      <c r="G78" s="3">
        <f>DATE(1966,4,1)</f>
        <v>24198</v>
      </c>
      <c r="H78" s="4">
        <v>4.6699999999999998E-2</v>
      </c>
      <c r="I78" s="12">
        <v>4.7049999999999995E-2</v>
      </c>
      <c r="J78" s="4">
        <f t="shared" si="4"/>
        <v>7.9621118012422332E-3</v>
      </c>
      <c r="K78" s="9">
        <f t="shared" si="5"/>
        <v>1.2249999999999729E-7</v>
      </c>
      <c r="L78" s="10">
        <f t="shared" si="6"/>
        <v>0.7494646680942102</v>
      </c>
    </row>
    <row r="79" spans="1:12" x14ac:dyDescent="0.15">
      <c r="A79" s="3">
        <f>DATE(1966,4,1)</f>
        <v>24198</v>
      </c>
      <c r="B79" s="4">
        <v>4.6699999999999998E-2</v>
      </c>
      <c r="C79" s="12">
        <f t="shared" si="7"/>
        <v>4.7049999999999995E-2</v>
      </c>
      <c r="G79" s="3">
        <f>DATE(1966,5,1)</f>
        <v>24228</v>
      </c>
      <c r="H79" s="4">
        <v>4.9000000000000002E-2</v>
      </c>
      <c r="I79" s="12">
        <v>4.8474999999999997E-2</v>
      </c>
      <c r="J79" s="4">
        <f t="shared" si="4"/>
        <v>5.6621118012422297E-3</v>
      </c>
      <c r="K79" s="9">
        <f t="shared" si="5"/>
        <v>2.7562500000000488E-7</v>
      </c>
      <c r="L79" s="10">
        <f t="shared" si="6"/>
        <v>1.0714285714285807</v>
      </c>
    </row>
    <row r="80" spans="1:12" x14ac:dyDescent="0.15">
      <c r="A80" s="3">
        <f>DATE(1966,5,1)</f>
        <v>24228</v>
      </c>
      <c r="B80" s="4">
        <v>4.9000000000000002E-2</v>
      </c>
      <c r="C80" s="12">
        <f t="shared" si="7"/>
        <v>4.8474999999999997E-2</v>
      </c>
      <c r="G80" s="3">
        <f>DATE(1966,6,1)</f>
        <v>24259</v>
      </c>
      <c r="H80" s="4">
        <v>5.1699999999999996E-2</v>
      </c>
      <c r="I80" s="12">
        <v>5.0099999999999999E-2</v>
      </c>
      <c r="J80" s="4">
        <f t="shared" si="4"/>
        <v>2.9621118012422357E-3</v>
      </c>
      <c r="K80" s="9">
        <f t="shared" si="5"/>
        <v>2.5599999999999912E-6</v>
      </c>
      <c r="L80" s="10">
        <f t="shared" si="6"/>
        <v>3.0947775628626641</v>
      </c>
    </row>
    <row r="81" spans="1:12" x14ac:dyDescent="0.15">
      <c r="A81" s="3">
        <f>DATE(1966,6,1)</f>
        <v>24259</v>
      </c>
      <c r="B81" s="4">
        <v>5.1699999999999996E-2</v>
      </c>
      <c r="C81" s="12">
        <f t="shared" si="7"/>
        <v>5.0099999999999999E-2</v>
      </c>
      <c r="G81" s="3">
        <f>DATE(1966,7,1)</f>
        <v>24289</v>
      </c>
      <c r="H81" s="4">
        <v>5.2999999999999999E-2</v>
      </c>
      <c r="I81" s="12">
        <v>5.2250000000000005E-2</v>
      </c>
      <c r="J81" s="4">
        <f t="shared" si="4"/>
        <v>1.6621118012422331E-3</v>
      </c>
      <c r="K81" s="9">
        <f t="shared" si="5"/>
        <v>5.6249999999999059E-7</v>
      </c>
      <c r="L81" s="10">
        <f t="shared" si="6"/>
        <v>1.4150943396226296</v>
      </c>
    </row>
    <row r="82" spans="1:12" x14ac:dyDescent="0.15">
      <c r="A82" s="3">
        <f>DATE(1966,7,1)</f>
        <v>24289</v>
      </c>
      <c r="B82" s="4">
        <v>5.2999999999999999E-2</v>
      </c>
      <c r="C82" s="12">
        <f t="shared" si="7"/>
        <v>5.2250000000000005E-2</v>
      </c>
      <c r="G82" s="3">
        <f>DATE(1966,8,1)</f>
        <v>24320</v>
      </c>
      <c r="H82" s="4">
        <v>5.5300000000000002E-2</v>
      </c>
      <c r="I82" s="12">
        <v>5.3499999999999992E-2</v>
      </c>
      <c r="J82" s="4">
        <f t="shared" si="4"/>
        <v>6.3788819875777031E-4</v>
      </c>
      <c r="K82" s="9">
        <f t="shared" si="5"/>
        <v>3.2400000000000359E-6</v>
      </c>
      <c r="L82" s="10">
        <f t="shared" si="6"/>
        <v>3.2549728752260574</v>
      </c>
    </row>
    <row r="83" spans="1:12" x14ac:dyDescent="0.15">
      <c r="A83" s="3">
        <f>DATE(1966,8,1)</f>
        <v>24320</v>
      </c>
      <c r="B83" s="4">
        <v>5.5300000000000002E-2</v>
      </c>
      <c r="C83" s="12">
        <f t="shared" si="7"/>
        <v>5.3499999999999992E-2</v>
      </c>
      <c r="G83" s="3">
        <f>DATE(1966,9,1)</f>
        <v>24351</v>
      </c>
      <c r="H83" s="4">
        <v>5.4000000000000006E-2</v>
      </c>
      <c r="I83" s="12">
        <v>5.4400000000000004E-2</v>
      </c>
      <c r="J83" s="4">
        <f t="shared" si="4"/>
        <v>6.621118012422253E-4</v>
      </c>
      <c r="K83" s="9">
        <f t="shared" si="5"/>
        <v>1.5999999999999807E-7</v>
      </c>
      <c r="L83" s="10">
        <f t="shared" si="6"/>
        <v>0.74074074074073615</v>
      </c>
    </row>
    <row r="84" spans="1:12" x14ac:dyDescent="0.15">
      <c r="A84" s="3">
        <f>DATE(1966,9,1)</f>
        <v>24351</v>
      </c>
      <c r="B84" s="4">
        <v>5.4000000000000006E-2</v>
      </c>
      <c r="C84" s="12">
        <f t="shared" si="7"/>
        <v>5.4400000000000004E-2</v>
      </c>
      <c r="G84" s="3">
        <f>DATE(1966,10,1)</f>
        <v>24381</v>
      </c>
      <c r="H84" s="4">
        <v>5.5300000000000002E-2</v>
      </c>
      <c r="I84" s="12">
        <v>5.5550000000000002E-2</v>
      </c>
      <c r="J84" s="4">
        <f t="shared" si="4"/>
        <v>6.3788819875777031E-4</v>
      </c>
      <c r="K84" s="9">
        <f t="shared" si="5"/>
        <v>6.2500000000000116E-8</v>
      </c>
      <c r="L84" s="10">
        <f t="shared" si="6"/>
        <v>0.45207956600361698</v>
      </c>
    </row>
    <row r="85" spans="1:12" x14ac:dyDescent="0.15">
      <c r="A85" s="3">
        <f>DATE(1966,10,1)</f>
        <v>24381</v>
      </c>
      <c r="B85" s="4">
        <v>5.5300000000000002E-2</v>
      </c>
      <c r="C85" s="12">
        <f t="shared" si="7"/>
        <v>5.5550000000000002E-2</v>
      </c>
      <c r="G85" s="3">
        <f>DATE(1966,11,1)</f>
        <v>24412</v>
      </c>
      <c r="H85" s="4">
        <v>5.7599999999999998E-2</v>
      </c>
      <c r="I85" s="12">
        <v>5.5224999999999996E-2</v>
      </c>
      <c r="J85" s="4">
        <f t="shared" si="4"/>
        <v>2.9378881987577668E-3</v>
      </c>
      <c r="K85" s="9">
        <f t="shared" si="5"/>
        <v>5.6406250000000101E-6</v>
      </c>
      <c r="L85" s="10">
        <f t="shared" si="6"/>
        <v>4.1232638888888928</v>
      </c>
    </row>
    <row r="86" spans="1:12" x14ac:dyDescent="0.15">
      <c r="A86" s="3">
        <f>DATE(1966,11,1)</f>
        <v>24412</v>
      </c>
      <c r="B86" s="4">
        <v>5.7599999999999998E-2</v>
      </c>
      <c r="C86" s="12">
        <f t="shared" si="7"/>
        <v>5.5224999999999996E-2</v>
      </c>
      <c r="G86" s="3">
        <f>DATE(1966,12,1)</f>
        <v>24442</v>
      </c>
      <c r="H86" s="4">
        <v>5.4000000000000006E-2</v>
      </c>
      <c r="I86" s="12">
        <v>5.4074999999999998E-2</v>
      </c>
      <c r="J86" s="4">
        <f t="shared" si="4"/>
        <v>6.621118012422253E-4</v>
      </c>
      <c r="K86" s="9">
        <f t="shared" si="5"/>
        <v>5.6249999999987608E-9</v>
      </c>
      <c r="L86" s="10">
        <f t="shared" si="6"/>
        <v>0.13888888888887357</v>
      </c>
    </row>
    <row r="87" spans="1:12" x14ac:dyDescent="0.15">
      <c r="A87" s="3">
        <f>DATE(1966,12,1)</f>
        <v>24442</v>
      </c>
      <c r="B87" s="4">
        <v>5.4000000000000006E-2</v>
      </c>
      <c r="C87" s="12">
        <f t="shared" si="7"/>
        <v>5.4074999999999998E-2</v>
      </c>
      <c r="G87" s="3">
        <f>DATE(1967,1,1)</f>
        <v>24473</v>
      </c>
      <c r="H87" s="4">
        <v>4.9400000000000006E-2</v>
      </c>
      <c r="I87" s="12">
        <v>5.2750000000000005E-2</v>
      </c>
      <c r="J87" s="4">
        <f t="shared" si="4"/>
        <v>5.2621118012422252E-3</v>
      </c>
      <c r="K87" s="9">
        <f t="shared" si="5"/>
        <v>1.1222499999999991E-5</v>
      </c>
      <c r="L87" s="10">
        <f t="shared" si="6"/>
        <v>6.7813765182186208</v>
      </c>
    </row>
    <row r="88" spans="1:12" x14ac:dyDescent="0.15">
      <c r="A88" s="3">
        <f>DATE(1967,1,1)</f>
        <v>24473</v>
      </c>
      <c r="B88" s="4">
        <v>4.9400000000000006E-2</v>
      </c>
      <c r="C88" s="12">
        <f t="shared" si="7"/>
        <v>5.2750000000000005E-2</v>
      </c>
      <c r="G88" s="3">
        <f>DATE(1967,2,1)</f>
        <v>24504</v>
      </c>
      <c r="H88" s="4">
        <v>0.05</v>
      </c>
      <c r="I88" s="12">
        <v>4.9675000000000011E-2</v>
      </c>
      <c r="J88" s="4">
        <f t="shared" si="4"/>
        <v>4.6621118012422288E-3</v>
      </c>
      <c r="K88" s="9">
        <f t="shared" si="5"/>
        <v>1.0562499999999478E-7</v>
      </c>
      <c r="L88" s="10">
        <f t="shared" si="6"/>
        <v>0.64999999999998392</v>
      </c>
    </row>
    <row r="89" spans="1:12" x14ac:dyDescent="0.15">
      <c r="A89" s="3">
        <f>DATE(1967,2,1)</f>
        <v>24504</v>
      </c>
      <c r="B89" s="4">
        <v>0.05</v>
      </c>
      <c r="C89" s="12">
        <f t="shared" si="7"/>
        <v>4.9675000000000011E-2</v>
      </c>
      <c r="G89" s="3">
        <f>DATE(1967,3,1)</f>
        <v>24532</v>
      </c>
      <c r="H89" s="4">
        <v>4.53E-2</v>
      </c>
      <c r="I89" s="12">
        <v>4.6300000000000008E-2</v>
      </c>
      <c r="J89" s="4">
        <f t="shared" si="4"/>
        <v>9.3621118012422316E-3</v>
      </c>
      <c r="K89" s="9">
        <f t="shared" si="5"/>
        <v>1.0000000000000156E-6</v>
      </c>
      <c r="L89" s="10">
        <f t="shared" si="6"/>
        <v>2.207505518763814</v>
      </c>
    </row>
    <row r="90" spans="1:12" x14ac:dyDescent="0.15">
      <c r="A90" s="3">
        <f>DATE(1967,3,1)</f>
        <v>24532</v>
      </c>
      <c r="B90" s="4">
        <v>4.53E-2</v>
      </c>
      <c r="C90" s="12">
        <f t="shared" si="7"/>
        <v>4.6300000000000008E-2</v>
      </c>
      <c r="G90" s="3">
        <f>DATE(1967,4,1)</f>
        <v>24563</v>
      </c>
      <c r="H90" s="4">
        <v>4.0500000000000001E-2</v>
      </c>
      <c r="I90" s="12">
        <v>4.3799999999999999E-2</v>
      </c>
      <c r="J90" s="4">
        <f t="shared" si="4"/>
        <v>1.416211180124223E-2</v>
      </c>
      <c r="K90" s="9">
        <f t="shared" si="5"/>
        <v>1.0889999999999982E-5</v>
      </c>
      <c r="L90" s="10">
        <f t="shared" si="6"/>
        <v>8.1481481481481417</v>
      </c>
    </row>
    <row r="91" spans="1:12" x14ac:dyDescent="0.15">
      <c r="A91" s="3">
        <f>DATE(1967,4,1)</f>
        <v>24563</v>
      </c>
      <c r="B91" s="4">
        <v>4.0500000000000001E-2</v>
      </c>
      <c r="C91" s="12">
        <f t="shared" si="7"/>
        <v>4.3799999999999999E-2</v>
      </c>
      <c r="G91" s="3">
        <f>DATE(1967,5,1)</f>
        <v>24593</v>
      </c>
      <c r="H91" s="4">
        <v>3.9399999999999998E-2</v>
      </c>
      <c r="I91" s="12">
        <v>4.1250000000000002E-2</v>
      </c>
      <c r="J91" s="4">
        <f t="shared" si="4"/>
        <v>1.5262111801242234E-2</v>
      </c>
      <c r="K91" s="9">
        <f t="shared" si="5"/>
        <v>3.4225000000000164E-6</v>
      </c>
      <c r="L91" s="10">
        <f t="shared" si="6"/>
        <v>4.6954314720812294</v>
      </c>
    </row>
    <row r="92" spans="1:12" x14ac:dyDescent="0.15">
      <c r="A92" s="3">
        <f>DATE(1967,5,1)</f>
        <v>24593</v>
      </c>
      <c r="B92" s="4">
        <v>3.9399999999999998E-2</v>
      </c>
      <c r="C92" s="12">
        <f t="shared" si="7"/>
        <v>4.1250000000000002E-2</v>
      </c>
      <c r="G92" s="3">
        <f>DATE(1967,6,1)</f>
        <v>24624</v>
      </c>
      <c r="H92" s="4">
        <v>3.9800000000000002E-2</v>
      </c>
      <c r="I92" s="12">
        <v>3.9400000000000004E-2</v>
      </c>
      <c r="J92" s="4">
        <f t="shared" si="4"/>
        <v>1.486211180124223E-2</v>
      </c>
      <c r="K92" s="9">
        <f t="shared" si="5"/>
        <v>1.5999999999999807E-7</v>
      </c>
      <c r="L92" s="10">
        <f t="shared" si="6"/>
        <v>1.0050251256281346</v>
      </c>
    </row>
    <row r="93" spans="1:12" x14ac:dyDescent="0.15">
      <c r="A93" s="3">
        <f>DATE(1967,6,1)</f>
        <v>24624</v>
      </c>
      <c r="B93" s="4">
        <v>3.9800000000000002E-2</v>
      </c>
      <c r="C93" s="12">
        <f t="shared" si="7"/>
        <v>3.9400000000000004E-2</v>
      </c>
      <c r="G93" s="3">
        <f>DATE(1967,7,1)</f>
        <v>24654</v>
      </c>
      <c r="H93" s="4">
        <v>3.7900000000000003E-2</v>
      </c>
      <c r="I93" s="12">
        <v>3.9024999999999997E-2</v>
      </c>
      <c r="J93" s="4">
        <f t="shared" si="4"/>
        <v>1.6762111801242228E-2</v>
      </c>
      <c r="K93" s="9">
        <f t="shared" si="5"/>
        <v>1.2656249999999867E-6</v>
      </c>
      <c r="L93" s="10">
        <f t="shared" si="6"/>
        <v>2.9683377308706964</v>
      </c>
    </row>
    <row r="94" spans="1:12" x14ac:dyDescent="0.15">
      <c r="A94" s="3">
        <f>DATE(1967,7,1)</f>
        <v>24654</v>
      </c>
      <c r="B94" s="4">
        <v>3.7900000000000003E-2</v>
      </c>
      <c r="C94" s="12">
        <f t="shared" si="7"/>
        <v>3.9024999999999997E-2</v>
      </c>
      <c r="G94" s="3">
        <f>DATE(1967,8,1)</f>
        <v>24685</v>
      </c>
      <c r="H94" s="4">
        <v>3.9E-2</v>
      </c>
      <c r="I94" s="12">
        <v>3.9150000000000004E-2</v>
      </c>
      <c r="J94" s="4">
        <f t="shared" si="4"/>
        <v>1.5662111801242232E-2</v>
      </c>
      <c r="K94" s="9">
        <f t="shared" si="5"/>
        <v>2.250000000000129E-8</v>
      </c>
      <c r="L94" s="10">
        <f t="shared" si="6"/>
        <v>0.38461538461539563</v>
      </c>
    </row>
    <row r="95" spans="1:12" x14ac:dyDescent="0.15">
      <c r="A95" s="3">
        <f>DATE(1967,8,1)</f>
        <v>24685</v>
      </c>
      <c r="B95" s="4">
        <v>3.9E-2</v>
      </c>
      <c r="C95" s="12">
        <f t="shared" si="7"/>
        <v>3.9150000000000004E-2</v>
      </c>
      <c r="G95" s="3">
        <f>DATE(1967,9,1)</f>
        <v>24716</v>
      </c>
      <c r="H95" s="4">
        <v>3.9900000000000005E-2</v>
      </c>
      <c r="I95" s="12">
        <v>3.8900000000000004E-2</v>
      </c>
      <c r="J95" s="4">
        <f t="shared" si="4"/>
        <v>1.4762111801242227E-2</v>
      </c>
      <c r="K95" s="9">
        <f t="shared" si="5"/>
        <v>1.0000000000000019E-6</v>
      </c>
      <c r="L95" s="10">
        <f t="shared" si="6"/>
        <v>2.5062656641604031</v>
      </c>
    </row>
    <row r="96" spans="1:12" x14ac:dyDescent="0.15">
      <c r="A96" s="3">
        <f>DATE(1967,9,1)</f>
        <v>24716</v>
      </c>
      <c r="B96" s="4">
        <v>3.9900000000000005E-2</v>
      </c>
      <c r="C96" s="12">
        <f t="shared" si="7"/>
        <v>3.8900000000000004E-2</v>
      </c>
      <c r="G96" s="3">
        <f>DATE(1967,10,1)</f>
        <v>24746</v>
      </c>
      <c r="H96" s="4">
        <v>3.8800000000000001E-2</v>
      </c>
      <c r="I96" s="12">
        <v>3.9750000000000001E-2</v>
      </c>
      <c r="J96" s="4">
        <f t="shared" si="4"/>
        <v>1.586211180124223E-2</v>
      </c>
      <c r="K96" s="9">
        <f t="shared" si="5"/>
        <v>9.0249999999999898E-7</v>
      </c>
      <c r="L96" s="10">
        <f t="shared" si="6"/>
        <v>2.4484536082474211</v>
      </c>
    </row>
    <row r="97" spans="1:12" x14ac:dyDescent="0.15">
      <c r="A97" s="3">
        <f>DATE(1967,10,1)</f>
        <v>24746</v>
      </c>
      <c r="B97" s="4">
        <v>3.8800000000000001E-2</v>
      </c>
      <c r="C97" s="12">
        <f t="shared" si="7"/>
        <v>3.9750000000000001E-2</v>
      </c>
      <c r="G97" s="3">
        <f>DATE(1967,11,1)</f>
        <v>24777</v>
      </c>
      <c r="H97" s="4">
        <v>4.1299999999999996E-2</v>
      </c>
      <c r="I97" s="12">
        <v>4.1274999999999999E-2</v>
      </c>
      <c r="J97" s="4">
        <f t="shared" si="4"/>
        <v>1.3362111801242235E-2</v>
      </c>
      <c r="K97" s="9">
        <f t="shared" si="5"/>
        <v>6.2499999999986229E-10</v>
      </c>
      <c r="L97" s="10">
        <f t="shared" si="6"/>
        <v>6.0532687651325051E-2</v>
      </c>
    </row>
    <row r="98" spans="1:12" x14ac:dyDescent="0.15">
      <c r="A98" s="3">
        <f>DATE(1967,11,1)</f>
        <v>24777</v>
      </c>
      <c r="B98" s="4">
        <v>4.1299999999999996E-2</v>
      </c>
      <c r="C98" s="12">
        <f t="shared" si="7"/>
        <v>4.1274999999999999E-2</v>
      </c>
      <c r="G98" s="3">
        <f>DATE(1967,12,1)</f>
        <v>24807</v>
      </c>
      <c r="H98" s="4">
        <v>4.5100000000000001E-2</v>
      </c>
      <c r="I98" s="12">
        <v>4.2800000000000005E-2</v>
      </c>
      <c r="J98" s="4">
        <f t="shared" si="4"/>
        <v>9.5621118012422304E-3</v>
      </c>
      <c r="K98" s="9">
        <f t="shared" si="5"/>
        <v>5.2899999999999841E-6</v>
      </c>
      <c r="L98" s="10">
        <f t="shared" si="6"/>
        <v>5.0997782705099697</v>
      </c>
    </row>
    <row r="99" spans="1:12" x14ac:dyDescent="0.15">
      <c r="A99" s="3">
        <f>DATE(1967,12,1)</f>
        <v>24807</v>
      </c>
      <c r="B99" s="4">
        <v>4.5100000000000001E-2</v>
      </c>
      <c r="C99" s="12">
        <f t="shared" si="7"/>
        <v>4.2800000000000005E-2</v>
      </c>
      <c r="G99" s="3">
        <f>DATE(1968,1,1)</f>
        <v>24838</v>
      </c>
      <c r="H99" s="4">
        <v>4.5999999999999999E-2</v>
      </c>
      <c r="I99" s="12">
        <v>4.4875000000000005E-2</v>
      </c>
      <c r="J99" s="4">
        <f t="shared" si="4"/>
        <v>8.6621118012422324E-3</v>
      </c>
      <c r="K99" s="9">
        <f t="shared" si="5"/>
        <v>1.2656249999999867E-6</v>
      </c>
      <c r="L99" s="10">
        <f t="shared" si="6"/>
        <v>2.4456521739130306</v>
      </c>
    </row>
    <row r="100" spans="1:12" x14ac:dyDescent="0.15">
      <c r="A100" s="3">
        <f>DATE(1968,1,1)</f>
        <v>24838</v>
      </c>
      <c r="B100" s="4">
        <v>4.5999999999999999E-2</v>
      </c>
      <c r="C100" s="12">
        <f t="shared" si="7"/>
        <v>4.4875000000000005E-2</v>
      </c>
      <c r="G100" s="3">
        <f>DATE(1968,2,1)</f>
        <v>24869</v>
      </c>
      <c r="H100" s="4">
        <v>4.7100000000000003E-2</v>
      </c>
      <c r="I100" s="12">
        <v>4.7174999999999995E-2</v>
      </c>
      <c r="J100" s="4">
        <f t="shared" si="4"/>
        <v>7.5621118012422286E-3</v>
      </c>
      <c r="K100" s="9">
        <f t="shared" si="5"/>
        <v>5.6249999999987608E-9</v>
      </c>
      <c r="L100" s="10">
        <f t="shared" si="6"/>
        <v>0.15923566878979137</v>
      </c>
    </row>
    <row r="101" spans="1:12" x14ac:dyDescent="0.15">
      <c r="A101" s="3">
        <f>DATE(1968,2,1)</f>
        <v>24869</v>
      </c>
      <c r="B101" s="4">
        <v>4.7100000000000003E-2</v>
      </c>
      <c r="C101" s="12">
        <f t="shared" si="7"/>
        <v>4.7174999999999995E-2</v>
      </c>
      <c r="G101" s="3">
        <f>DATE(1968,3,1)</f>
        <v>24898</v>
      </c>
      <c r="H101" s="4">
        <v>5.0499999999999996E-2</v>
      </c>
      <c r="I101" s="12">
        <v>5.0299999999999997E-2</v>
      </c>
      <c r="J101" s="4">
        <f t="shared" si="4"/>
        <v>4.1621118012422353E-3</v>
      </c>
      <c r="K101" s="9">
        <f t="shared" si="5"/>
        <v>3.9999999999999518E-8</v>
      </c>
      <c r="L101" s="10">
        <f t="shared" si="6"/>
        <v>0.39603960396039373</v>
      </c>
    </row>
    <row r="102" spans="1:12" x14ac:dyDescent="0.15">
      <c r="A102" s="3">
        <f>DATE(1968,3,1)</f>
        <v>24898</v>
      </c>
      <c r="B102" s="4">
        <v>5.0499999999999996E-2</v>
      </c>
      <c r="C102" s="12">
        <f t="shared" si="7"/>
        <v>5.0299999999999997E-2</v>
      </c>
      <c r="G102" s="3">
        <f>DATE(1968,4,1)</f>
        <v>24929</v>
      </c>
      <c r="H102" s="4">
        <v>5.7599999999999998E-2</v>
      </c>
      <c r="I102" s="12">
        <v>5.4074999999999998E-2</v>
      </c>
      <c r="J102" s="4">
        <f t="shared" si="4"/>
        <v>2.9378881987577668E-3</v>
      </c>
      <c r="K102" s="9">
        <f t="shared" si="5"/>
        <v>1.2425625000000002E-5</v>
      </c>
      <c r="L102" s="10">
        <f t="shared" si="6"/>
        <v>6.119791666666667</v>
      </c>
    </row>
    <row r="103" spans="1:12" x14ac:dyDescent="0.15">
      <c r="A103" s="3">
        <f>DATE(1968,4,1)</f>
        <v>24929</v>
      </c>
      <c r="B103" s="4">
        <v>5.7599999999999998E-2</v>
      </c>
      <c r="C103" s="12">
        <f t="shared" si="7"/>
        <v>5.4074999999999998E-2</v>
      </c>
      <c r="G103" s="3">
        <f>DATE(1968,5,1)</f>
        <v>24959</v>
      </c>
      <c r="H103" s="4">
        <v>6.1100000000000002E-2</v>
      </c>
      <c r="I103" s="12">
        <v>5.7475000000000005E-2</v>
      </c>
      <c r="J103" s="4">
        <f t="shared" si="4"/>
        <v>6.4378881987577699E-3</v>
      </c>
      <c r="K103" s="9">
        <f t="shared" si="5"/>
        <v>1.3140624999999974E-5</v>
      </c>
      <c r="L103" s="10">
        <f t="shared" si="6"/>
        <v>5.9328968903436925</v>
      </c>
    </row>
    <row r="104" spans="1:12" x14ac:dyDescent="0.15">
      <c r="A104" s="3">
        <f>DATE(1968,5,1)</f>
        <v>24959</v>
      </c>
      <c r="B104" s="4">
        <v>6.1100000000000002E-2</v>
      </c>
      <c r="C104" s="12">
        <f t="shared" si="7"/>
        <v>5.7475000000000005E-2</v>
      </c>
      <c r="G104" s="3">
        <f>DATE(1968,6,1)</f>
        <v>24990</v>
      </c>
      <c r="H104" s="4">
        <v>6.0700000000000004E-2</v>
      </c>
      <c r="I104" s="12">
        <v>5.9900000000000002E-2</v>
      </c>
      <c r="J104" s="4">
        <f t="shared" si="4"/>
        <v>6.0378881987577723E-3</v>
      </c>
      <c r="K104" s="9">
        <f t="shared" si="5"/>
        <v>6.400000000000034E-7</v>
      </c>
      <c r="L104" s="10">
        <f t="shared" si="6"/>
        <v>1.3179571663920955</v>
      </c>
    </row>
    <row r="105" spans="1:12" x14ac:dyDescent="0.15">
      <c r="A105" s="3">
        <f>DATE(1968,6,1)</f>
        <v>24990</v>
      </c>
      <c r="B105" s="4">
        <v>6.0700000000000004E-2</v>
      </c>
      <c r="C105" s="12">
        <f t="shared" si="7"/>
        <v>5.9900000000000002E-2</v>
      </c>
      <c r="G105" s="3">
        <f>DATE(1968,7,1)</f>
        <v>25020</v>
      </c>
      <c r="H105" s="4">
        <v>6.0199999999999997E-2</v>
      </c>
      <c r="I105" s="12">
        <v>6.0574999999999997E-2</v>
      </c>
      <c r="J105" s="4">
        <f t="shared" si="4"/>
        <v>5.5378881987577649E-3</v>
      </c>
      <c r="K105" s="9">
        <f t="shared" si="5"/>
        <v>1.4062500000000024E-7</v>
      </c>
      <c r="L105" s="10">
        <f t="shared" si="6"/>
        <v>0.62292358803986769</v>
      </c>
    </row>
    <row r="106" spans="1:12" x14ac:dyDescent="0.15">
      <c r="A106" s="3">
        <f>DATE(1968,7,1)</f>
        <v>25020</v>
      </c>
      <c r="B106" s="4">
        <v>6.0199999999999997E-2</v>
      </c>
      <c r="C106" s="12">
        <f t="shared" si="7"/>
        <v>6.0574999999999997E-2</v>
      </c>
      <c r="G106" s="3">
        <f>DATE(1968,8,1)</f>
        <v>25051</v>
      </c>
      <c r="H106" s="4">
        <v>6.0299999999999999E-2</v>
      </c>
      <c r="I106" s="12">
        <v>5.9749999999999998E-2</v>
      </c>
      <c r="J106" s="4">
        <f t="shared" si="4"/>
        <v>5.6378881987577678E-3</v>
      </c>
      <c r="K106" s="9">
        <f t="shared" si="5"/>
        <v>3.0250000000000208E-7</v>
      </c>
      <c r="L106" s="10">
        <f t="shared" si="6"/>
        <v>0.91210613598673618</v>
      </c>
    </row>
    <row r="107" spans="1:12" x14ac:dyDescent="0.15">
      <c r="A107" s="3">
        <f>DATE(1968,8,1)</f>
        <v>25051</v>
      </c>
      <c r="B107" s="4">
        <v>6.0299999999999999E-2</v>
      </c>
      <c r="C107" s="12">
        <f t="shared" si="7"/>
        <v>5.9749999999999998E-2</v>
      </c>
      <c r="G107" s="3">
        <f>DATE(1968,9,1)</f>
        <v>25082</v>
      </c>
      <c r="H107" s="4">
        <v>5.7800000000000004E-2</v>
      </c>
      <c r="I107" s="12">
        <v>5.935E-2</v>
      </c>
      <c r="J107" s="4">
        <f t="shared" si="4"/>
        <v>3.1378881987577725E-3</v>
      </c>
      <c r="K107" s="9">
        <f t="shared" si="5"/>
        <v>2.4024999999999872E-6</v>
      </c>
      <c r="L107" s="10">
        <f t="shared" si="6"/>
        <v>2.6816608996539717</v>
      </c>
    </row>
    <row r="108" spans="1:12" x14ac:dyDescent="0.15">
      <c r="A108" s="3">
        <f>DATE(1968,9,1)</f>
        <v>25082</v>
      </c>
      <c r="B108" s="4">
        <v>5.7800000000000004E-2</v>
      </c>
      <c r="C108" s="12">
        <f t="shared" si="7"/>
        <v>5.935E-2</v>
      </c>
      <c r="G108" s="3">
        <f>DATE(1968,10,1)</f>
        <v>25112</v>
      </c>
      <c r="H108" s="4">
        <v>5.91E-2</v>
      </c>
      <c r="I108" s="12">
        <v>5.8850000000000006E-2</v>
      </c>
      <c r="J108" s="4">
        <f t="shared" si="4"/>
        <v>4.4378881987577681E-3</v>
      </c>
      <c r="K108" s="9">
        <f t="shared" si="5"/>
        <v>6.2499999999996636E-8</v>
      </c>
      <c r="L108" s="10">
        <f t="shared" si="6"/>
        <v>0.42301184433162992</v>
      </c>
    </row>
    <row r="109" spans="1:12" x14ac:dyDescent="0.15">
      <c r="A109" s="3">
        <f>DATE(1968,10,1)</f>
        <v>25112</v>
      </c>
      <c r="B109" s="4">
        <v>5.91E-2</v>
      </c>
      <c r="C109" s="12">
        <f t="shared" si="7"/>
        <v>5.8850000000000006E-2</v>
      </c>
      <c r="G109" s="3">
        <f>DATE(1968,11,1)</f>
        <v>25143</v>
      </c>
      <c r="H109" s="4">
        <v>5.8200000000000002E-2</v>
      </c>
      <c r="I109" s="12">
        <v>5.8825000000000002E-2</v>
      </c>
      <c r="J109" s="4">
        <f t="shared" si="4"/>
        <v>3.5378881987577701E-3</v>
      </c>
      <c r="K109" s="9">
        <f t="shared" si="5"/>
        <v>3.9062500000000071E-7</v>
      </c>
      <c r="L109" s="10">
        <f t="shared" si="6"/>
        <v>1.0738831615120283</v>
      </c>
    </row>
    <row r="110" spans="1:12" x14ac:dyDescent="0.15">
      <c r="A110" s="3">
        <f>DATE(1968,11,1)</f>
        <v>25143</v>
      </c>
      <c r="B110" s="4">
        <v>5.8200000000000002E-2</v>
      </c>
      <c r="C110" s="12">
        <f t="shared" si="7"/>
        <v>5.8825000000000002E-2</v>
      </c>
      <c r="G110" s="3">
        <f>DATE(1968,12,1)</f>
        <v>25173</v>
      </c>
      <c r="H110" s="4">
        <v>6.0199999999999997E-2</v>
      </c>
      <c r="I110" s="12">
        <v>6.0124999999999998E-2</v>
      </c>
      <c r="J110" s="4">
        <f t="shared" si="4"/>
        <v>5.5378881987577649E-3</v>
      </c>
      <c r="K110" s="9">
        <f t="shared" si="5"/>
        <v>5.6249999999998022E-9</v>
      </c>
      <c r="L110" s="10">
        <f t="shared" si="6"/>
        <v>0.12458471760797123</v>
      </c>
    </row>
    <row r="111" spans="1:12" x14ac:dyDescent="0.15">
      <c r="A111" s="3">
        <f>DATE(1968,12,1)</f>
        <v>25173</v>
      </c>
      <c r="B111" s="4">
        <v>6.0199999999999997E-2</v>
      </c>
      <c r="C111" s="12">
        <f t="shared" si="7"/>
        <v>6.0124999999999998E-2</v>
      </c>
      <c r="G111" s="3">
        <f>DATE(1969,1,1)</f>
        <v>25204</v>
      </c>
      <c r="H111" s="4">
        <v>6.3E-2</v>
      </c>
      <c r="I111" s="12">
        <v>6.1874999999999999E-2</v>
      </c>
      <c r="J111" s="4">
        <f t="shared" si="4"/>
        <v>8.3378881987577688E-3</v>
      </c>
      <c r="K111" s="9">
        <f t="shared" si="5"/>
        <v>1.2656250000000022E-6</v>
      </c>
      <c r="L111" s="10">
        <f t="shared" si="6"/>
        <v>1.7857142857142874</v>
      </c>
    </row>
    <row r="112" spans="1:12" x14ac:dyDescent="0.15">
      <c r="A112" s="3">
        <f>DATE(1969,1,1)</f>
        <v>25204</v>
      </c>
      <c r="B112" s="4">
        <v>6.3E-2</v>
      </c>
      <c r="C112" s="12">
        <f t="shared" si="7"/>
        <v>6.1874999999999999E-2</v>
      </c>
      <c r="G112" s="3">
        <f>DATE(1969,2,1)</f>
        <v>25235</v>
      </c>
      <c r="H112" s="4">
        <v>6.6100000000000006E-2</v>
      </c>
      <c r="I112" s="12">
        <v>6.430000000000001E-2</v>
      </c>
      <c r="J112" s="4">
        <f t="shared" si="4"/>
        <v>1.1437888198757774E-2</v>
      </c>
      <c r="K112" s="9">
        <f t="shared" si="5"/>
        <v>3.2399999999999859E-6</v>
      </c>
      <c r="L112" s="10">
        <f t="shared" si="6"/>
        <v>2.72314674735249</v>
      </c>
    </row>
    <row r="113" spans="1:12" x14ac:dyDescent="0.15">
      <c r="A113" s="3">
        <f>DATE(1969,2,1)</f>
        <v>25235</v>
      </c>
      <c r="B113" s="4">
        <v>6.6100000000000006E-2</v>
      </c>
      <c r="C113" s="12">
        <f t="shared" si="7"/>
        <v>6.430000000000001E-2</v>
      </c>
      <c r="G113" s="3">
        <f>DATE(1969,3,1)</f>
        <v>25263</v>
      </c>
      <c r="H113" s="4">
        <v>6.7900000000000002E-2</v>
      </c>
      <c r="I113" s="12">
        <v>6.7775000000000002E-2</v>
      </c>
      <c r="J113" s="4">
        <f t="shared" si="4"/>
        <v>1.323788819875777E-2</v>
      </c>
      <c r="K113" s="9">
        <f t="shared" si="5"/>
        <v>1.5625000000000029E-8</v>
      </c>
      <c r="L113" s="10">
        <f t="shared" si="6"/>
        <v>0.18409425625920486</v>
      </c>
    </row>
    <row r="114" spans="1:12" x14ac:dyDescent="0.15">
      <c r="A114" s="3">
        <f>DATE(1969,3,1)</f>
        <v>25263</v>
      </c>
      <c r="B114" s="4">
        <v>6.7900000000000002E-2</v>
      </c>
      <c r="C114" s="12">
        <f t="shared" si="7"/>
        <v>6.7775000000000002E-2</v>
      </c>
      <c r="G114" s="3">
        <f>DATE(1969,4,1)</f>
        <v>25294</v>
      </c>
      <c r="H114" s="4">
        <v>7.4099999999999999E-2</v>
      </c>
      <c r="I114" s="12">
        <v>7.3700000000000002E-2</v>
      </c>
      <c r="J114" s="4">
        <f t="shared" si="4"/>
        <v>1.9437888198757768E-2</v>
      </c>
      <c r="K114" s="9">
        <f t="shared" si="5"/>
        <v>1.5999999999999807E-7</v>
      </c>
      <c r="L114" s="10">
        <f t="shared" si="6"/>
        <v>0.53981106612685237</v>
      </c>
    </row>
    <row r="115" spans="1:12" x14ac:dyDescent="0.15">
      <c r="A115" s="3">
        <f>DATE(1969,4,1)</f>
        <v>25294</v>
      </c>
      <c r="B115" s="4">
        <v>7.4099999999999999E-2</v>
      </c>
      <c r="C115" s="12">
        <f t="shared" si="7"/>
        <v>7.3700000000000002E-2</v>
      </c>
      <c r="G115" s="3">
        <f>DATE(1969,5,1)</f>
        <v>25324</v>
      </c>
      <c r="H115" s="4">
        <v>8.6699999999999999E-2</v>
      </c>
      <c r="I115" s="12">
        <v>7.9425000000000009E-2</v>
      </c>
      <c r="J115" s="4">
        <f t="shared" si="4"/>
        <v>3.2037888198757768E-2</v>
      </c>
      <c r="K115" s="9">
        <f t="shared" si="5"/>
        <v>5.2925624999999853E-5</v>
      </c>
      <c r="L115" s="10">
        <f t="shared" si="6"/>
        <v>8.3910034602076013</v>
      </c>
    </row>
    <row r="116" spans="1:12" x14ac:dyDescent="0.15">
      <c r="A116" s="3">
        <f>DATE(1969,5,1)</f>
        <v>25324</v>
      </c>
      <c r="B116" s="4">
        <v>8.6699999999999999E-2</v>
      </c>
      <c r="C116" s="12">
        <f t="shared" si="7"/>
        <v>7.9425000000000009E-2</v>
      </c>
      <c r="G116" s="3">
        <f>DATE(1969,6,1)</f>
        <v>25355</v>
      </c>
      <c r="H116" s="4">
        <v>8.900000000000001E-2</v>
      </c>
      <c r="I116" s="12">
        <v>8.3975000000000008E-2</v>
      </c>
      <c r="J116" s="4">
        <f t="shared" si="4"/>
        <v>3.4337888198757778E-2</v>
      </c>
      <c r="K116" s="9">
        <f t="shared" si="5"/>
        <v>2.5250625000000017E-5</v>
      </c>
      <c r="L116" s="10">
        <f t="shared" si="6"/>
        <v>5.6460674157303377</v>
      </c>
    </row>
    <row r="117" spans="1:12" x14ac:dyDescent="0.15">
      <c r="A117" s="3">
        <f>DATE(1969,6,1)</f>
        <v>25355</v>
      </c>
      <c r="B117" s="4">
        <v>8.900000000000001E-2</v>
      </c>
      <c r="C117" s="12">
        <f t="shared" si="7"/>
        <v>8.3975000000000008E-2</v>
      </c>
      <c r="G117" s="3">
        <f>DATE(1969,7,1)</f>
        <v>25385</v>
      </c>
      <c r="H117" s="4">
        <v>8.6099999999999996E-2</v>
      </c>
      <c r="I117" s="12">
        <v>8.8425000000000004E-2</v>
      </c>
      <c r="J117" s="4">
        <f t="shared" si="4"/>
        <v>3.1437888198757764E-2</v>
      </c>
      <c r="K117" s="9">
        <f t="shared" si="5"/>
        <v>5.4056250000000352E-6</v>
      </c>
      <c r="L117" s="10">
        <f t="shared" si="6"/>
        <v>2.7003484320557583</v>
      </c>
    </row>
    <row r="118" spans="1:12" x14ac:dyDescent="0.15">
      <c r="A118" s="3">
        <f>DATE(1969,7,1)</f>
        <v>25385</v>
      </c>
      <c r="B118" s="4">
        <v>8.6099999999999996E-2</v>
      </c>
      <c r="C118" s="12">
        <f t="shared" si="7"/>
        <v>8.8425000000000004E-2</v>
      </c>
      <c r="G118" s="3">
        <f>DATE(1969,8,1)</f>
        <v>25416</v>
      </c>
      <c r="H118" s="4">
        <v>9.1899999999999996E-2</v>
      </c>
      <c r="I118" s="12">
        <v>8.962500000000001E-2</v>
      </c>
      <c r="J118" s="4">
        <f t="shared" si="4"/>
        <v>3.7237888198757764E-2</v>
      </c>
      <c r="K118" s="9">
        <f t="shared" si="5"/>
        <v>5.1756249999999332E-6</v>
      </c>
      <c r="L118" s="10">
        <f t="shared" si="6"/>
        <v>2.4755168661588525</v>
      </c>
    </row>
    <row r="119" spans="1:12" x14ac:dyDescent="0.15">
      <c r="A119" s="3">
        <f>DATE(1969,8,1)</f>
        <v>25416</v>
      </c>
      <c r="B119" s="4">
        <v>9.1899999999999996E-2</v>
      </c>
      <c r="C119" s="12">
        <f t="shared" si="7"/>
        <v>8.962500000000001E-2</v>
      </c>
      <c r="G119" s="3">
        <f>DATE(1969,9,1)</f>
        <v>25447</v>
      </c>
      <c r="H119" s="4">
        <v>9.1499999999999998E-2</v>
      </c>
      <c r="I119" s="12">
        <v>8.9874999999999983E-2</v>
      </c>
      <c r="J119" s="4">
        <f t="shared" si="4"/>
        <v>3.6837888198757766E-2</v>
      </c>
      <c r="K119" s="9">
        <f t="shared" si="5"/>
        <v>2.6406250000000498E-6</v>
      </c>
      <c r="L119" s="10">
        <f t="shared" si="6"/>
        <v>1.7759562841530223</v>
      </c>
    </row>
    <row r="120" spans="1:12" x14ac:dyDescent="0.15">
      <c r="A120" s="3">
        <f>DATE(1969,9,1)</f>
        <v>25447</v>
      </c>
      <c r="B120" s="4">
        <v>9.1499999999999998E-2</v>
      </c>
      <c r="C120" s="12">
        <f t="shared" si="7"/>
        <v>8.9874999999999983E-2</v>
      </c>
      <c r="G120" s="3">
        <f>DATE(1969,10,1)</f>
        <v>25477</v>
      </c>
      <c r="H120" s="4">
        <v>0.09</v>
      </c>
      <c r="I120" s="12">
        <v>9.0475E-2</v>
      </c>
      <c r="J120" s="4">
        <f t="shared" si="4"/>
        <v>3.5337888198757765E-2</v>
      </c>
      <c r="K120" s="9">
        <f t="shared" si="5"/>
        <v>2.2562500000000303E-7</v>
      </c>
      <c r="L120" s="10">
        <f t="shared" si="6"/>
        <v>0.52777777777778134</v>
      </c>
    </row>
    <row r="121" spans="1:12" x14ac:dyDescent="0.15">
      <c r="A121" s="3">
        <f>DATE(1969,10,1)</f>
        <v>25477</v>
      </c>
      <c r="B121" s="4">
        <v>0.09</v>
      </c>
      <c r="C121" s="12">
        <f t="shared" si="7"/>
        <v>9.0475E-2</v>
      </c>
      <c r="G121" s="3">
        <f>DATE(1969,11,1)</f>
        <v>25508</v>
      </c>
      <c r="H121" s="4">
        <v>8.8499999999999995E-2</v>
      </c>
      <c r="I121" s="12">
        <v>8.9925000000000005E-2</v>
      </c>
      <c r="J121" s="4">
        <f t="shared" si="4"/>
        <v>3.3837888198757764E-2</v>
      </c>
      <c r="K121" s="9">
        <f t="shared" si="5"/>
        <v>2.0306250000000273E-6</v>
      </c>
      <c r="L121" s="10">
        <f t="shared" si="6"/>
        <v>1.6101694915254348</v>
      </c>
    </row>
    <row r="122" spans="1:12" x14ac:dyDescent="0.15">
      <c r="A122" s="3">
        <f>DATE(1969,11,1)</f>
        <v>25508</v>
      </c>
      <c r="B122" s="4">
        <v>8.8499999999999995E-2</v>
      </c>
      <c r="C122" s="12">
        <f t="shared" si="7"/>
        <v>8.9925000000000005E-2</v>
      </c>
      <c r="G122" s="3">
        <f>DATE(1969,12,1)</f>
        <v>25538</v>
      </c>
      <c r="H122" s="4">
        <v>8.9700000000000002E-2</v>
      </c>
      <c r="I122" s="12">
        <v>8.9499999999999996E-2</v>
      </c>
      <c r="J122" s="4">
        <f t="shared" si="4"/>
        <v>3.503788819875777E-2</v>
      </c>
      <c r="K122" s="9">
        <f t="shared" si="5"/>
        <v>4.000000000000229E-8</v>
      </c>
      <c r="L122" s="10">
        <f t="shared" si="6"/>
        <v>0.22296544035675109</v>
      </c>
    </row>
    <row r="123" spans="1:12" x14ac:dyDescent="0.15">
      <c r="A123" s="3">
        <f>DATE(1969,12,1)</f>
        <v>25538</v>
      </c>
      <c r="B123" s="4">
        <v>8.9700000000000002E-2</v>
      </c>
      <c r="C123" s="12">
        <f t="shared" si="7"/>
        <v>8.9499999999999996E-2</v>
      </c>
      <c r="G123" s="3">
        <f>DATE(1970,1,1)</f>
        <v>25569</v>
      </c>
      <c r="H123" s="4">
        <v>8.9800000000000005E-2</v>
      </c>
      <c r="I123" s="12">
        <v>8.9450000000000002E-2</v>
      </c>
      <c r="J123" s="4">
        <f t="shared" si="4"/>
        <v>3.5137888198757773E-2</v>
      </c>
      <c r="K123" s="9">
        <f t="shared" si="5"/>
        <v>1.2250000000000216E-7</v>
      </c>
      <c r="L123" s="10">
        <f t="shared" si="6"/>
        <v>0.38975501113586086</v>
      </c>
    </row>
    <row r="124" spans="1:12" x14ac:dyDescent="0.15">
      <c r="A124" s="3">
        <f>DATE(1970,1,1)</f>
        <v>25569</v>
      </c>
      <c r="B124" s="4">
        <v>8.9800000000000005E-2</v>
      </c>
      <c r="C124" s="12">
        <f t="shared" si="7"/>
        <v>8.9450000000000002E-2</v>
      </c>
      <c r="G124" s="3">
        <f>DATE(1970,2,1)</f>
        <v>25600</v>
      </c>
      <c r="H124" s="4">
        <v>8.9800000000000005E-2</v>
      </c>
      <c r="I124" s="12">
        <v>8.6724999999999997E-2</v>
      </c>
      <c r="J124" s="4">
        <f t="shared" si="4"/>
        <v>3.5137888198757773E-2</v>
      </c>
      <c r="K124" s="9">
        <f t="shared" si="5"/>
        <v>9.4556250000000506E-6</v>
      </c>
      <c r="L124" s="10">
        <f t="shared" si="6"/>
        <v>3.4242761692650427</v>
      </c>
    </row>
    <row r="125" spans="1:12" x14ac:dyDescent="0.15">
      <c r="A125" s="3">
        <f>DATE(1970,2,1)</f>
        <v>25600</v>
      </c>
      <c r="B125" s="4">
        <v>8.9800000000000005E-2</v>
      </c>
      <c r="C125" s="12">
        <f t="shared" si="7"/>
        <v>8.6724999999999997E-2</v>
      </c>
      <c r="G125" s="3">
        <f>DATE(1970,3,1)</f>
        <v>25628</v>
      </c>
      <c r="H125" s="4">
        <v>7.7600000000000002E-2</v>
      </c>
      <c r="I125" s="12">
        <v>8.455E-2</v>
      </c>
      <c r="J125" s="4">
        <f t="shared" si="4"/>
        <v>2.2937888198757771E-2</v>
      </c>
      <c r="K125" s="9">
        <f t="shared" si="5"/>
        <v>4.8302499999999973E-5</v>
      </c>
      <c r="L125" s="10">
        <f t="shared" si="6"/>
        <v>8.9561855670103068</v>
      </c>
    </row>
    <row r="126" spans="1:12" x14ac:dyDescent="0.15">
      <c r="A126" s="3">
        <f>DATE(1970,3,1)</f>
        <v>25628</v>
      </c>
      <c r="B126" s="4">
        <v>7.7600000000000002E-2</v>
      </c>
      <c r="C126" s="12">
        <f t="shared" si="7"/>
        <v>8.455E-2</v>
      </c>
      <c r="G126" s="3">
        <f>DATE(1970,4,1)</f>
        <v>25659</v>
      </c>
      <c r="H126" s="4">
        <v>8.1000000000000003E-2</v>
      </c>
      <c r="I126" s="12">
        <v>8.1949999999999995E-2</v>
      </c>
      <c r="J126" s="4">
        <f t="shared" si="4"/>
        <v>2.6337888198757771E-2</v>
      </c>
      <c r="K126" s="9">
        <f t="shared" si="5"/>
        <v>9.0249999999998575E-7</v>
      </c>
      <c r="L126" s="10">
        <f t="shared" si="6"/>
        <v>1.1728395061728303</v>
      </c>
    </row>
    <row r="127" spans="1:12" x14ac:dyDescent="0.15">
      <c r="A127" s="3">
        <f>DATE(1970,4,1)</f>
        <v>25659</v>
      </c>
      <c r="B127" s="4">
        <v>8.1000000000000003E-2</v>
      </c>
      <c r="C127" s="12">
        <f t="shared" si="7"/>
        <v>8.1949999999999995E-2</v>
      </c>
      <c r="G127" s="3">
        <f>DATE(1970,5,1)</f>
        <v>25689</v>
      </c>
      <c r="H127" s="4">
        <v>7.9399999999999998E-2</v>
      </c>
      <c r="I127" s="12">
        <v>7.85E-2</v>
      </c>
      <c r="J127" s="4">
        <f t="shared" si="4"/>
        <v>2.4737888198757767E-2</v>
      </c>
      <c r="K127" s="9">
        <f t="shared" si="5"/>
        <v>8.0999999999999648E-7</v>
      </c>
      <c r="L127" s="10">
        <f t="shared" si="6"/>
        <v>1.1335012594458413</v>
      </c>
    </row>
    <row r="128" spans="1:12" x14ac:dyDescent="0.15">
      <c r="A128" s="3">
        <f>DATE(1970,5,1)</f>
        <v>25689</v>
      </c>
      <c r="B128" s="4">
        <v>7.9399999999999998E-2</v>
      </c>
      <c r="C128" s="12">
        <f t="shared" si="7"/>
        <v>7.85E-2</v>
      </c>
      <c r="G128" s="3">
        <f>DATE(1970,6,1)</f>
        <v>25720</v>
      </c>
      <c r="H128" s="4">
        <v>7.5999999999999998E-2</v>
      </c>
      <c r="I128" s="12">
        <v>7.7124999999999999E-2</v>
      </c>
      <c r="J128" s="4">
        <f t="shared" si="4"/>
        <v>2.1337888198757766E-2</v>
      </c>
      <c r="K128" s="9">
        <f t="shared" si="5"/>
        <v>1.2656250000000022E-6</v>
      </c>
      <c r="L128" s="10">
        <f t="shared" si="6"/>
        <v>1.4802631578947381</v>
      </c>
    </row>
    <row r="129" spans="1:12" x14ac:dyDescent="0.15">
      <c r="A129" s="3">
        <f>DATE(1970,6,1)</f>
        <v>25720</v>
      </c>
      <c r="B129" s="4">
        <v>7.5999999999999998E-2</v>
      </c>
      <c r="C129" s="12">
        <f t="shared" si="7"/>
        <v>7.7124999999999999E-2</v>
      </c>
      <c r="G129" s="3">
        <f>DATE(1970,7,1)</f>
        <v>25750</v>
      </c>
      <c r="H129" s="4">
        <v>7.2099999999999997E-2</v>
      </c>
      <c r="I129" s="12">
        <v>7.3399999999999993E-2</v>
      </c>
      <c r="J129" s="4">
        <f t="shared" si="4"/>
        <v>1.7437888198757766E-2</v>
      </c>
      <c r="K129" s="9">
        <f t="shared" si="5"/>
        <v>1.6899999999999885E-6</v>
      </c>
      <c r="L129" s="10">
        <f t="shared" si="6"/>
        <v>1.8030513176144185</v>
      </c>
    </row>
    <row r="130" spans="1:12" x14ac:dyDescent="0.15">
      <c r="A130" s="3">
        <f>DATE(1970,7,1)</f>
        <v>25750</v>
      </c>
      <c r="B130" s="4">
        <v>7.2099999999999997E-2</v>
      </c>
      <c r="C130" s="12">
        <f t="shared" si="7"/>
        <v>7.3399999999999993E-2</v>
      </c>
      <c r="G130" s="3">
        <f>DATE(1970,8,1)</f>
        <v>25781</v>
      </c>
      <c r="H130" s="4">
        <v>6.6100000000000006E-2</v>
      </c>
      <c r="I130" s="12">
        <v>6.9275000000000003E-2</v>
      </c>
      <c r="J130" s="4">
        <f t="shared" si="4"/>
        <v>1.1437888198757774E-2</v>
      </c>
      <c r="K130" s="9">
        <f t="shared" si="5"/>
        <v>1.0080624999999983E-5</v>
      </c>
      <c r="L130" s="10">
        <f t="shared" si="6"/>
        <v>4.8033282904689818</v>
      </c>
    </row>
    <row r="131" spans="1:12" x14ac:dyDescent="0.15">
      <c r="A131" s="3">
        <f>DATE(1970,8,1)</f>
        <v>25781</v>
      </c>
      <c r="B131" s="4">
        <v>6.6100000000000006E-2</v>
      </c>
      <c r="C131" s="12">
        <f t="shared" si="7"/>
        <v>6.9275000000000003E-2</v>
      </c>
      <c r="G131" s="3">
        <f>DATE(1970,9,1)</f>
        <v>25812</v>
      </c>
      <c r="H131" s="4">
        <v>6.2899999999999998E-2</v>
      </c>
      <c r="I131" s="12">
        <v>6.5775E-2</v>
      </c>
      <c r="J131" s="4">
        <f t="shared" si="4"/>
        <v>8.237888198757766E-3</v>
      </c>
      <c r="K131" s="9">
        <f t="shared" si="5"/>
        <v>8.2656250000000146E-6</v>
      </c>
      <c r="L131" s="10">
        <f t="shared" si="6"/>
        <v>4.5707472178060451</v>
      </c>
    </row>
    <row r="132" spans="1:12" x14ac:dyDescent="0.15">
      <c r="A132" s="3">
        <f>DATE(1970,9,1)</f>
        <v>25812</v>
      </c>
      <c r="B132" s="4">
        <v>6.2899999999999998E-2</v>
      </c>
      <c r="C132" s="12">
        <f t="shared" si="7"/>
        <v>6.5775E-2</v>
      </c>
      <c r="G132" s="3">
        <f>DATE(1970,10,1)</f>
        <v>25842</v>
      </c>
      <c r="H132" s="4">
        <v>6.2E-2</v>
      </c>
      <c r="I132" s="12">
        <v>6.1749999999999999E-2</v>
      </c>
      <c r="J132" s="4">
        <f t="shared" si="4"/>
        <v>7.3378881987577679E-3</v>
      </c>
      <c r="K132" s="9">
        <f t="shared" si="5"/>
        <v>6.2500000000000116E-8</v>
      </c>
      <c r="L132" s="10">
        <f t="shared" si="6"/>
        <v>0.40322580645161321</v>
      </c>
    </row>
    <row r="133" spans="1:12" x14ac:dyDescent="0.15">
      <c r="A133" s="3">
        <f>DATE(1970,10,1)</f>
        <v>25842</v>
      </c>
      <c r="B133" s="4">
        <v>6.2E-2</v>
      </c>
      <c r="C133" s="12">
        <f t="shared" si="7"/>
        <v>6.1749999999999999E-2</v>
      </c>
      <c r="G133" s="3">
        <f>DATE(1970,11,1)</f>
        <v>25873</v>
      </c>
      <c r="H133" s="4">
        <v>5.5999999999999994E-2</v>
      </c>
      <c r="I133" s="12">
        <v>5.7474999999999998E-2</v>
      </c>
      <c r="J133" s="4">
        <f t="shared" si="4"/>
        <v>1.3378881987577626E-3</v>
      </c>
      <c r="K133" s="9">
        <f t="shared" si="5"/>
        <v>2.1756250000000119E-6</v>
      </c>
      <c r="L133" s="10">
        <f t="shared" si="6"/>
        <v>2.6339285714285792</v>
      </c>
    </row>
    <row r="134" spans="1:12" x14ac:dyDescent="0.15">
      <c r="A134" s="3">
        <f>DATE(1970,11,1)</f>
        <v>25873</v>
      </c>
      <c r="B134" s="4">
        <v>5.5999999999999994E-2</v>
      </c>
      <c r="C134" s="12">
        <f t="shared" si="7"/>
        <v>5.7474999999999998E-2</v>
      </c>
      <c r="G134" s="3">
        <f>DATE(1970,12,1)</f>
        <v>25903</v>
      </c>
      <c r="H134" s="4">
        <v>4.9000000000000002E-2</v>
      </c>
      <c r="I134" s="12">
        <v>5.2099999999999994E-2</v>
      </c>
      <c r="J134" s="4">
        <f t="shared" ref="J134:J197" si="8">ABS(H134-$Q$4)</f>
        <v>5.6621118012422297E-3</v>
      </c>
      <c r="K134" s="9">
        <f t="shared" ref="K134:K197" si="9">(H134-I134)^2</f>
        <v>9.6099999999999486E-6</v>
      </c>
      <c r="L134" s="10">
        <f t="shared" ref="L134:L197" si="10">ABS(H134-I134)/H134*100</f>
        <v>6.3265306122448806</v>
      </c>
    </row>
    <row r="135" spans="1:12" x14ac:dyDescent="0.15">
      <c r="A135" s="3">
        <f>DATE(1970,12,1)</f>
        <v>25903</v>
      </c>
      <c r="B135" s="4">
        <v>4.9000000000000002E-2</v>
      </c>
      <c r="C135" s="12">
        <f t="shared" ref="C135:C198" si="11">(B133+B134+B135+B136)/4</f>
        <v>5.2099999999999994E-2</v>
      </c>
      <c r="G135" s="3">
        <f>DATE(1971,1,1)</f>
        <v>25934</v>
      </c>
      <c r="H135" s="4">
        <v>4.1399999999999999E-2</v>
      </c>
      <c r="I135" s="12">
        <v>4.5900000000000003E-2</v>
      </c>
      <c r="J135" s="4">
        <f t="shared" si="8"/>
        <v>1.3262111801242232E-2</v>
      </c>
      <c r="K135" s="9">
        <f t="shared" si="9"/>
        <v>2.0250000000000035E-5</v>
      </c>
      <c r="L135" s="10">
        <f t="shared" si="10"/>
        <v>10.869565217391314</v>
      </c>
    </row>
    <row r="136" spans="1:12" x14ac:dyDescent="0.15">
      <c r="A136" s="3">
        <f>DATE(1971,1,1)</f>
        <v>25934</v>
      </c>
      <c r="B136" s="4">
        <v>4.1399999999999999E-2</v>
      </c>
      <c r="C136" s="12">
        <f t="shared" si="11"/>
        <v>4.5900000000000003E-2</v>
      </c>
      <c r="G136" s="3">
        <f>DATE(1971,2,1)</f>
        <v>25965</v>
      </c>
      <c r="H136" s="4">
        <v>3.7200000000000004E-2</v>
      </c>
      <c r="I136" s="12">
        <v>4.1175000000000003E-2</v>
      </c>
      <c r="J136" s="4">
        <f t="shared" si="8"/>
        <v>1.7462111801242228E-2</v>
      </c>
      <c r="K136" s="9">
        <f t="shared" si="9"/>
        <v>1.5800624999999994E-5</v>
      </c>
      <c r="L136" s="10">
        <f t="shared" si="10"/>
        <v>10.68548387096774</v>
      </c>
    </row>
    <row r="137" spans="1:12" x14ac:dyDescent="0.15">
      <c r="A137" s="3">
        <f>DATE(1971,2,1)</f>
        <v>25965</v>
      </c>
      <c r="B137" s="4">
        <v>3.7200000000000004E-2</v>
      </c>
      <c r="C137" s="12">
        <f t="shared" si="11"/>
        <v>4.1175000000000003E-2</v>
      </c>
      <c r="G137" s="3">
        <f>DATE(1971,3,1)</f>
        <v>25993</v>
      </c>
      <c r="H137" s="4">
        <v>3.7100000000000001E-2</v>
      </c>
      <c r="I137" s="12">
        <v>3.9300000000000002E-2</v>
      </c>
      <c r="J137" s="4">
        <f t="shared" si="8"/>
        <v>1.7562111801242231E-2</v>
      </c>
      <c r="K137" s="9">
        <f t="shared" si="9"/>
        <v>4.8400000000000028E-6</v>
      </c>
      <c r="L137" s="10">
        <f t="shared" si="10"/>
        <v>5.9299191374663085</v>
      </c>
    </row>
    <row r="138" spans="1:12" x14ac:dyDescent="0.15">
      <c r="A138" s="3">
        <f>DATE(1971,3,1)</f>
        <v>25993</v>
      </c>
      <c r="B138" s="4">
        <v>3.7100000000000001E-2</v>
      </c>
      <c r="C138" s="12">
        <f t="shared" si="11"/>
        <v>3.9300000000000002E-2</v>
      </c>
      <c r="G138" s="3">
        <f>DATE(1971,4,1)</f>
        <v>26024</v>
      </c>
      <c r="H138" s="4">
        <v>4.1500000000000002E-2</v>
      </c>
      <c r="I138" s="12">
        <v>4.0525000000000005E-2</v>
      </c>
      <c r="J138" s="4">
        <f t="shared" si="8"/>
        <v>1.3162111801242229E-2</v>
      </c>
      <c r="K138" s="9">
        <f t="shared" si="9"/>
        <v>9.5062499999999355E-7</v>
      </c>
      <c r="L138" s="10">
        <f t="shared" si="10"/>
        <v>2.3493975903614377</v>
      </c>
    </row>
    <row r="139" spans="1:12" x14ac:dyDescent="0.15">
      <c r="A139" s="3">
        <f>DATE(1971,4,1)</f>
        <v>26024</v>
      </c>
      <c r="B139" s="4">
        <v>4.1500000000000002E-2</v>
      </c>
      <c r="C139" s="12">
        <f t="shared" si="11"/>
        <v>4.0525000000000005E-2</v>
      </c>
      <c r="G139" s="3">
        <f>DATE(1971,5,1)</f>
        <v>26054</v>
      </c>
      <c r="H139" s="4">
        <v>4.6300000000000001E-2</v>
      </c>
      <c r="I139" s="12">
        <v>4.3500000000000004E-2</v>
      </c>
      <c r="J139" s="4">
        <f t="shared" si="8"/>
        <v>8.3621118012422307E-3</v>
      </c>
      <c r="K139" s="9">
        <f t="shared" si="9"/>
        <v>7.8399999999999825E-6</v>
      </c>
      <c r="L139" s="10">
        <f t="shared" si="10"/>
        <v>6.0475161987040966</v>
      </c>
    </row>
    <row r="140" spans="1:12" x14ac:dyDescent="0.15">
      <c r="A140" s="3">
        <f>DATE(1971,5,1)</f>
        <v>26054</v>
      </c>
      <c r="B140" s="4">
        <v>4.6300000000000001E-2</v>
      </c>
      <c r="C140" s="12">
        <f t="shared" si="11"/>
        <v>4.3500000000000004E-2</v>
      </c>
      <c r="G140" s="3">
        <f>DATE(1971,6,1)</f>
        <v>26085</v>
      </c>
      <c r="H140" s="4">
        <v>4.9100000000000005E-2</v>
      </c>
      <c r="I140" s="12">
        <v>4.7500000000000001E-2</v>
      </c>
      <c r="J140" s="4">
        <f t="shared" si="8"/>
        <v>5.5621118012422269E-3</v>
      </c>
      <c r="K140" s="9">
        <f t="shared" si="9"/>
        <v>2.5600000000000136E-6</v>
      </c>
      <c r="L140" s="10">
        <f t="shared" si="10"/>
        <v>3.2586558044806599</v>
      </c>
    </row>
    <row r="141" spans="1:12" x14ac:dyDescent="0.15">
      <c r="A141" s="3">
        <f>DATE(1971,6,1)</f>
        <v>26085</v>
      </c>
      <c r="B141" s="4">
        <v>4.9100000000000005E-2</v>
      </c>
      <c r="C141" s="12">
        <f t="shared" si="11"/>
        <v>4.7500000000000001E-2</v>
      </c>
      <c r="G141" s="3">
        <f>DATE(1971,7,1)</f>
        <v>26115</v>
      </c>
      <c r="H141" s="4">
        <v>5.3099999999999994E-2</v>
      </c>
      <c r="I141" s="12">
        <v>5.1025000000000001E-2</v>
      </c>
      <c r="J141" s="4">
        <f t="shared" si="8"/>
        <v>1.5621118012422372E-3</v>
      </c>
      <c r="K141" s="9">
        <f t="shared" si="9"/>
        <v>4.3056249999999729E-6</v>
      </c>
      <c r="L141" s="10">
        <f t="shared" si="10"/>
        <v>3.9077212806026247</v>
      </c>
    </row>
    <row r="142" spans="1:12" x14ac:dyDescent="0.15">
      <c r="A142" s="3">
        <f>DATE(1971,7,1)</f>
        <v>26115</v>
      </c>
      <c r="B142" s="4">
        <v>5.3099999999999994E-2</v>
      </c>
      <c r="C142" s="12">
        <f t="shared" si="11"/>
        <v>5.1025000000000001E-2</v>
      </c>
      <c r="G142" s="3">
        <f>DATE(1971,8,1)</f>
        <v>26146</v>
      </c>
      <c r="H142" s="4">
        <v>5.5599999999999997E-2</v>
      </c>
      <c r="I142" s="12">
        <v>5.3324999999999997E-2</v>
      </c>
      <c r="J142" s="4">
        <f t="shared" si="8"/>
        <v>9.3788819875776502E-4</v>
      </c>
      <c r="K142" s="9">
        <f t="shared" si="9"/>
        <v>5.1756249999999967E-6</v>
      </c>
      <c r="L142" s="10">
        <f t="shared" si="10"/>
        <v>4.0917266187050352</v>
      </c>
    </row>
    <row r="143" spans="1:12" x14ac:dyDescent="0.15">
      <c r="A143" s="3">
        <f>DATE(1971,8,1)</f>
        <v>26146</v>
      </c>
      <c r="B143" s="4">
        <v>5.5599999999999997E-2</v>
      </c>
      <c r="C143" s="12">
        <f t="shared" si="11"/>
        <v>5.3324999999999997E-2</v>
      </c>
      <c r="G143" s="3">
        <f>DATE(1971,9,1)</f>
        <v>26177</v>
      </c>
      <c r="H143" s="4">
        <v>5.5500000000000001E-2</v>
      </c>
      <c r="I143" s="12">
        <v>5.4050000000000001E-2</v>
      </c>
      <c r="J143" s="4">
        <f t="shared" si="8"/>
        <v>8.378881987577691E-4</v>
      </c>
      <c r="K143" s="9">
        <f t="shared" si="9"/>
        <v>2.1024999999999998E-6</v>
      </c>
      <c r="L143" s="10">
        <f t="shared" si="10"/>
        <v>2.6126126126126121</v>
      </c>
    </row>
    <row r="144" spans="1:12" x14ac:dyDescent="0.15">
      <c r="A144" s="3">
        <f>DATE(1971,9,1)</f>
        <v>26177</v>
      </c>
      <c r="B144" s="4">
        <v>5.5500000000000001E-2</v>
      </c>
      <c r="C144" s="12">
        <f t="shared" si="11"/>
        <v>5.4050000000000001E-2</v>
      </c>
      <c r="G144" s="3">
        <f>DATE(1971,10,1)</f>
        <v>26207</v>
      </c>
      <c r="H144" s="4">
        <v>5.2000000000000005E-2</v>
      </c>
      <c r="I144" s="12">
        <v>5.3050000000000007E-2</v>
      </c>
      <c r="J144" s="4">
        <f t="shared" si="8"/>
        <v>2.6621118012422271E-3</v>
      </c>
      <c r="K144" s="9">
        <f t="shared" si="9"/>
        <v>1.1025000000000049E-6</v>
      </c>
      <c r="L144" s="10">
        <f t="shared" si="10"/>
        <v>2.0192307692307736</v>
      </c>
    </row>
    <row r="145" spans="1:12" x14ac:dyDescent="0.15">
      <c r="A145" s="3">
        <f>DATE(1971,10,1)</f>
        <v>26207</v>
      </c>
      <c r="B145" s="4">
        <v>5.2000000000000005E-2</v>
      </c>
      <c r="C145" s="12">
        <f t="shared" si="11"/>
        <v>5.3050000000000007E-2</v>
      </c>
      <c r="G145" s="3">
        <f>DATE(1971,11,1)</f>
        <v>26238</v>
      </c>
      <c r="H145" s="4">
        <v>4.9100000000000005E-2</v>
      </c>
      <c r="I145" s="12">
        <v>4.9500000000000002E-2</v>
      </c>
      <c r="J145" s="4">
        <f t="shared" si="8"/>
        <v>5.5621118012422269E-3</v>
      </c>
      <c r="K145" s="9">
        <f t="shared" si="9"/>
        <v>1.5999999999999807E-7</v>
      </c>
      <c r="L145" s="10">
        <f t="shared" si="10"/>
        <v>0.81466395112015799</v>
      </c>
    </row>
    <row r="146" spans="1:12" x14ac:dyDescent="0.15">
      <c r="A146" s="3">
        <f>DATE(1971,11,1)</f>
        <v>26238</v>
      </c>
      <c r="B146" s="4">
        <v>4.9100000000000005E-2</v>
      </c>
      <c r="C146" s="12">
        <f t="shared" si="11"/>
        <v>4.9500000000000002E-2</v>
      </c>
      <c r="G146" s="3">
        <f>DATE(1971,12,1)</f>
        <v>26268</v>
      </c>
      <c r="H146" s="4">
        <v>4.1399999999999999E-2</v>
      </c>
      <c r="I146" s="12">
        <v>4.4375000000000005E-2</v>
      </c>
      <c r="J146" s="4">
        <f t="shared" si="8"/>
        <v>1.3262111801242232E-2</v>
      </c>
      <c r="K146" s="9">
        <f t="shared" si="9"/>
        <v>8.8506250000000318E-6</v>
      </c>
      <c r="L146" s="10">
        <f t="shared" si="10"/>
        <v>7.1859903381642649</v>
      </c>
    </row>
    <row r="147" spans="1:12" x14ac:dyDescent="0.15">
      <c r="A147" s="3">
        <f>DATE(1971,12,1)</f>
        <v>26268</v>
      </c>
      <c r="B147" s="4">
        <v>4.1399999999999999E-2</v>
      </c>
      <c r="C147" s="12">
        <f t="shared" si="11"/>
        <v>4.4375000000000005E-2</v>
      </c>
      <c r="G147" s="3">
        <f>DATE(1972,1,1)</f>
        <v>26299</v>
      </c>
      <c r="H147" s="4">
        <v>3.5000000000000003E-2</v>
      </c>
      <c r="I147" s="12">
        <v>3.9599999999999996E-2</v>
      </c>
      <c r="J147" s="4">
        <f t="shared" si="8"/>
        <v>1.9662111801242228E-2</v>
      </c>
      <c r="K147" s="9">
        <f t="shared" si="9"/>
        <v>2.1159999999999936E-5</v>
      </c>
      <c r="L147" s="10">
        <f t="shared" si="10"/>
        <v>13.142857142857123</v>
      </c>
    </row>
    <row r="148" spans="1:12" x14ac:dyDescent="0.15">
      <c r="A148" s="3">
        <f>DATE(1972,1,1)</f>
        <v>26299</v>
      </c>
      <c r="B148" s="4">
        <v>3.5000000000000003E-2</v>
      </c>
      <c r="C148" s="12">
        <f t="shared" si="11"/>
        <v>3.9599999999999996E-2</v>
      </c>
      <c r="G148" s="3">
        <f>DATE(1972,2,1)</f>
        <v>26330</v>
      </c>
      <c r="H148" s="4">
        <v>3.2899999999999999E-2</v>
      </c>
      <c r="I148" s="12">
        <v>3.6900000000000002E-2</v>
      </c>
      <c r="J148" s="4">
        <f t="shared" si="8"/>
        <v>2.1762111801242233E-2</v>
      </c>
      <c r="K148" s="9">
        <f t="shared" si="9"/>
        <v>1.600000000000003E-5</v>
      </c>
      <c r="L148" s="10">
        <f t="shared" si="10"/>
        <v>12.158054711246212</v>
      </c>
    </row>
    <row r="149" spans="1:12" x14ac:dyDescent="0.15">
      <c r="A149" s="3">
        <f>DATE(1972,2,1)</f>
        <v>26330</v>
      </c>
      <c r="B149" s="4">
        <v>3.2899999999999999E-2</v>
      </c>
      <c r="C149" s="12">
        <f t="shared" si="11"/>
        <v>3.6900000000000002E-2</v>
      </c>
      <c r="G149" s="3">
        <f>DATE(1972,3,1)</f>
        <v>26359</v>
      </c>
      <c r="H149" s="4">
        <v>3.8300000000000001E-2</v>
      </c>
      <c r="I149" s="12">
        <v>3.6975000000000001E-2</v>
      </c>
      <c r="J149" s="4">
        <f t="shared" si="8"/>
        <v>1.6362111801242231E-2</v>
      </c>
      <c r="K149" s="9">
        <f t="shared" si="9"/>
        <v>1.7556249999999994E-6</v>
      </c>
      <c r="L149" s="10">
        <f t="shared" si="10"/>
        <v>3.4595300261096598</v>
      </c>
    </row>
    <row r="150" spans="1:12" x14ac:dyDescent="0.15">
      <c r="A150" s="3">
        <f>DATE(1972,3,1)</f>
        <v>26359</v>
      </c>
      <c r="B150" s="4">
        <v>3.8300000000000001E-2</v>
      </c>
      <c r="C150" s="12">
        <f t="shared" si="11"/>
        <v>3.6975000000000001E-2</v>
      </c>
      <c r="G150" s="3">
        <f>DATE(1972,4,1)</f>
        <v>26390</v>
      </c>
      <c r="H150" s="4">
        <v>4.1700000000000001E-2</v>
      </c>
      <c r="I150" s="12">
        <v>3.8899999999999997E-2</v>
      </c>
      <c r="J150" s="4">
        <f t="shared" si="8"/>
        <v>1.2962111801242231E-2</v>
      </c>
      <c r="K150" s="9">
        <f t="shared" si="9"/>
        <v>7.8400000000000215E-6</v>
      </c>
      <c r="L150" s="10">
        <f t="shared" si="10"/>
        <v>6.7146282973621201</v>
      </c>
    </row>
    <row r="151" spans="1:12" x14ac:dyDescent="0.15">
      <c r="A151" s="3">
        <f>DATE(1972,4,1)</f>
        <v>26390</v>
      </c>
      <c r="B151" s="4">
        <v>4.1700000000000001E-2</v>
      </c>
      <c r="C151" s="12">
        <f t="shared" si="11"/>
        <v>3.8899999999999997E-2</v>
      </c>
      <c r="G151" s="3">
        <f>DATE(1972,5,1)</f>
        <v>26420</v>
      </c>
      <c r="H151" s="4">
        <v>4.2699999999999995E-2</v>
      </c>
      <c r="I151" s="12">
        <v>4.1825000000000001E-2</v>
      </c>
      <c r="J151" s="4">
        <f t="shared" si="8"/>
        <v>1.1962111801242237E-2</v>
      </c>
      <c r="K151" s="9">
        <f t="shared" si="9"/>
        <v>7.6562499999998918E-7</v>
      </c>
      <c r="L151" s="10">
        <f t="shared" si="10"/>
        <v>2.0491803278688385</v>
      </c>
    </row>
    <row r="152" spans="1:12" x14ac:dyDescent="0.15">
      <c r="A152" s="3">
        <f>DATE(1972,5,1)</f>
        <v>26420</v>
      </c>
      <c r="B152" s="4">
        <v>4.2699999999999995E-2</v>
      </c>
      <c r="C152" s="12">
        <f t="shared" si="11"/>
        <v>4.1825000000000001E-2</v>
      </c>
      <c r="G152" s="3">
        <f>DATE(1972,6,1)</f>
        <v>26451</v>
      </c>
      <c r="H152" s="4">
        <v>4.4600000000000001E-2</v>
      </c>
      <c r="I152" s="12">
        <v>4.3624999999999997E-2</v>
      </c>
      <c r="J152" s="4">
        <f t="shared" si="8"/>
        <v>1.0062111801242231E-2</v>
      </c>
      <c r="K152" s="9">
        <f t="shared" si="9"/>
        <v>9.506250000000071E-7</v>
      </c>
      <c r="L152" s="10">
        <f t="shared" si="10"/>
        <v>2.1860986547085282</v>
      </c>
    </row>
    <row r="153" spans="1:12" x14ac:dyDescent="0.15">
      <c r="A153" s="3">
        <f>DATE(1972,6,1)</f>
        <v>26451</v>
      </c>
      <c r="B153" s="4">
        <v>4.4600000000000001E-2</v>
      </c>
      <c r="C153" s="12">
        <f t="shared" si="11"/>
        <v>4.3624999999999997E-2</v>
      </c>
      <c r="G153" s="3">
        <f>DATE(1972,7,1)</f>
        <v>26481</v>
      </c>
      <c r="H153" s="4">
        <v>4.5499999999999999E-2</v>
      </c>
      <c r="I153" s="12">
        <v>4.519999999999999E-2</v>
      </c>
      <c r="J153" s="4">
        <f t="shared" si="8"/>
        <v>9.1621118012422328E-3</v>
      </c>
      <c r="K153" s="9">
        <f t="shared" si="9"/>
        <v>9.000000000000516E-8</v>
      </c>
      <c r="L153" s="10">
        <f t="shared" si="10"/>
        <v>0.6593406593406782</v>
      </c>
    </row>
    <row r="154" spans="1:12" x14ac:dyDescent="0.15">
      <c r="A154" s="3">
        <f>DATE(1972,7,1)</f>
        <v>26481</v>
      </c>
      <c r="B154" s="4">
        <v>4.5499999999999999E-2</v>
      </c>
      <c r="C154" s="12">
        <f t="shared" si="11"/>
        <v>4.519999999999999E-2</v>
      </c>
      <c r="G154" s="3">
        <f>DATE(1972,8,1)</f>
        <v>26512</v>
      </c>
      <c r="H154" s="4">
        <v>4.8000000000000001E-2</v>
      </c>
      <c r="I154" s="12">
        <v>4.6699999999999998E-2</v>
      </c>
      <c r="J154" s="4">
        <f t="shared" si="8"/>
        <v>6.6621118012422306E-3</v>
      </c>
      <c r="K154" s="9">
        <f t="shared" si="9"/>
        <v>1.6900000000000067E-6</v>
      </c>
      <c r="L154" s="10">
        <f t="shared" si="10"/>
        <v>2.7083333333333388</v>
      </c>
    </row>
    <row r="155" spans="1:12" x14ac:dyDescent="0.15">
      <c r="A155" s="3">
        <f>DATE(1972,8,1)</f>
        <v>26512</v>
      </c>
      <c r="B155" s="4">
        <v>4.8000000000000001E-2</v>
      </c>
      <c r="C155" s="12">
        <f t="shared" si="11"/>
        <v>4.6699999999999998E-2</v>
      </c>
      <c r="G155" s="3">
        <f>DATE(1972,9,1)</f>
        <v>26543</v>
      </c>
      <c r="H155" s="4">
        <v>4.87E-2</v>
      </c>
      <c r="I155" s="12">
        <v>4.8149999999999998E-2</v>
      </c>
      <c r="J155" s="4">
        <f t="shared" si="8"/>
        <v>5.9621118012422314E-3</v>
      </c>
      <c r="K155" s="9">
        <f t="shared" si="9"/>
        <v>3.0250000000000208E-7</v>
      </c>
      <c r="L155" s="10">
        <f t="shared" si="10"/>
        <v>1.1293634496919958</v>
      </c>
    </row>
    <row r="156" spans="1:12" x14ac:dyDescent="0.15">
      <c r="A156" s="3">
        <f>DATE(1972,9,1)</f>
        <v>26543</v>
      </c>
      <c r="B156" s="4">
        <v>4.87E-2</v>
      </c>
      <c r="C156" s="12">
        <f t="shared" si="11"/>
        <v>4.8149999999999998E-2</v>
      </c>
      <c r="G156" s="3">
        <f>DATE(1972,10,1)</f>
        <v>26573</v>
      </c>
      <c r="H156" s="4">
        <v>5.04E-2</v>
      </c>
      <c r="I156" s="12">
        <v>4.9425000000000004E-2</v>
      </c>
      <c r="J156" s="4">
        <f t="shared" si="8"/>
        <v>4.2621118012422313E-3</v>
      </c>
      <c r="K156" s="9">
        <f t="shared" si="9"/>
        <v>9.5062499999999355E-7</v>
      </c>
      <c r="L156" s="10">
        <f t="shared" si="10"/>
        <v>1.9345238095238031</v>
      </c>
    </row>
    <row r="157" spans="1:12" x14ac:dyDescent="0.15">
      <c r="A157" s="3">
        <f>DATE(1972,10,1)</f>
        <v>26573</v>
      </c>
      <c r="B157" s="4">
        <v>5.04E-2</v>
      </c>
      <c r="C157" s="12">
        <f t="shared" si="11"/>
        <v>4.9425000000000004E-2</v>
      </c>
      <c r="G157" s="3">
        <f>DATE(1972,11,1)</f>
        <v>26604</v>
      </c>
      <c r="H157" s="4">
        <v>5.0599999999999999E-2</v>
      </c>
      <c r="I157" s="12">
        <v>5.0750000000000003E-2</v>
      </c>
      <c r="J157" s="4">
        <f t="shared" si="8"/>
        <v>4.0621118012422325E-3</v>
      </c>
      <c r="K157" s="9">
        <f t="shared" si="9"/>
        <v>2.250000000000129E-8</v>
      </c>
      <c r="L157" s="10">
        <f t="shared" si="10"/>
        <v>0.29644268774704408</v>
      </c>
    </row>
    <row r="158" spans="1:12" x14ac:dyDescent="0.15">
      <c r="A158" s="3">
        <f>DATE(1972,11,1)</f>
        <v>26604</v>
      </c>
      <c r="B158" s="4">
        <v>5.0599999999999999E-2</v>
      </c>
      <c r="C158" s="12">
        <f t="shared" si="11"/>
        <v>5.0750000000000003E-2</v>
      </c>
      <c r="G158" s="3">
        <f>DATE(1972,12,1)</f>
        <v>26634</v>
      </c>
      <c r="H158" s="4">
        <v>5.33E-2</v>
      </c>
      <c r="I158" s="12">
        <v>5.3425E-2</v>
      </c>
      <c r="J158" s="4">
        <f t="shared" si="8"/>
        <v>1.3621118012422315E-3</v>
      </c>
      <c r="K158" s="9">
        <f t="shared" si="9"/>
        <v>1.5625000000000029E-8</v>
      </c>
      <c r="L158" s="10">
        <f t="shared" si="10"/>
        <v>0.23452157598499082</v>
      </c>
    </row>
    <row r="159" spans="1:12" x14ac:dyDescent="0.15">
      <c r="A159" s="3">
        <f>DATE(1972,12,1)</f>
        <v>26634</v>
      </c>
      <c r="B159" s="4">
        <v>5.33E-2</v>
      </c>
      <c r="C159" s="12">
        <f t="shared" si="11"/>
        <v>5.3425E-2</v>
      </c>
      <c r="G159" s="3">
        <f>DATE(1973,1,1)</f>
        <v>26665</v>
      </c>
      <c r="H159" s="4">
        <v>5.9400000000000001E-2</v>
      </c>
      <c r="I159" s="12">
        <v>5.7275E-2</v>
      </c>
      <c r="J159" s="4">
        <f t="shared" si="8"/>
        <v>4.7378881987577698E-3</v>
      </c>
      <c r="K159" s="9">
        <f t="shared" si="9"/>
        <v>4.5156250000000081E-6</v>
      </c>
      <c r="L159" s="10">
        <f t="shared" si="10"/>
        <v>3.5774410774410805</v>
      </c>
    </row>
    <row r="160" spans="1:12" x14ac:dyDescent="0.15">
      <c r="A160" s="3">
        <f>DATE(1973,1,1)</f>
        <v>26665</v>
      </c>
      <c r="B160" s="4">
        <v>5.9400000000000001E-2</v>
      </c>
      <c r="C160" s="12">
        <f t="shared" si="11"/>
        <v>5.7275E-2</v>
      </c>
      <c r="G160" s="3">
        <f>DATE(1973,2,1)</f>
        <v>26696</v>
      </c>
      <c r="H160" s="4">
        <v>6.5799999999999997E-2</v>
      </c>
      <c r="I160" s="12">
        <v>6.2350000000000003E-2</v>
      </c>
      <c r="J160" s="4">
        <f t="shared" si="8"/>
        <v>1.1137888198757766E-2</v>
      </c>
      <c r="K160" s="9">
        <f t="shared" si="9"/>
        <v>1.1902499999999964E-5</v>
      </c>
      <c r="L160" s="10">
        <f t="shared" si="10"/>
        <v>5.2431610942249165</v>
      </c>
    </row>
    <row r="161" spans="1:12" x14ac:dyDescent="0.15">
      <c r="A161" s="3">
        <f>DATE(1973,2,1)</f>
        <v>26696</v>
      </c>
      <c r="B161" s="4">
        <v>6.5799999999999997E-2</v>
      </c>
      <c r="C161" s="12">
        <f t="shared" si="11"/>
        <v>6.2350000000000003E-2</v>
      </c>
      <c r="G161" s="3">
        <f>DATE(1973,3,1)</f>
        <v>26724</v>
      </c>
      <c r="H161" s="4">
        <v>7.0900000000000005E-2</v>
      </c>
      <c r="I161" s="12">
        <v>6.6824999999999996E-2</v>
      </c>
      <c r="J161" s="4">
        <f t="shared" si="8"/>
        <v>1.6237888198757773E-2</v>
      </c>
      <c r="K161" s="9">
        <f t="shared" si="9"/>
        <v>1.6605625000000075E-5</v>
      </c>
      <c r="L161" s="10">
        <f t="shared" si="10"/>
        <v>5.7475317348378123</v>
      </c>
    </row>
    <row r="162" spans="1:12" x14ac:dyDescent="0.15">
      <c r="A162" s="3">
        <f>DATE(1973,3,1)</f>
        <v>26724</v>
      </c>
      <c r="B162" s="4">
        <v>7.0900000000000005E-2</v>
      </c>
      <c r="C162" s="12">
        <f t="shared" si="11"/>
        <v>6.6824999999999996E-2</v>
      </c>
      <c r="G162" s="3">
        <f>DATE(1973,4,1)</f>
        <v>26755</v>
      </c>
      <c r="H162" s="4">
        <v>7.1199999999999999E-2</v>
      </c>
      <c r="I162" s="12">
        <v>7.1575E-2</v>
      </c>
      <c r="J162" s="4">
        <f t="shared" si="8"/>
        <v>1.6537888198757768E-2</v>
      </c>
      <c r="K162" s="9">
        <f t="shared" si="9"/>
        <v>1.4062500000000024E-7</v>
      </c>
      <c r="L162" s="10">
        <f t="shared" si="10"/>
        <v>0.52668539325842745</v>
      </c>
    </row>
    <row r="163" spans="1:12" x14ac:dyDescent="0.15">
      <c r="A163" s="3">
        <f>DATE(1973,4,1)</f>
        <v>26755</v>
      </c>
      <c r="B163" s="4">
        <v>7.1199999999999999E-2</v>
      </c>
      <c r="C163" s="12">
        <f t="shared" si="11"/>
        <v>7.1575E-2</v>
      </c>
      <c r="G163" s="3">
        <f>DATE(1973,5,1)</f>
        <v>26785</v>
      </c>
      <c r="H163" s="4">
        <v>7.8399999999999997E-2</v>
      </c>
      <c r="I163" s="12">
        <v>7.6350000000000001E-2</v>
      </c>
      <c r="J163" s="4">
        <f t="shared" si="8"/>
        <v>2.3737888198757766E-2</v>
      </c>
      <c r="K163" s="9">
        <f t="shared" si="9"/>
        <v>4.2024999999999848E-6</v>
      </c>
      <c r="L163" s="10">
        <f t="shared" si="10"/>
        <v>2.6147959183673422</v>
      </c>
    </row>
    <row r="164" spans="1:12" x14ac:dyDescent="0.15">
      <c r="A164" s="3">
        <f>DATE(1973,5,1)</f>
        <v>26785</v>
      </c>
      <c r="B164" s="4">
        <v>7.8399999999999997E-2</v>
      </c>
      <c r="C164" s="12">
        <f t="shared" si="11"/>
        <v>7.6350000000000001E-2</v>
      </c>
      <c r="G164" s="3">
        <f>DATE(1973,6,1)</f>
        <v>26816</v>
      </c>
      <c r="H164" s="4">
        <v>8.4900000000000003E-2</v>
      </c>
      <c r="I164" s="12">
        <v>8.4625000000000006E-2</v>
      </c>
      <c r="J164" s="4">
        <f t="shared" si="8"/>
        <v>3.0237888198757772E-2</v>
      </c>
      <c r="K164" s="9">
        <f t="shared" si="9"/>
        <v>7.5624999999998614E-8</v>
      </c>
      <c r="L164" s="10">
        <f t="shared" si="10"/>
        <v>0.32391048292108066</v>
      </c>
    </row>
    <row r="165" spans="1:12" x14ac:dyDescent="0.15">
      <c r="A165" s="3">
        <f>DATE(1973,6,1)</f>
        <v>26816</v>
      </c>
      <c r="B165" s="4">
        <v>8.4900000000000003E-2</v>
      </c>
      <c r="C165" s="12">
        <f t="shared" si="11"/>
        <v>8.4625000000000006E-2</v>
      </c>
      <c r="G165" s="3">
        <f>DATE(1973,7,1)</f>
        <v>26846</v>
      </c>
      <c r="H165" s="4">
        <v>0.10400000000000001</v>
      </c>
      <c r="I165" s="12">
        <v>9.3074999999999991E-2</v>
      </c>
      <c r="J165" s="4">
        <f t="shared" si="8"/>
        <v>4.9337888198757777E-2</v>
      </c>
      <c r="K165" s="9">
        <f t="shared" si="9"/>
        <v>1.1935562500000039E-4</v>
      </c>
      <c r="L165" s="10">
        <f t="shared" si="10"/>
        <v>10.504807692307709</v>
      </c>
    </row>
    <row r="166" spans="1:12" x14ac:dyDescent="0.15">
      <c r="A166" s="3">
        <f>DATE(1973,7,1)</f>
        <v>26846</v>
      </c>
      <c r="B166" s="4">
        <v>0.10400000000000001</v>
      </c>
      <c r="C166" s="12">
        <f t="shared" si="11"/>
        <v>9.3074999999999991E-2</v>
      </c>
      <c r="G166" s="3">
        <f>DATE(1973,8,1)</f>
        <v>26877</v>
      </c>
      <c r="H166" s="4">
        <v>0.105</v>
      </c>
      <c r="I166" s="12">
        <v>0.100425</v>
      </c>
      <c r="J166" s="4">
        <f t="shared" si="8"/>
        <v>5.0337888198757764E-2</v>
      </c>
      <c r="K166" s="9">
        <f t="shared" si="9"/>
        <v>2.093062499999996E-5</v>
      </c>
      <c r="L166" s="10">
        <f t="shared" si="10"/>
        <v>4.3571428571428532</v>
      </c>
    </row>
    <row r="167" spans="1:12" x14ac:dyDescent="0.15">
      <c r="A167" s="3">
        <f>DATE(1973,8,1)</f>
        <v>26877</v>
      </c>
      <c r="B167" s="4">
        <v>0.105</v>
      </c>
      <c r="C167" s="12">
        <f t="shared" si="11"/>
        <v>0.100425</v>
      </c>
      <c r="G167" s="3">
        <f>DATE(1973,9,1)</f>
        <v>26908</v>
      </c>
      <c r="H167" s="4">
        <v>0.10779999999999999</v>
      </c>
      <c r="I167" s="12">
        <v>0.10422500000000001</v>
      </c>
      <c r="J167" s="4">
        <f t="shared" si="8"/>
        <v>5.3137888198757761E-2</v>
      </c>
      <c r="K167" s="9">
        <f t="shared" si="9"/>
        <v>1.2780624999999864E-5</v>
      </c>
      <c r="L167" s="10">
        <f t="shared" si="10"/>
        <v>3.3163265306122276</v>
      </c>
    </row>
    <row r="168" spans="1:12" x14ac:dyDescent="0.15">
      <c r="A168" s="3">
        <f>DATE(1973,9,1)</f>
        <v>26908</v>
      </c>
      <c r="B168" s="4">
        <v>0.10779999999999999</v>
      </c>
      <c r="C168" s="12">
        <f t="shared" si="11"/>
        <v>0.10422500000000001</v>
      </c>
      <c r="G168" s="3">
        <f>DATE(1973,10,1)</f>
        <v>26938</v>
      </c>
      <c r="H168" s="4">
        <v>0.10009999999999999</v>
      </c>
      <c r="I168" s="12">
        <v>0.10329999999999999</v>
      </c>
      <c r="J168" s="4">
        <f t="shared" si="8"/>
        <v>4.5437888198757763E-2</v>
      </c>
      <c r="K168" s="9">
        <f t="shared" si="9"/>
        <v>1.0239999999999965E-5</v>
      </c>
      <c r="L168" s="10">
        <f t="shared" si="10"/>
        <v>3.1968031968031911</v>
      </c>
    </row>
    <row r="169" spans="1:12" x14ac:dyDescent="0.15">
      <c r="A169" s="3">
        <f>DATE(1973,10,1)</f>
        <v>26938</v>
      </c>
      <c r="B169" s="4">
        <v>0.10009999999999999</v>
      </c>
      <c r="C169" s="12">
        <f t="shared" si="11"/>
        <v>0.10329999999999999</v>
      </c>
      <c r="G169" s="3">
        <f>DATE(1973,11,1)</f>
        <v>26969</v>
      </c>
      <c r="H169" s="4">
        <v>0.1003</v>
      </c>
      <c r="I169" s="12">
        <v>0.10192499999999999</v>
      </c>
      <c r="J169" s="4">
        <f t="shared" si="8"/>
        <v>4.5637888198757769E-2</v>
      </c>
      <c r="K169" s="9">
        <f t="shared" si="9"/>
        <v>2.6406249999999596E-6</v>
      </c>
      <c r="L169" s="10">
        <f t="shared" si="10"/>
        <v>1.6201395812562187</v>
      </c>
    </row>
    <row r="170" spans="1:12" x14ac:dyDescent="0.15">
      <c r="A170" s="3">
        <f>DATE(1973,11,1)</f>
        <v>26969</v>
      </c>
      <c r="B170" s="4">
        <v>0.1003</v>
      </c>
      <c r="C170" s="12">
        <f t="shared" si="11"/>
        <v>0.10192499999999999</v>
      </c>
      <c r="G170" s="3">
        <f>DATE(1973,12,1)</f>
        <v>26999</v>
      </c>
      <c r="H170" s="4">
        <v>9.9499999999999991E-2</v>
      </c>
      <c r="I170" s="12">
        <v>9.9099999999999994E-2</v>
      </c>
      <c r="J170" s="4">
        <f t="shared" si="8"/>
        <v>4.483788819875776E-2</v>
      </c>
      <c r="K170" s="9">
        <f t="shared" si="9"/>
        <v>1.5999999999999807E-7</v>
      </c>
      <c r="L170" s="10">
        <f t="shared" si="10"/>
        <v>0.40201005025125391</v>
      </c>
    </row>
    <row r="171" spans="1:12" x14ac:dyDescent="0.15">
      <c r="A171" s="3">
        <f>DATE(1973,12,1)</f>
        <v>26999</v>
      </c>
      <c r="B171" s="4">
        <v>9.9499999999999991E-2</v>
      </c>
      <c r="C171" s="12">
        <f t="shared" si="11"/>
        <v>9.9099999999999994E-2</v>
      </c>
      <c r="G171" s="3">
        <f>DATE(1974,1,1)</f>
        <v>27030</v>
      </c>
      <c r="H171" s="4">
        <v>9.6500000000000002E-2</v>
      </c>
      <c r="I171" s="12">
        <v>9.6500000000000002E-2</v>
      </c>
      <c r="J171" s="4">
        <f t="shared" si="8"/>
        <v>4.1837888198757771E-2</v>
      </c>
      <c r="K171" s="9">
        <f t="shared" si="9"/>
        <v>0</v>
      </c>
      <c r="L171" s="10">
        <f t="shared" si="10"/>
        <v>0</v>
      </c>
    </row>
    <row r="172" spans="1:12" x14ac:dyDescent="0.15">
      <c r="A172" s="3">
        <f>DATE(1974,1,1)</f>
        <v>27030</v>
      </c>
      <c r="B172" s="4">
        <v>9.6500000000000002E-2</v>
      </c>
      <c r="C172" s="12">
        <f t="shared" si="11"/>
        <v>9.6500000000000002E-2</v>
      </c>
      <c r="G172" s="3">
        <f>DATE(1974,2,1)</f>
        <v>27061</v>
      </c>
      <c r="H172" s="4">
        <v>8.9700000000000002E-2</v>
      </c>
      <c r="I172" s="12">
        <v>9.4799999999999995E-2</v>
      </c>
      <c r="J172" s="4">
        <f t="shared" si="8"/>
        <v>3.503788819875777E-2</v>
      </c>
      <c r="K172" s="9">
        <f t="shared" si="9"/>
        <v>2.6009999999999932E-5</v>
      </c>
      <c r="L172" s="10">
        <f t="shared" si="10"/>
        <v>5.6856187290969826</v>
      </c>
    </row>
    <row r="173" spans="1:12" x14ac:dyDescent="0.15">
      <c r="A173" s="3">
        <f>DATE(1974,2,1)</f>
        <v>27061</v>
      </c>
      <c r="B173" s="4">
        <v>8.9700000000000002E-2</v>
      </c>
      <c r="C173" s="12">
        <f t="shared" si="11"/>
        <v>9.4799999999999995E-2</v>
      </c>
      <c r="G173" s="3">
        <f>DATE(1974,3,1)</f>
        <v>27089</v>
      </c>
      <c r="H173" s="4">
        <v>9.35E-2</v>
      </c>
      <c r="I173" s="12">
        <v>9.6200000000000008E-2</v>
      </c>
      <c r="J173" s="4">
        <f t="shared" si="8"/>
        <v>3.8837888198757768E-2</v>
      </c>
      <c r="K173" s="9">
        <f t="shared" si="9"/>
        <v>7.2900000000000429E-6</v>
      </c>
      <c r="L173" s="10">
        <f t="shared" si="10"/>
        <v>2.8877005347593667</v>
      </c>
    </row>
    <row r="174" spans="1:12" x14ac:dyDescent="0.15">
      <c r="A174" s="3">
        <f>DATE(1974,3,1)</f>
        <v>27089</v>
      </c>
      <c r="B174" s="4">
        <v>9.35E-2</v>
      </c>
      <c r="C174" s="12">
        <f t="shared" si="11"/>
        <v>9.6200000000000008E-2</v>
      </c>
      <c r="G174" s="3">
        <f>DATE(1974,4,1)</f>
        <v>27120</v>
      </c>
      <c r="H174" s="4">
        <v>0.1051</v>
      </c>
      <c r="I174" s="12">
        <v>0.10034999999999999</v>
      </c>
      <c r="J174" s="4">
        <f t="shared" si="8"/>
        <v>5.0437888198757767E-2</v>
      </c>
      <c r="K174" s="9">
        <f t="shared" si="9"/>
        <v>2.256250000000004E-5</v>
      </c>
      <c r="L174" s="10">
        <f t="shared" si="10"/>
        <v>4.5195052331113272</v>
      </c>
    </row>
    <row r="175" spans="1:12" x14ac:dyDescent="0.15">
      <c r="A175" s="3">
        <f>DATE(1974,4,1)</f>
        <v>27120</v>
      </c>
      <c r="B175" s="4">
        <v>0.1051</v>
      </c>
      <c r="C175" s="12">
        <f t="shared" si="11"/>
        <v>0.10034999999999999</v>
      </c>
      <c r="G175" s="3">
        <f>DATE(1974,5,1)</f>
        <v>27150</v>
      </c>
      <c r="H175" s="4">
        <v>0.11310000000000001</v>
      </c>
      <c r="I175" s="12">
        <v>0.10775</v>
      </c>
      <c r="J175" s="4">
        <f t="shared" si="8"/>
        <v>5.8437888198757774E-2</v>
      </c>
      <c r="K175" s="9">
        <f t="shared" si="9"/>
        <v>2.862250000000008E-5</v>
      </c>
      <c r="L175" s="10">
        <f t="shared" si="10"/>
        <v>4.7303271441202543</v>
      </c>
    </row>
    <row r="176" spans="1:12" x14ac:dyDescent="0.15">
      <c r="A176" s="3">
        <f>DATE(1974,5,1)</f>
        <v>27150</v>
      </c>
      <c r="B176" s="4">
        <v>0.11310000000000001</v>
      </c>
      <c r="C176" s="12">
        <f t="shared" si="11"/>
        <v>0.10775</v>
      </c>
      <c r="G176" s="3">
        <f>DATE(1974,6,1)</f>
        <v>27181</v>
      </c>
      <c r="H176" s="4">
        <v>0.1193</v>
      </c>
      <c r="I176" s="12">
        <v>0.116675</v>
      </c>
      <c r="J176" s="4">
        <f t="shared" si="8"/>
        <v>6.4637888198757765E-2</v>
      </c>
      <c r="K176" s="9">
        <f t="shared" si="9"/>
        <v>6.8906250000000125E-6</v>
      </c>
      <c r="L176" s="10">
        <f t="shared" si="10"/>
        <v>2.2003352891869254</v>
      </c>
    </row>
    <row r="177" spans="1:12" x14ac:dyDescent="0.15">
      <c r="A177" s="3">
        <f>DATE(1974,6,1)</f>
        <v>27181</v>
      </c>
      <c r="B177" s="4">
        <v>0.1193</v>
      </c>
      <c r="C177" s="12">
        <f t="shared" si="11"/>
        <v>0.116675</v>
      </c>
      <c r="G177" s="3">
        <f>DATE(1974,7,1)</f>
        <v>27211</v>
      </c>
      <c r="H177" s="4">
        <v>0.12920000000000001</v>
      </c>
      <c r="I177" s="12">
        <v>0.120425</v>
      </c>
      <c r="J177" s="4">
        <f t="shared" si="8"/>
        <v>7.4537888198757785E-2</v>
      </c>
      <c r="K177" s="9">
        <f t="shared" si="9"/>
        <v>7.7000625000000093E-5</v>
      </c>
      <c r="L177" s="10">
        <f t="shared" si="10"/>
        <v>6.7917956656346785</v>
      </c>
    </row>
    <row r="178" spans="1:12" x14ac:dyDescent="0.15">
      <c r="A178" s="3">
        <f>DATE(1974,7,1)</f>
        <v>27211</v>
      </c>
      <c r="B178" s="4">
        <v>0.12920000000000001</v>
      </c>
      <c r="C178" s="12">
        <f t="shared" si="11"/>
        <v>0.120425</v>
      </c>
      <c r="G178" s="3">
        <f>DATE(1974,8,1)</f>
        <v>27242</v>
      </c>
      <c r="H178" s="4">
        <v>0.1201</v>
      </c>
      <c r="I178" s="12">
        <v>0.1205</v>
      </c>
      <c r="J178" s="4">
        <f t="shared" si="8"/>
        <v>6.543788819875776E-2</v>
      </c>
      <c r="K178" s="9">
        <f t="shared" si="9"/>
        <v>1.5999999999999807E-7</v>
      </c>
      <c r="L178" s="10">
        <f t="shared" si="10"/>
        <v>0.33305578684429438</v>
      </c>
    </row>
    <row r="179" spans="1:12" x14ac:dyDescent="0.15">
      <c r="A179" s="3">
        <f>DATE(1974,8,1)</f>
        <v>27242</v>
      </c>
      <c r="B179" s="4">
        <v>0.1201</v>
      </c>
      <c r="C179" s="12">
        <f t="shared" si="11"/>
        <v>0.1205</v>
      </c>
      <c r="G179" s="3">
        <f>DATE(1974,9,1)</f>
        <v>27273</v>
      </c>
      <c r="H179" s="4">
        <v>0.1134</v>
      </c>
      <c r="I179" s="12">
        <v>0.11582500000000001</v>
      </c>
      <c r="J179" s="4">
        <f t="shared" si="8"/>
        <v>5.8737888198757769E-2</v>
      </c>
      <c r="K179" s="9">
        <f t="shared" si="9"/>
        <v>5.880625000000051E-6</v>
      </c>
      <c r="L179" s="10">
        <f t="shared" si="10"/>
        <v>2.1384479717813143</v>
      </c>
    </row>
    <row r="180" spans="1:12" x14ac:dyDescent="0.15">
      <c r="A180" s="3">
        <f>DATE(1974,9,1)</f>
        <v>27273</v>
      </c>
      <c r="B180" s="4">
        <v>0.1134</v>
      </c>
      <c r="C180" s="12">
        <f t="shared" si="11"/>
        <v>0.11582500000000001</v>
      </c>
      <c r="G180" s="3">
        <f>DATE(1974,10,1)</f>
        <v>27303</v>
      </c>
      <c r="H180" s="4">
        <v>0.10060000000000001</v>
      </c>
      <c r="I180" s="12">
        <v>0.10715</v>
      </c>
      <c r="J180" s="4">
        <f t="shared" si="8"/>
        <v>4.5937888198757777E-2</v>
      </c>
      <c r="K180" s="9">
        <f t="shared" si="9"/>
        <v>4.2902499999999822E-5</v>
      </c>
      <c r="L180" s="10">
        <f t="shared" si="10"/>
        <v>6.5109343936381574</v>
      </c>
    </row>
    <row r="181" spans="1:12" x14ac:dyDescent="0.15">
      <c r="A181" s="3">
        <f>DATE(1974,10,1)</f>
        <v>27303</v>
      </c>
      <c r="B181" s="4">
        <v>0.10060000000000001</v>
      </c>
      <c r="C181" s="12">
        <f t="shared" si="11"/>
        <v>0.10715</v>
      </c>
      <c r="G181" s="3">
        <f>DATE(1974,11,1)</f>
        <v>27334</v>
      </c>
      <c r="H181" s="4">
        <v>9.4499999999999987E-2</v>
      </c>
      <c r="I181" s="12">
        <v>9.8449999999999996E-2</v>
      </c>
      <c r="J181" s="4">
        <f t="shared" si="8"/>
        <v>3.9837888198757755E-2</v>
      </c>
      <c r="K181" s="9">
        <f t="shared" si="9"/>
        <v>1.5602500000000073E-5</v>
      </c>
      <c r="L181" s="10">
        <f t="shared" si="10"/>
        <v>4.1798941798941902</v>
      </c>
    </row>
    <row r="182" spans="1:12" x14ac:dyDescent="0.15">
      <c r="A182" s="3">
        <f>DATE(1974,11,1)</f>
        <v>27334</v>
      </c>
      <c r="B182" s="4">
        <v>9.4499999999999987E-2</v>
      </c>
      <c r="C182" s="12">
        <f t="shared" si="11"/>
        <v>9.8449999999999996E-2</v>
      </c>
      <c r="G182" s="3">
        <f>DATE(1974,12,1)</f>
        <v>27364</v>
      </c>
      <c r="H182" s="4">
        <v>8.5299999999999987E-2</v>
      </c>
      <c r="I182" s="12">
        <v>8.7925000000000003E-2</v>
      </c>
      <c r="J182" s="4">
        <f t="shared" si="8"/>
        <v>3.0637888198757755E-2</v>
      </c>
      <c r="K182" s="9">
        <f t="shared" si="9"/>
        <v>6.8906250000000853E-6</v>
      </c>
      <c r="L182" s="10">
        <f t="shared" si="10"/>
        <v>3.0773739742086947</v>
      </c>
    </row>
    <row r="183" spans="1:12" x14ac:dyDescent="0.15">
      <c r="A183" s="3">
        <f>DATE(1974,12,1)</f>
        <v>27364</v>
      </c>
      <c r="B183" s="4">
        <v>8.5299999999999987E-2</v>
      </c>
      <c r="C183" s="12">
        <f t="shared" si="11"/>
        <v>8.7925000000000003E-2</v>
      </c>
      <c r="G183" s="3">
        <f>DATE(1975,1,1)</f>
        <v>27395</v>
      </c>
      <c r="H183" s="4">
        <v>7.1300000000000002E-2</v>
      </c>
      <c r="I183" s="12">
        <v>7.8375E-2</v>
      </c>
      <c r="J183" s="4">
        <f t="shared" si="8"/>
        <v>1.6637888198757771E-2</v>
      </c>
      <c r="K183" s="9">
        <f t="shared" si="9"/>
        <v>5.005562499999997E-5</v>
      </c>
      <c r="L183" s="10">
        <f t="shared" si="10"/>
        <v>9.9228611500701227</v>
      </c>
    </row>
    <row r="184" spans="1:12" x14ac:dyDescent="0.15">
      <c r="A184" s="3">
        <f>DATE(1975,1,1)</f>
        <v>27395</v>
      </c>
      <c r="B184" s="4">
        <v>7.1300000000000002E-2</v>
      </c>
      <c r="C184" s="12">
        <f t="shared" si="11"/>
        <v>7.8375E-2</v>
      </c>
      <c r="G184" s="3">
        <f>DATE(1975,2,1)</f>
        <v>27426</v>
      </c>
      <c r="H184" s="4">
        <v>6.2400000000000004E-2</v>
      </c>
      <c r="I184" s="12">
        <v>6.8599999999999994E-2</v>
      </c>
      <c r="J184" s="4">
        <f t="shared" si="8"/>
        <v>7.7378881987577725E-3</v>
      </c>
      <c r="K184" s="9">
        <f t="shared" si="9"/>
        <v>3.8439999999999876E-5</v>
      </c>
      <c r="L184" s="10">
        <f t="shared" si="10"/>
        <v>9.9358974358974201</v>
      </c>
    </row>
    <row r="185" spans="1:12" x14ac:dyDescent="0.15">
      <c r="A185" s="3">
        <f>DATE(1975,2,1)</f>
        <v>27426</v>
      </c>
      <c r="B185" s="4">
        <v>6.2400000000000004E-2</v>
      </c>
      <c r="C185" s="12">
        <f t="shared" si="11"/>
        <v>6.8599999999999994E-2</v>
      </c>
      <c r="G185" s="3">
        <f>DATE(1975,3,1)</f>
        <v>27454</v>
      </c>
      <c r="H185" s="4">
        <v>5.5399999999999998E-2</v>
      </c>
      <c r="I185" s="12">
        <v>6.1000000000000006E-2</v>
      </c>
      <c r="J185" s="4">
        <f t="shared" si="8"/>
        <v>7.3788819875776623E-4</v>
      </c>
      <c r="K185" s="9">
        <f t="shared" si="9"/>
        <v>3.1360000000000086E-5</v>
      </c>
      <c r="L185" s="10">
        <f t="shared" si="10"/>
        <v>10.108303249097487</v>
      </c>
    </row>
    <row r="186" spans="1:12" x14ac:dyDescent="0.15">
      <c r="A186" s="3">
        <f>DATE(1975,3,1)</f>
        <v>27454</v>
      </c>
      <c r="B186" s="4">
        <v>5.5399999999999998E-2</v>
      </c>
      <c r="C186" s="12">
        <f t="shared" si="11"/>
        <v>6.1000000000000006E-2</v>
      </c>
      <c r="G186" s="3">
        <f>DATE(1975,4,1)</f>
        <v>27485</v>
      </c>
      <c r="H186" s="4">
        <v>5.4900000000000004E-2</v>
      </c>
      <c r="I186" s="12">
        <v>5.6225000000000004E-2</v>
      </c>
      <c r="J186" s="4">
        <f t="shared" si="8"/>
        <v>2.3788819875777273E-4</v>
      </c>
      <c r="K186" s="9">
        <f t="shared" si="9"/>
        <v>1.7556249999999994E-6</v>
      </c>
      <c r="L186" s="10">
        <f t="shared" si="10"/>
        <v>2.4134790528233143</v>
      </c>
    </row>
    <row r="187" spans="1:12" x14ac:dyDescent="0.15">
      <c r="A187" s="3">
        <f>DATE(1975,4,1)</f>
        <v>27485</v>
      </c>
      <c r="B187" s="4">
        <v>5.4900000000000004E-2</v>
      </c>
      <c r="C187" s="12">
        <f t="shared" si="11"/>
        <v>5.6225000000000004E-2</v>
      </c>
      <c r="G187" s="3">
        <f>DATE(1975,5,1)</f>
        <v>27515</v>
      </c>
      <c r="H187" s="4">
        <v>5.2199999999999996E-2</v>
      </c>
      <c r="I187" s="12">
        <v>5.45E-2</v>
      </c>
      <c r="J187" s="4">
        <f t="shared" si="8"/>
        <v>2.4621118012422352E-3</v>
      </c>
      <c r="K187" s="9">
        <f t="shared" si="9"/>
        <v>5.2900000000000154E-6</v>
      </c>
      <c r="L187" s="10">
        <f t="shared" si="10"/>
        <v>4.4061302681992407</v>
      </c>
    </row>
    <row r="188" spans="1:12" x14ac:dyDescent="0.15">
      <c r="A188" s="3">
        <f>DATE(1975,5,1)</f>
        <v>27515</v>
      </c>
      <c r="B188" s="4">
        <v>5.2199999999999996E-2</v>
      </c>
      <c r="C188" s="12">
        <f t="shared" si="11"/>
        <v>5.45E-2</v>
      </c>
      <c r="G188" s="3">
        <f>DATE(1975,6,1)</f>
        <v>27546</v>
      </c>
      <c r="H188" s="4">
        <v>5.5500000000000001E-2</v>
      </c>
      <c r="I188" s="12">
        <v>5.5899999999999998E-2</v>
      </c>
      <c r="J188" s="4">
        <f t="shared" si="8"/>
        <v>8.378881987577691E-4</v>
      </c>
      <c r="K188" s="9">
        <f t="shared" si="9"/>
        <v>1.5999999999999807E-7</v>
      </c>
      <c r="L188" s="10">
        <f t="shared" si="10"/>
        <v>0.72072072072071636</v>
      </c>
    </row>
    <row r="189" spans="1:12" x14ac:dyDescent="0.15">
      <c r="A189" s="3">
        <f>DATE(1975,6,1)</f>
        <v>27546</v>
      </c>
      <c r="B189" s="4">
        <v>5.5500000000000001E-2</v>
      </c>
      <c r="C189" s="12">
        <f t="shared" si="11"/>
        <v>5.5899999999999998E-2</v>
      </c>
      <c r="G189" s="3">
        <f>DATE(1975,7,1)</f>
        <v>27576</v>
      </c>
      <c r="H189" s="4">
        <v>6.0999999999999999E-2</v>
      </c>
      <c r="I189" s="12">
        <v>5.7524999999999993E-2</v>
      </c>
      <c r="J189" s="4">
        <f t="shared" si="8"/>
        <v>6.337888198757767E-3</v>
      </c>
      <c r="K189" s="9">
        <f t="shared" si="9"/>
        <v>1.2075625000000041E-5</v>
      </c>
      <c r="L189" s="10">
        <f t="shared" si="10"/>
        <v>5.6967213114754198</v>
      </c>
    </row>
    <row r="190" spans="1:12" x14ac:dyDescent="0.15">
      <c r="A190" s="3">
        <f>DATE(1975,7,1)</f>
        <v>27576</v>
      </c>
      <c r="B190" s="4">
        <v>6.0999999999999999E-2</v>
      </c>
      <c r="C190" s="12">
        <f t="shared" si="11"/>
        <v>5.7524999999999993E-2</v>
      </c>
      <c r="G190" s="3">
        <f>DATE(1975,8,1)</f>
        <v>27607</v>
      </c>
      <c r="H190" s="4">
        <v>6.1399999999999996E-2</v>
      </c>
      <c r="I190" s="12">
        <v>6.0075000000000003E-2</v>
      </c>
      <c r="J190" s="4">
        <f t="shared" si="8"/>
        <v>6.7378881987577646E-3</v>
      </c>
      <c r="K190" s="9">
        <f t="shared" si="9"/>
        <v>1.755624999999981E-6</v>
      </c>
      <c r="L190" s="10">
        <f t="shared" si="10"/>
        <v>2.1579804560260469</v>
      </c>
    </row>
    <row r="191" spans="1:12" x14ac:dyDescent="0.15">
      <c r="A191" s="3">
        <f>DATE(1975,8,1)</f>
        <v>27607</v>
      </c>
      <c r="B191" s="4">
        <v>6.1399999999999996E-2</v>
      </c>
      <c r="C191" s="12">
        <f t="shared" si="11"/>
        <v>6.0075000000000003E-2</v>
      </c>
      <c r="G191" s="3">
        <f>DATE(1975,9,1)</f>
        <v>27638</v>
      </c>
      <c r="H191" s="4">
        <v>6.2400000000000004E-2</v>
      </c>
      <c r="I191" s="12">
        <v>6.0749999999999998E-2</v>
      </c>
      <c r="J191" s="4">
        <f t="shared" si="8"/>
        <v>7.7378881987577725E-3</v>
      </c>
      <c r="K191" s="9">
        <f t="shared" si="9"/>
        <v>2.7225000000000184E-6</v>
      </c>
      <c r="L191" s="10">
        <f t="shared" si="10"/>
        <v>2.644230769230778</v>
      </c>
    </row>
    <row r="192" spans="1:12" x14ac:dyDescent="0.15">
      <c r="A192" s="3">
        <f>DATE(1975,9,1)</f>
        <v>27638</v>
      </c>
      <c r="B192" s="4">
        <v>6.2400000000000004E-2</v>
      </c>
      <c r="C192" s="12">
        <f t="shared" si="11"/>
        <v>6.0749999999999998E-2</v>
      </c>
      <c r="G192" s="3">
        <f>DATE(1975,10,1)</f>
        <v>27668</v>
      </c>
      <c r="H192" s="4">
        <v>5.8200000000000002E-2</v>
      </c>
      <c r="I192" s="12">
        <v>5.8549999999999998E-2</v>
      </c>
      <c r="J192" s="4">
        <f t="shared" si="8"/>
        <v>3.5378881987577701E-3</v>
      </c>
      <c r="K192" s="9">
        <f t="shared" si="9"/>
        <v>1.2249999999999729E-7</v>
      </c>
      <c r="L192" s="10">
        <f t="shared" si="10"/>
        <v>0.60137457044672871</v>
      </c>
    </row>
    <row r="193" spans="1:12" x14ac:dyDescent="0.15">
      <c r="A193" s="3">
        <f>DATE(1975,10,1)</f>
        <v>27668</v>
      </c>
      <c r="B193" s="4">
        <v>5.8200000000000002E-2</v>
      </c>
      <c r="C193" s="12">
        <f t="shared" si="11"/>
        <v>5.8549999999999998E-2</v>
      </c>
      <c r="G193" s="3">
        <f>DATE(1975,11,1)</f>
        <v>27699</v>
      </c>
      <c r="H193" s="4">
        <v>5.2199999999999996E-2</v>
      </c>
      <c r="I193" s="12">
        <v>5.62E-2</v>
      </c>
      <c r="J193" s="4">
        <f t="shared" si="8"/>
        <v>2.4621118012422352E-3</v>
      </c>
      <c r="K193" s="9">
        <f t="shared" si="9"/>
        <v>1.600000000000003E-5</v>
      </c>
      <c r="L193" s="10">
        <f t="shared" si="10"/>
        <v>7.6628352490421534</v>
      </c>
    </row>
    <row r="194" spans="1:12" x14ac:dyDescent="0.15">
      <c r="A194" s="3">
        <f>DATE(1975,11,1)</f>
        <v>27699</v>
      </c>
      <c r="B194" s="4">
        <v>5.2199999999999996E-2</v>
      </c>
      <c r="C194" s="12">
        <f t="shared" si="11"/>
        <v>5.62E-2</v>
      </c>
      <c r="G194" s="3">
        <f>DATE(1975,12,1)</f>
        <v>27729</v>
      </c>
      <c r="H194" s="4">
        <v>5.2000000000000005E-2</v>
      </c>
      <c r="I194" s="12">
        <v>5.2774999999999996E-2</v>
      </c>
      <c r="J194" s="4">
        <f t="shared" si="8"/>
        <v>2.6621118012422271E-3</v>
      </c>
      <c r="K194" s="9">
        <f t="shared" si="9"/>
        <v>6.0062499999998599E-7</v>
      </c>
      <c r="L194" s="10">
        <f t="shared" si="10"/>
        <v>1.4903846153845979</v>
      </c>
    </row>
    <row r="195" spans="1:12" x14ac:dyDescent="0.15">
      <c r="A195" s="3">
        <f>DATE(1975,12,1)</f>
        <v>27729</v>
      </c>
      <c r="B195" s="4">
        <v>5.2000000000000005E-2</v>
      </c>
      <c r="C195" s="12">
        <f t="shared" si="11"/>
        <v>5.2774999999999996E-2</v>
      </c>
      <c r="G195" s="3">
        <f>DATE(1976,1,1)</f>
        <v>27760</v>
      </c>
      <c r="H195" s="4">
        <v>4.87E-2</v>
      </c>
      <c r="I195" s="12">
        <v>5.015E-2</v>
      </c>
      <c r="J195" s="4">
        <f t="shared" si="8"/>
        <v>5.9621118012422314E-3</v>
      </c>
      <c r="K195" s="9">
        <f t="shared" si="9"/>
        <v>2.1024999999999998E-6</v>
      </c>
      <c r="L195" s="10">
        <f t="shared" si="10"/>
        <v>2.9774127310061598</v>
      </c>
    </row>
    <row r="196" spans="1:12" x14ac:dyDescent="0.15">
      <c r="A196" s="3">
        <f>DATE(1976,1,1)</f>
        <v>27760</v>
      </c>
      <c r="B196" s="4">
        <v>4.87E-2</v>
      </c>
      <c r="C196" s="12">
        <f t="shared" si="11"/>
        <v>5.015E-2</v>
      </c>
      <c r="G196" s="3">
        <f>DATE(1976,2,1)</f>
        <v>27791</v>
      </c>
      <c r="H196" s="4">
        <v>4.7699999999999992E-2</v>
      </c>
      <c r="I196" s="12">
        <v>4.9200000000000001E-2</v>
      </c>
      <c r="J196" s="4">
        <f t="shared" si="8"/>
        <v>6.9621118012422392E-3</v>
      </c>
      <c r="K196" s="9">
        <f t="shared" si="9"/>
        <v>2.2500000000000246E-6</v>
      </c>
      <c r="L196" s="10">
        <f t="shared" si="10"/>
        <v>3.1446540880503324</v>
      </c>
    </row>
    <row r="197" spans="1:12" x14ac:dyDescent="0.15">
      <c r="A197" s="3">
        <f>DATE(1976,2,1)</f>
        <v>27791</v>
      </c>
      <c r="B197" s="4">
        <v>4.7699999999999992E-2</v>
      </c>
      <c r="C197" s="12">
        <f t="shared" si="11"/>
        <v>4.9200000000000001E-2</v>
      </c>
      <c r="G197" s="3">
        <f>DATE(1976,3,1)</f>
        <v>27820</v>
      </c>
      <c r="H197" s="4">
        <v>4.8399999999999999E-2</v>
      </c>
      <c r="I197" s="12">
        <v>4.8249999999999994E-2</v>
      </c>
      <c r="J197" s="4">
        <f t="shared" si="8"/>
        <v>6.262111801242233E-3</v>
      </c>
      <c r="K197" s="9">
        <f t="shared" si="9"/>
        <v>2.250000000000129E-8</v>
      </c>
      <c r="L197" s="10">
        <f t="shared" si="10"/>
        <v>0.30991735537190973</v>
      </c>
    </row>
    <row r="198" spans="1:12" x14ac:dyDescent="0.15">
      <c r="A198" s="3">
        <f>DATE(1976,3,1)</f>
        <v>27820</v>
      </c>
      <c r="B198" s="4">
        <v>4.8399999999999999E-2</v>
      </c>
      <c r="C198" s="12">
        <f t="shared" si="11"/>
        <v>4.8249999999999994E-2</v>
      </c>
      <c r="G198" s="3">
        <f>DATE(1976,4,1)</f>
        <v>27851</v>
      </c>
      <c r="H198" s="4">
        <v>4.82E-2</v>
      </c>
      <c r="I198" s="12">
        <v>4.9299999999999997E-2</v>
      </c>
      <c r="J198" s="4">
        <f t="shared" ref="J198:J261" si="12">ABS(H198-$Q$4)</f>
        <v>6.4621118012422318E-3</v>
      </c>
      <c r="K198" s="9">
        <f t="shared" ref="K198:K261" si="13">(H198-I198)^2</f>
        <v>1.2099999999999931E-6</v>
      </c>
      <c r="L198" s="10">
        <f t="shared" ref="L198:L261" si="14">ABS(H198-I198)/H198*100</f>
        <v>2.2821576763485409</v>
      </c>
    </row>
    <row r="199" spans="1:12" x14ac:dyDescent="0.15">
      <c r="A199" s="3">
        <f>DATE(1976,4,1)</f>
        <v>27851</v>
      </c>
      <c r="B199" s="4">
        <v>4.82E-2</v>
      </c>
      <c r="C199" s="12">
        <f t="shared" ref="C199:C262" si="15">(B197+B198+B199+B200)/4</f>
        <v>4.9299999999999997E-2</v>
      </c>
      <c r="G199" s="3">
        <f>DATE(1976,5,1)</f>
        <v>27881</v>
      </c>
      <c r="H199" s="4">
        <v>5.2900000000000003E-2</v>
      </c>
      <c r="I199" s="12">
        <v>5.1074999999999995E-2</v>
      </c>
      <c r="J199" s="4">
        <f t="shared" si="12"/>
        <v>1.762111801242229E-3</v>
      </c>
      <c r="K199" s="9">
        <f t="shared" si="13"/>
        <v>3.3306250000000262E-6</v>
      </c>
      <c r="L199" s="10">
        <f t="shared" si="14"/>
        <v>3.4499054820416015</v>
      </c>
    </row>
    <row r="200" spans="1:12" x14ac:dyDescent="0.15">
      <c r="A200" s="3">
        <f>DATE(1976,5,1)</f>
        <v>27881</v>
      </c>
      <c r="B200" s="4">
        <v>5.2900000000000003E-2</v>
      </c>
      <c r="C200" s="12">
        <f t="shared" si="15"/>
        <v>5.1074999999999995E-2</v>
      </c>
      <c r="G200" s="3">
        <f>DATE(1976,6,1)</f>
        <v>27912</v>
      </c>
      <c r="H200" s="4">
        <v>5.4800000000000001E-2</v>
      </c>
      <c r="I200" s="12">
        <v>5.2249999999999991E-2</v>
      </c>
      <c r="J200" s="4">
        <f t="shared" si="12"/>
        <v>1.3788819875776986E-4</v>
      </c>
      <c r="K200" s="9">
        <f t="shared" si="13"/>
        <v>6.5025000000000542E-6</v>
      </c>
      <c r="L200" s="10">
        <f t="shared" si="14"/>
        <v>4.653284671532866</v>
      </c>
    </row>
    <row r="201" spans="1:12" x14ac:dyDescent="0.15">
      <c r="A201" s="3">
        <f>DATE(1976,6,1)</f>
        <v>27912</v>
      </c>
      <c r="B201" s="4">
        <v>5.4800000000000001E-2</v>
      </c>
      <c r="C201" s="12">
        <f t="shared" si="15"/>
        <v>5.2249999999999991E-2</v>
      </c>
      <c r="G201" s="3">
        <f>DATE(1976,7,1)</f>
        <v>27942</v>
      </c>
      <c r="H201" s="4">
        <v>5.3099999999999994E-2</v>
      </c>
      <c r="I201" s="12">
        <v>5.3425E-2</v>
      </c>
      <c r="J201" s="4">
        <f t="shared" si="12"/>
        <v>1.5621118012422372E-3</v>
      </c>
      <c r="K201" s="9">
        <f t="shared" si="13"/>
        <v>1.0562500000000379E-7</v>
      </c>
      <c r="L201" s="10">
        <f t="shared" si="14"/>
        <v>0.61205273069680954</v>
      </c>
    </row>
    <row r="202" spans="1:12" x14ac:dyDescent="0.15">
      <c r="A202" s="3">
        <f>DATE(1976,7,1)</f>
        <v>27942</v>
      </c>
      <c r="B202" s="4">
        <v>5.3099999999999994E-2</v>
      </c>
      <c r="C202" s="12">
        <f t="shared" si="15"/>
        <v>5.3425E-2</v>
      </c>
      <c r="G202" s="3">
        <f>DATE(1976,8,1)</f>
        <v>27973</v>
      </c>
      <c r="H202" s="4">
        <v>5.2900000000000003E-2</v>
      </c>
      <c r="I202" s="12">
        <v>5.3324999999999997E-2</v>
      </c>
      <c r="J202" s="4">
        <f t="shared" si="12"/>
        <v>1.762111801242229E-3</v>
      </c>
      <c r="K202" s="9">
        <f t="shared" si="13"/>
        <v>1.806249999999956E-7</v>
      </c>
      <c r="L202" s="10">
        <f t="shared" si="14"/>
        <v>0.80340264650282567</v>
      </c>
    </row>
    <row r="203" spans="1:12" x14ac:dyDescent="0.15">
      <c r="A203" s="3">
        <f>DATE(1976,8,1)</f>
        <v>27973</v>
      </c>
      <c r="B203" s="4">
        <v>5.2900000000000003E-2</v>
      </c>
      <c r="C203" s="12">
        <f t="shared" si="15"/>
        <v>5.3324999999999997E-2</v>
      </c>
      <c r="G203" s="3">
        <f>DATE(1976,9,1)</f>
        <v>28004</v>
      </c>
      <c r="H203" s="4">
        <v>5.2499999999999998E-2</v>
      </c>
      <c r="I203" s="12">
        <v>5.2174999999999999E-2</v>
      </c>
      <c r="J203" s="4">
        <f t="shared" si="12"/>
        <v>2.1621118012422336E-3</v>
      </c>
      <c r="K203" s="9">
        <f t="shared" si="13"/>
        <v>1.0562499999999928E-7</v>
      </c>
      <c r="L203" s="10">
        <f t="shared" si="14"/>
        <v>0.61904761904761696</v>
      </c>
    </row>
    <row r="204" spans="1:12" x14ac:dyDescent="0.15">
      <c r="A204" s="3">
        <f>DATE(1976,9,1)</f>
        <v>28004</v>
      </c>
      <c r="B204" s="4">
        <v>5.2499999999999998E-2</v>
      </c>
      <c r="C204" s="12">
        <f t="shared" si="15"/>
        <v>5.2174999999999999E-2</v>
      </c>
      <c r="G204" s="3">
        <f>DATE(1976,10,1)</f>
        <v>28034</v>
      </c>
      <c r="H204" s="4">
        <v>5.0199999999999995E-2</v>
      </c>
      <c r="I204" s="12">
        <v>5.1275000000000001E-2</v>
      </c>
      <c r="J204" s="4">
        <f t="shared" si="12"/>
        <v>4.462111801242237E-3</v>
      </c>
      <c r="K204" s="9">
        <f t="shared" si="13"/>
        <v>1.155625000000014E-6</v>
      </c>
      <c r="L204" s="10">
        <f t="shared" si="14"/>
        <v>2.1414342629482204</v>
      </c>
    </row>
    <row r="205" spans="1:12" x14ac:dyDescent="0.15">
      <c r="A205" s="3">
        <f>DATE(1976,10,1)</f>
        <v>28034</v>
      </c>
      <c r="B205" s="4">
        <v>5.0199999999999995E-2</v>
      </c>
      <c r="C205" s="12">
        <f t="shared" si="15"/>
        <v>5.1275000000000001E-2</v>
      </c>
      <c r="G205" s="3">
        <f>DATE(1976,11,1)</f>
        <v>28065</v>
      </c>
      <c r="H205" s="4">
        <v>4.9500000000000002E-2</v>
      </c>
      <c r="I205" s="12">
        <v>4.9675000000000004E-2</v>
      </c>
      <c r="J205" s="4">
        <f t="shared" si="12"/>
        <v>5.1621118012422293E-3</v>
      </c>
      <c r="K205" s="9">
        <f t="shared" si="13"/>
        <v>3.0625000000000541E-8</v>
      </c>
      <c r="L205" s="10">
        <f t="shared" si="14"/>
        <v>0.35353535353535664</v>
      </c>
    </row>
    <row r="206" spans="1:12" x14ac:dyDescent="0.15">
      <c r="A206" s="3">
        <f>DATE(1976,11,1)</f>
        <v>28065</v>
      </c>
      <c r="B206" s="4">
        <v>4.9500000000000002E-2</v>
      </c>
      <c r="C206" s="12">
        <f t="shared" si="15"/>
        <v>4.9675000000000004E-2</v>
      </c>
      <c r="G206" s="3">
        <f>DATE(1976,12,1)</f>
        <v>28095</v>
      </c>
      <c r="H206" s="4">
        <v>4.6500000000000007E-2</v>
      </c>
      <c r="I206" s="12">
        <v>4.8075E-2</v>
      </c>
      <c r="J206" s="4">
        <f t="shared" si="12"/>
        <v>8.162111801242225E-3</v>
      </c>
      <c r="K206" s="9">
        <f t="shared" si="13"/>
        <v>2.480624999999978E-6</v>
      </c>
      <c r="L206" s="10">
        <f t="shared" si="14"/>
        <v>3.3870967741935329</v>
      </c>
    </row>
    <row r="207" spans="1:12" x14ac:dyDescent="0.15">
      <c r="A207" s="3">
        <f>DATE(1976,12,1)</f>
        <v>28095</v>
      </c>
      <c r="B207" s="4">
        <v>4.6500000000000007E-2</v>
      </c>
      <c r="C207" s="12">
        <f t="shared" si="15"/>
        <v>4.8075E-2</v>
      </c>
      <c r="G207" s="3">
        <f>DATE(1977,1,1)</f>
        <v>28126</v>
      </c>
      <c r="H207" s="4">
        <v>4.6100000000000002E-2</v>
      </c>
      <c r="I207" s="12">
        <v>4.7225000000000003E-2</v>
      </c>
      <c r="J207" s="4">
        <f t="shared" si="12"/>
        <v>8.5621118012422295E-3</v>
      </c>
      <c r="K207" s="9">
        <f t="shared" si="13"/>
        <v>1.2656250000000022E-6</v>
      </c>
      <c r="L207" s="10">
        <f t="shared" si="14"/>
        <v>2.440347071583516</v>
      </c>
    </row>
    <row r="208" spans="1:12" x14ac:dyDescent="0.15">
      <c r="A208" s="3">
        <f>DATE(1977,1,1)</f>
        <v>28126</v>
      </c>
      <c r="B208" s="4">
        <v>4.6100000000000002E-2</v>
      </c>
      <c r="C208" s="12">
        <f t="shared" si="15"/>
        <v>4.7225000000000003E-2</v>
      </c>
      <c r="G208" s="3">
        <f>DATE(1977,2,1)</f>
        <v>28157</v>
      </c>
      <c r="H208" s="4">
        <v>4.6799999999999994E-2</v>
      </c>
      <c r="I208" s="12">
        <v>4.6575000000000005E-2</v>
      </c>
      <c r="J208" s="4">
        <f t="shared" si="12"/>
        <v>7.8621118012422372E-3</v>
      </c>
      <c r="K208" s="9">
        <f t="shared" si="13"/>
        <v>5.0624999999995095E-8</v>
      </c>
      <c r="L208" s="10">
        <f t="shared" si="14"/>
        <v>0.48076923076920752</v>
      </c>
    </row>
    <row r="209" spans="1:12" x14ac:dyDescent="0.15">
      <c r="A209" s="3">
        <f>DATE(1977,2,1)</f>
        <v>28157</v>
      </c>
      <c r="B209" s="4">
        <v>4.6799999999999994E-2</v>
      </c>
      <c r="C209" s="12">
        <f t="shared" si="15"/>
        <v>4.6575000000000005E-2</v>
      </c>
      <c r="G209" s="3">
        <f>DATE(1977,3,1)</f>
        <v>28185</v>
      </c>
      <c r="H209" s="4">
        <v>4.6900000000000004E-2</v>
      </c>
      <c r="I209" s="12">
        <v>4.6775000000000004E-2</v>
      </c>
      <c r="J209" s="4">
        <f t="shared" si="12"/>
        <v>7.7621118012422274E-3</v>
      </c>
      <c r="K209" s="9">
        <f t="shared" si="13"/>
        <v>1.5625000000000029E-8</v>
      </c>
      <c r="L209" s="10">
        <f t="shared" si="14"/>
        <v>0.26652452025586376</v>
      </c>
    </row>
    <row r="210" spans="1:12" x14ac:dyDescent="0.15">
      <c r="A210" s="3">
        <f>DATE(1977,3,1)</f>
        <v>28185</v>
      </c>
      <c r="B210" s="4">
        <v>4.6900000000000004E-2</v>
      </c>
      <c r="C210" s="12">
        <f t="shared" si="15"/>
        <v>4.6775000000000004E-2</v>
      </c>
      <c r="G210" s="3">
        <f>DATE(1977,4,1)</f>
        <v>28216</v>
      </c>
      <c r="H210" s="4">
        <v>4.7300000000000002E-2</v>
      </c>
      <c r="I210" s="12">
        <v>4.8625000000000002E-2</v>
      </c>
      <c r="J210" s="4">
        <f t="shared" si="12"/>
        <v>7.3621118012422299E-3</v>
      </c>
      <c r="K210" s="9">
        <f t="shared" si="13"/>
        <v>1.7556249999999994E-6</v>
      </c>
      <c r="L210" s="10">
        <f t="shared" si="14"/>
        <v>2.8012684989429171</v>
      </c>
    </row>
    <row r="211" spans="1:12" x14ac:dyDescent="0.15">
      <c r="A211" s="3">
        <f>DATE(1977,4,1)</f>
        <v>28216</v>
      </c>
      <c r="B211" s="4">
        <v>4.7300000000000002E-2</v>
      </c>
      <c r="C211" s="12">
        <f t="shared" si="15"/>
        <v>4.8625000000000002E-2</v>
      </c>
      <c r="G211" s="3">
        <f>DATE(1977,5,1)</f>
        <v>28246</v>
      </c>
      <c r="H211" s="4">
        <v>5.3499999999999999E-2</v>
      </c>
      <c r="I211" s="12">
        <v>5.04E-2</v>
      </c>
      <c r="J211" s="4">
        <f t="shared" si="12"/>
        <v>1.1621118012422327E-3</v>
      </c>
      <c r="K211" s="9">
        <f t="shared" si="13"/>
        <v>9.609999999999991E-6</v>
      </c>
      <c r="L211" s="10">
        <f t="shared" si="14"/>
        <v>5.7943925233644835</v>
      </c>
    </row>
    <row r="212" spans="1:12" x14ac:dyDescent="0.15">
      <c r="A212" s="3">
        <f>DATE(1977,5,1)</f>
        <v>28246</v>
      </c>
      <c r="B212" s="4">
        <v>5.3499999999999999E-2</v>
      </c>
      <c r="C212" s="12">
        <f t="shared" si="15"/>
        <v>5.04E-2</v>
      </c>
      <c r="G212" s="3">
        <f>DATE(1977,6,1)</f>
        <v>28277</v>
      </c>
      <c r="H212" s="4">
        <v>5.3899999999999997E-2</v>
      </c>
      <c r="I212" s="12">
        <v>5.2225000000000001E-2</v>
      </c>
      <c r="J212" s="4">
        <f t="shared" si="12"/>
        <v>7.621118012422351E-4</v>
      </c>
      <c r="K212" s="9">
        <f t="shared" si="13"/>
        <v>2.8056249999999864E-6</v>
      </c>
      <c r="L212" s="10">
        <f t="shared" si="14"/>
        <v>3.1076066790352432</v>
      </c>
    </row>
    <row r="213" spans="1:12" x14ac:dyDescent="0.15">
      <c r="A213" s="3">
        <f>DATE(1977,6,1)</f>
        <v>28277</v>
      </c>
      <c r="B213" s="4">
        <v>5.3899999999999997E-2</v>
      </c>
      <c r="C213" s="12">
        <f t="shared" si="15"/>
        <v>5.2225000000000001E-2</v>
      </c>
      <c r="G213" s="3">
        <f>DATE(1977,7,1)</f>
        <v>28307</v>
      </c>
      <c r="H213" s="4">
        <v>5.4199999999999998E-2</v>
      </c>
      <c r="I213" s="12">
        <v>5.5149999999999998E-2</v>
      </c>
      <c r="J213" s="4">
        <f t="shared" si="12"/>
        <v>4.6211180124223344E-4</v>
      </c>
      <c r="K213" s="9">
        <f t="shared" si="13"/>
        <v>9.0249999999999898E-7</v>
      </c>
      <c r="L213" s="10">
        <f t="shared" si="14"/>
        <v>1.7527675276752759</v>
      </c>
    </row>
    <row r="214" spans="1:12" x14ac:dyDescent="0.15">
      <c r="A214" s="3">
        <f>DATE(1977,7,1)</f>
        <v>28307</v>
      </c>
      <c r="B214" s="4">
        <v>5.4199999999999998E-2</v>
      </c>
      <c r="C214" s="12">
        <f t="shared" si="15"/>
        <v>5.5149999999999998E-2</v>
      </c>
      <c r="G214" s="3">
        <f>DATE(1977,8,1)</f>
        <v>28338</v>
      </c>
      <c r="H214" s="4">
        <v>5.9000000000000004E-2</v>
      </c>
      <c r="I214" s="12">
        <v>5.7124999999999995E-2</v>
      </c>
      <c r="J214" s="4">
        <f t="shared" si="12"/>
        <v>4.3378881987577722E-3</v>
      </c>
      <c r="K214" s="9">
        <f t="shared" si="13"/>
        <v>3.5156250000000321E-6</v>
      </c>
      <c r="L214" s="10">
        <f t="shared" si="14"/>
        <v>3.1779661016949299</v>
      </c>
    </row>
    <row r="215" spans="1:12" x14ac:dyDescent="0.15">
      <c r="A215" s="3">
        <f>DATE(1977,8,1)</f>
        <v>28338</v>
      </c>
      <c r="B215" s="4">
        <v>5.9000000000000004E-2</v>
      </c>
      <c r="C215" s="12">
        <f t="shared" si="15"/>
        <v>5.7124999999999995E-2</v>
      </c>
      <c r="G215" s="3">
        <f>DATE(1977,9,1)</f>
        <v>28369</v>
      </c>
      <c r="H215" s="4">
        <v>6.1399999999999996E-2</v>
      </c>
      <c r="I215" s="12">
        <v>5.9824999999999989E-2</v>
      </c>
      <c r="J215" s="4">
        <f t="shared" si="12"/>
        <v>6.7378881987577646E-3</v>
      </c>
      <c r="K215" s="9">
        <f t="shared" si="13"/>
        <v>2.4806250000000221E-6</v>
      </c>
      <c r="L215" s="10">
        <f t="shared" si="14"/>
        <v>2.5651465798045718</v>
      </c>
    </row>
    <row r="216" spans="1:12" x14ac:dyDescent="0.15">
      <c r="A216" s="3">
        <f>DATE(1977,9,1)</f>
        <v>28369</v>
      </c>
      <c r="B216" s="4">
        <v>6.1399999999999996E-2</v>
      </c>
      <c r="C216" s="12">
        <f t="shared" si="15"/>
        <v>5.9824999999999989E-2</v>
      </c>
      <c r="G216" s="3">
        <f>DATE(1977,10,1)</f>
        <v>28399</v>
      </c>
      <c r="H216" s="4">
        <v>6.4699999999999994E-2</v>
      </c>
      <c r="I216" s="12">
        <v>6.2549999999999994E-2</v>
      </c>
      <c r="J216" s="4">
        <f t="shared" si="12"/>
        <v>1.0037888198757762E-2</v>
      </c>
      <c r="K216" s="9">
        <f t="shared" si="13"/>
        <v>4.622499999999996E-6</v>
      </c>
      <c r="L216" s="10">
        <f t="shared" si="14"/>
        <v>3.3230293663060269</v>
      </c>
    </row>
    <row r="217" spans="1:12" x14ac:dyDescent="0.15">
      <c r="A217" s="3">
        <f>DATE(1977,10,1)</f>
        <v>28399</v>
      </c>
      <c r="B217" s="4">
        <v>6.4699999999999994E-2</v>
      </c>
      <c r="C217" s="12">
        <f t="shared" si="15"/>
        <v>6.2549999999999994E-2</v>
      </c>
      <c r="G217" s="3">
        <f>DATE(1977,11,1)</f>
        <v>28430</v>
      </c>
      <c r="H217" s="4">
        <v>6.5099999999999991E-2</v>
      </c>
      <c r="I217" s="12">
        <v>6.4199999999999993E-2</v>
      </c>
      <c r="J217" s="4">
        <f t="shared" si="12"/>
        <v>1.043788819875776E-2</v>
      </c>
      <c r="K217" s="9">
        <f t="shared" si="13"/>
        <v>8.0999999999999648E-7</v>
      </c>
      <c r="L217" s="10">
        <f t="shared" si="14"/>
        <v>1.3824884792626699</v>
      </c>
    </row>
    <row r="218" spans="1:12" x14ac:dyDescent="0.15">
      <c r="A218" s="3">
        <f>DATE(1977,11,1)</f>
        <v>28430</v>
      </c>
      <c r="B218" s="4">
        <v>6.5099999999999991E-2</v>
      </c>
      <c r="C218" s="12">
        <f t="shared" si="15"/>
        <v>6.4199999999999993E-2</v>
      </c>
      <c r="G218" s="3">
        <f>DATE(1977,12,1)</f>
        <v>28460</v>
      </c>
      <c r="H218" s="4">
        <v>6.5599999999999992E-2</v>
      </c>
      <c r="I218" s="12">
        <v>6.5599999999999992E-2</v>
      </c>
      <c r="J218" s="4">
        <f t="shared" si="12"/>
        <v>1.093788819875776E-2</v>
      </c>
      <c r="K218" s="9">
        <f t="shared" si="13"/>
        <v>0</v>
      </c>
      <c r="L218" s="10">
        <f t="shared" si="14"/>
        <v>0</v>
      </c>
    </row>
    <row r="219" spans="1:12" x14ac:dyDescent="0.15">
      <c r="A219" s="3">
        <f>DATE(1977,12,1)</f>
        <v>28460</v>
      </c>
      <c r="B219" s="4">
        <v>6.5599999999999992E-2</v>
      </c>
      <c r="C219" s="12">
        <f t="shared" si="15"/>
        <v>6.5599999999999992E-2</v>
      </c>
      <c r="G219" s="3">
        <f>DATE(1978,1,1)</f>
        <v>28491</v>
      </c>
      <c r="H219" s="4">
        <v>6.7000000000000004E-2</v>
      </c>
      <c r="I219" s="12">
        <v>6.637499999999999E-2</v>
      </c>
      <c r="J219" s="4">
        <f t="shared" si="12"/>
        <v>1.2337888198757772E-2</v>
      </c>
      <c r="K219" s="9">
        <f t="shared" si="13"/>
        <v>3.9062500000001802E-7</v>
      </c>
      <c r="L219" s="10">
        <f t="shared" si="14"/>
        <v>0.93283582089554384</v>
      </c>
    </row>
    <row r="220" spans="1:12" x14ac:dyDescent="0.15">
      <c r="A220" s="3">
        <f>DATE(1978,1,1)</f>
        <v>28491</v>
      </c>
      <c r="B220" s="4">
        <v>6.7000000000000004E-2</v>
      </c>
      <c r="C220" s="12">
        <f t="shared" si="15"/>
        <v>6.637499999999999E-2</v>
      </c>
      <c r="G220" s="3">
        <f>DATE(1978,2,1)</f>
        <v>28522</v>
      </c>
      <c r="H220" s="4">
        <v>6.7799999999999999E-2</v>
      </c>
      <c r="I220" s="12">
        <v>6.7074999999999996E-2</v>
      </c>
      <c r="J220" s="4">
        <f t="shared" si="12"/>
        <v>1.3137888198757768E-2</v>
      </c>
      <c r="K220" s="9">
        <f t="shared" si="13"/>
        <v>5.2562500000000492E-7</v>
      </c>
      <c r="L220" s="10">
        <f t="shared" si="14"/>
        <v>1.0693215339233089</v>
      </c>
    </row>
    <row r="221" spans="1:12" x14ac:dyDescent="0.15">
      <c r="A221" s="3">
        <f>DATE(1978,2,1)</f>
        <v>28522</v>
      </c>
      <c r="B221" s="4">
        <v>6.7799999999999999E-2</v>
      </c>
      <c r="C221" s="12">
        <f t="shared" si="15"/>
        <v>6.7074999999999996E-2</v>
      </c>
      <c r="G221" s="3">
        <f>DATE(1978,3,1)</f>
        <v>28550</v>
      </c>
      <c r="H221" s="4">
        <v>6.7900000000000002E-2</v>
      </c>
      <c r="I221" s="12">
        <v>6.7900000000000002E-2</v>
      </c>
      <c r="J221" s="4">
        <f t="shared" si="12"/>
        <v>1.323788819875777E-2</v>
      </c>
      <c r="K221" s="9">
        <f t="shared" si="13"/>
        <v>0</v>
      </c>
      <c r="L221" s="10">
        <f t="shared" si="14"/>
        <v>0</v>
      </c>
    </row>
    <row r="222" spans="1:12" x14ac:dyDescent="0.15">
      <c r="A222" s="3">
        <f>DATE(1978,3,1)</f>
        <v>28550</v>
      </c>
      <c r="B222" s="4">
        <v>6.7900000000000002E-2</v>
      </c>
      <c r="C222" s="12">
        <f t="shared" si="15"/>
        <v>6.7900000000000002E-2</v>
      </c>
      <c r="G222" s="3">
        <f>DATE(1978,4,1)</f>
        <v>28581</v>
      </c>
      <c r="H222" s="4">
        <v>6.8900000000000003E-2</v>
      </c>
      <c r="I222" s="12">
        <v>6.9550000000000001E-2</v>
      </c>
      <c r="J222" s="4">
        <f t="shared" si="12"/>
        <v>1.4237888198757771E-2</v>
      </c>
      <c r="K222" s="9">
        <f t="shared" si="13"/>
        <v>4.2249999999999712E-7</v>
      </c>
      <c r="L222" s="10">
        <f t="shared" si="14"/>
        <v>0.94339622641509113</v>
      </c>
    </row>
    <row r="223" spans="1:12" x14ac:dyDescent="0.15">
      <c r="A223" s="3">
        <f>DATE(1978,4,1)</f>
        <v>28581</v>
      </c>
      <c r="B223" s="4">
        <v>6.8900000000000003E-2</v>
      </c>
      <c r="C223" s="12">
        <f t="shared" si="15"/>
        <v>6.9550000000000001E-2</v>
      </c>
      <c r="G223" s="3">
        <f>DATE(1978,5,1)</f>
        <v>28611</v>
      </c>
      <c r="H223" s="4">
        <v>7.3599999999999999E-2</v>
      </c>
      <c r="I223" s="12">
        <v>7.1599999999999997E-2</v>
      </c>
      <c r="J223" s="4">
        <f t="shared" si="12"/>
        <v>1.8937888198757767E-2</v>
      </c>
      <c r="K223" s="9">
        <f t="shared" si="13"/>
        <v>4.0000000000000074E-6</v>
      </c>
      <c r="L223" s="10">
        <f t="shared" si="14"/>
        <v>2.7173913043478284</v>
      </c>
    </row>
    <row r="224" spans="1:12" x14ac:dyDescent="0.15">
      <c r="A224" s="3">
        <f>DATE(1978,5,1)</f>
        <v>28611</v>
      </c>
      <c r="B224" s="4">
        <v>7.3599999999999999E-2</v>
      </c>
      <c r="C224" s="12">
        <f t="shared" si="15"/>
        <v>7.1599999999999997E-2</v>
      </c>
      <c r="G224" s="3">
        <f>DATE(1978,6,1)</f>
        <v>28642</v>
      </c>
      <c r="H224" s="4">
        <v>7.5999999999999998E-2</v>
      </c>
      <c r="I224" s="12">
        <v>7.4150000000000008E-2</v>
      </c>
      <c r="J224" s="4">
        <f t="shared" si="12"/>
        <v>2.1337888198757766E-2</v>
      </c>
      <c r="K224" s="9">
        <f t="shared" si="13"/>
        <v>3.4224999999999651E-6</v>
      </c>
      <c r="L224" s="10">
        <f t="shared" si="14"/>
        <v>2.4342105263157769</v>
      </c>
    </row>
    <row r="225" spans="1:12" x14ac:dyDescent="0.15">
      <c r="A225" s="3">
        <f>DATE(1978,6,1)</f>
        <v>28642</v>
      </c>
      <c r="B225" s="4">
        <v>7.5999999999999998E-2</v>
      </c>
      <c r="C225" s="12">
        <f t="shared" si="15"/>
        <v>7.4150000000000008E-2</v>
      </c>
      <c r="G225" s="3">
        <f>DATE(1978,7,1)</f>
        <v>28672</v>
      </c>
      <c r="H225" s="4">
        <v>7.8100000000000003E-2</v>
      </c>
      <c r="I225" s="12">
        <v>7.7024999999999996E-2</v>
      </c>
      <c r="J225" s="4">
        <f t="shared" si="12"/>
        <v>2.3437888198757771E-2</v>
      </c>
      <c r="K225" s="9">
        <f t="shared" si="13"/>
        <v>1.155625000000014E-6</v>
      </c>
      <c r="L225" s="10">
        <f t="shared" si="14"/>
        <v>1.3764404609475116</v>
      </c>
    </row>
    <row r="226" spans="1:12" x14ac:dyDescent="0.15">
      <c r="A226" s="3">
        <f>DATE(1978,7,1)</f>
        <v>28672</v>
      </c>
      <c r="B226" s="4">
        <v>7.8100000000000003E-2</v>
      </c>
      <c r="C226" s="12">
        <f t="shared" si="15"/>
        <v>7.7024999999999996E-2</v>
      </c>
      <c r="G226" s="3">
        <f>DATE(1978,8,1)</f>
        <v>28703</v>
      </c>
      <c r="H226" s="4">
        <v>8.0399999999999985E-2</v>
      </c>
      <c r="I226" s="12">
        <v>7.9749999999999988E-2</v>
      </c>
      <c r="J226" s="4">
        <f t="shared" si="12"/>
        <v>2.5737888198757754E-2</v>
      </c>
      <c r="K226" s="9">
        <f t="shared" si="13"/>
        <v>4.2249999999999712E-7</v>
      </c>
      <c r="L226" s="10">
        <f t="shared" si="14"/>
        <v>0.80845771144278344</v>
      </c>
    </row>
    <row r="227" spans="1:12" x14ac:dyDescent="0.15">
      <c r="A227" s="3">
        <f>DATE(1978,8,1)</f>
        <v>28703</v>
      </c>
      <c r="B227" s="4">
        <v>8.0399999999999985E-2</v>
      </c>
      <c r="C227" s="12">
        <f t="shared" si="15"/>
        <v>7.9749999999999988E-2</v>
      </c>
      <c r="G227" s="3">
        <f>DATE(1978,9,1)</f>
        <v>28734</v>
      </c>
      <c r="H227" s="4">
        <v>8.4499999999999992E-2</v>
      </c>
      <c r="I227" s="12">
        <v>8.3150000000000002E-2</v>
      </c>
      <c r="J227" s="4">
        <f t="shared" si="12"/>
        <v>2.983788819875776E-2</v>
      </c>
      <c r="K227" s="9">
        <f t="shared" si="13"/>
        <v>1.8224999999999732E-6</v>
      </c>
      <c r="L227" s="10">
        <f t="shared" si="14"/>
        <v>1.597633136094663</v>
      </c>
    </row>
    <row r="228" spans="1:12" x14ac:dyDescent="0.15">
      <c r="A228" s="3">
        <f>DATE(1978,9,1)</f>
        <v>28734</v>
      </c>
      <c r="B228" s="4">
        <v>8.4499999999999992E-2</v>
      </c>
      <c r="C228" s="12">
        <f t="shared" si="15"/>
        <v>8.3150000000000002E-2</v>
      </c>
      <c r="G228" s="3">
        <f>DATE(1978,10,1)</f>
        <v>28764</v>
      </c>
      <c r="H228" s="4">
        <v>8.9600000000000013E-2</v>
      </c>
      <c r="I228" s="12">
        <v>8.8024999999999992E-2</v>
      </c>
      <c r="J228" s="4">
        <f t="shared" si="12"/>
        <v>3.4937888198757781E-2</v>
      </c>
      <c r="K228" s="9">
        <f t="shared" si="13"/>
        <v>2.4806250000000657E-6</v>
      </c>
      <c r="L228" s="10">
        <f t="shared" si="14"/>
        <v>1.7578125000000229</v>
      </c>
    </row>
    <row r="229" spans="1:12" x14ac:dyDescent="0.15">
      <c r="A229" s="3">
        <f>DATE(1978,10,1)</f>
        <v>28764</v>
      </c>
      <c r="B229" s="4">
        <v>8.9600000000000013E-2</v>
      </c>
      <c r="C229" s="12">
        <f t="shared" si="15"/>
        <v>8.8024999999999992E-2</v>
      </c>
      <c r="G229" s="3">
        <f>DATE(1978,11,1)</f>
        <v>28795</v>
      </c>
      <c r="H229" s="4">
        <v>9.7599999999999992E-2</v>
      </c>
      <c r="I229" s="12">
        <v>9.2999999999999999E-2</v>
      </c>
      <c r="J229" s="4">
        <f t="shared" si="12"/>
        <v>4.2937888198757761E-2</v>
      </c>
      <c r="K229" s="9">
        <f t="shared" si="13"/>
        <v>2.1159999999999936E-5</v>
      </c>
      <c r="L229" s="10">
        <f t="shared" si="14"/>
        <v>4.7131147540983545</v>
      </c>
    </row>
    <row r="230" spans="1:12" x14ac:dyDescent="0.15">
      <c r="A230" s="3">
        <f>DATE(1978,11,1)</f>
        <v>28795</v>
      </c>
      <c r="B230" s="4">
        <v>9.7599999999999992E-2</v>
      </c>
      <c r="C230" s="12">
        <f t="shared" si="15"/>
        <v>9.2999999999999999E-2</v>
      </c>
      <c r="G230" s="3">
        <f>DATE(1978,12,1)</f>
        <v>28825</v>
      </c>
      <c r="H230" s="4">
        <v>0.1003</v>
      </c>
      <c r="I230" s="12">
        <v>9.7049999999999997E-2</v>
      </c>
      <c r="J230" s="4">
        <f t="shared" si="12"/>
        <v>4.5637888198757769E-2</v>
      </c>
      <c r="K230" s="9">
        <f t="shared" si="13"/>
        <v>1.056250000000002E-5</v>
      </c>
      <c r="L230" s="10">
        <f t="shared" si="14"/>
        <v>3.2402791625124654</v>
      </c>
    </row>
    <row r="231" spans="1:12" x14ac:dyDescent="0.15">
      <c r="A231" s="3">
        <f>DATE(1978,12,1)</f>
        <v>28825</v>
      </c>
      <c r="B231" s="4">
        <v>0.1003</v>
      </c>
      <c r="C231" s="12">
        <f t="shared" si="15"/>
        <v>9.7049999999999997E-2</v>
      </c>
      <c r="G231" s="3">
        <f>DATE(1979,1,1)</f>
        <v>28856</v>
      </c>
      <c r="H231" s="4">
        <v>0.1007</v>
      </c>
      <c r="I231" s="12">
        <v>9.98E-2</v>
      </c>
      <c r="J231" s="4">
        <f t="shared" si="12"/>
        <v>4.6037888198757766E-2</v>
      </c>
      <c r="K231" s="9">
        <f t="shared" si="13"/>
        <v>8.0999999999999648E-7</v>
      </c>
      <c r="L231" s="10">
        <f t="shared" si="14"/>
        <v>0.89374379344587684</v>
      </c>
    </row>
    <row r="232" spans="1:12" x14ac:dyDescent="0.15">
      <c r="A232" s="3">
        <f>DATE(1979,1,1)</f>
        <v>28856</v>
      </c>
      <c r="B232" s="4">
        <v>0.1007</v>
      </c>
      <c r="C232" s="12">
        <f t="shared" si="15"/>
        <v>9.98E-2</v>
      </c>
      <c r="G232" s="3">
        <f>DATE(1979,2,1)</f>
        <v>28887</v>
      </c>
      <c r="H232" s="4">
        <v>0.10060000000000001</v>
      </c>
      <c r="I232" s="12">
        <v>0.10062500000000001</v>
      </c>
      <c r="J232" s="4">
        <f t="shared" si="12"/>
        <v>4.5937888198757777E-2</v>
      </c>
      <c r="K232" s="9">
        <f t="shared" si="13"/>
        <v>6.2499999999986229E-10</v>
      </c>
      <c r="L232" s="10">
        <f t="shared" si="14"/>
        <v>2.485089463220402E-2</v>
      </c>
    </row>
    <row r="233" spans="1:12" x14ac:dyDescent="0.15">
      <c r="A233" s="3">
        <f>DATE(1979,2,1)</f>
        <v>28887</v>
      </c>
      <c r="B233" s="4">
        <v>0.10060000000000001</v>
      </c>
      <c r="C233" s="12">
        <f t="shared" si="15"/>
        <v>0.10062500000000001</v>
      </c>
      <c r="G233" s="3">
        <f>DATE(1979,3,1)</f>
        <v>28915</v>
      </c>
      <c r="H233" s="4">
        <v>0.1009</v>
      </c>
      <c r="I233" s="12">
        <v>0.100575</v>
      </c>
      <c r="J233" s="4">
        <f t="shared" si="12"/>
        <v>4.6237888198757772E-2</v>
      </c>
      <c r="K233" s="9">
        <f t="shared" si="13"/>
        <v>1.0562500000000379E-7</v>
      </c>
      <c r="L233" s="10">
        <f t="shared" si="14"/>
        <v>0.32210109018831101</v>
      </c>
    </row>
    <row r="234" spans="1:12" x14ac:dyDescent="0.15">
      <c r="A234" s="3">
        <f>DATE(1979,3,1)</f>
        <v>28915</v>
      </c>
      <c r="B234" s="4">
        <v>0.1009</v>
      </c>
      <c r="C234" s="12">
        <f t="shared" si="15"/>
        <v>0.100575</v>
      </c>
      <c r="G234" s="3">
        <f>DATE(1979,4,1)</f>
        <v>28946</v>
      </c>
      <c r="H234" s="4">
        <v>0.10009999999999999</v>
      </c>
      <c r="I234" s="12">
        <v>0.10099999999999999</v>
      </c>
      <c r="J234" s="4">
        <f t="shared" si="12"/>
        <v>4.5437888198757763E-2</v>
      </c>
      <c r="K234" s="9">
        <f t="shared" si="13"/>
        <v>8.0999999999999648E-7</v>
      </c>
      <c r="L234" s="10">
        <f t="shared" si="14"/>
        <v>0.89910089910089708</v>
      </c>
    </row>
    <row r="235" spans="1:12" x14ac:dyDescent="0.15">
      <c r="A235" s="3">
        <f>DATE(1979,4,1)</f>
        <v>28946</v>
      </c>
      <c r="B235" s="4">
        <v>0.10009999999999999</v>
      </c>
      <c r="C235" s="12">
        <f t="shared" si="15"/>
        <v>0.10099999999999999</v>
      </c>
      <c r="G235" s="3">
        <f>DATE(1979,5,1)</f>
        <v>28976</v>
      </c>
      <c r="H235" s="4">
        <v>0.1024</v>
      </c>
      <c r="I235" s="12">
        <v>0.101575</v>
      </c>
      <c r="J235" s="4">
        <f t="shared" si="12"/>
        <v>4.7737888198757773E-2</v>
      </c>
      <c r="K235" s="9">
        <f t="shared" si="13"/>
        <v>6.8062500000001032E-7</v>
      </c>
      <c r="L235" s="10">
        <f t="shared" si="14"/>
        <v>0.80566406250000611</v>
      </c>
    </row>
    <row r="236" spans="1:12" x14ac:dyDescent="0.15">
      <c r="A236" s="3">
        <f>DATE(1979,5,1)</f>
        <v>28976</v>
      </c>
      <c r="B236" s="4">
        <v>0.1024</v>
      </c>
      <c r="C236" s="12">
        <f t="shared" si="15"/>
        <v>0.101575</v>
      </c>
      <c r="G236" s="3">
        <f>DATE(1979,6,1)</f>
        <v>29007</v>
      </c>
      <c r="H236" s="4">
        <v>0.10289999999999999</v>
      </c>
      <c r="I236" s="12">
        <v>0.10252500000000001</v>
      </c>
      <c r="J236" s="4">
        <f t="shared" si="12"/>
        <v>4.823788819875776E-2</v>
      </c>
      <c r="K236" s="9">
        <f t="shared" si="13"/>
        <v>1.4062499999998984E-7</v>
      </c>
      <c r="L236" s="10">
        <f t="shared" si="14"/>
        <v>0.36443148688045335</v>
      </c>
    </row>
    <row r="237" spans="1:12" x14ac:dyDescent="0.15">
      <c r="A237" s="3">
        <f>DATE(1979,6,1)</f>
        <v>29007</v>
      </c>
      <c r="B237" s="4">
        <v>0.10289999999999999</v>
      </c>
      <c r="C237" s="12">
        <f t="shared" si="15"/>
        <v>0.10252500000000001</v>
      </c>
      <c r="G237" s="3">
        <f>DATE(1979,7,1)</f>
        <v>29037</v>
      </c>
      <c r="H237" s="4">
        <v>0.1047</v>
      </c>
      <c r="I237" s="12">
        <v>0.10485</v>
      </c>
      <c r="J237" s="4">
        <f t="shared" si="12"/>
        <v>5.003788819875777E-2</v>
      </c>
      <c r="K237" s="9">
        <f t="shared" si="13"/>
        <v>2.2499999999999209E-8</v>
      </c>
      <c r="L237" s="10">
        <f t="shared" si="14"/>
        <v>0.14326647564469663</v>
      </c>
    </row>
    <row r="238" spans="1:12" x14ac:dyDescent="0.15">
      <c r="A238" s="3">
        <f>DATE(1979,7,1)</f>
        <v>29037</v>
      </c>
      <c r="B238" s="4">
        <v>0.1047</v>
      </c>
      <c r="C238" s="12">
        <f t="shared" si="15"/>
        <v>0.10485</v>
      </c>
      <c r="G238" s="3">
        <f>DATE(1979,8,1)</f>
        <v>29068</v>
      </c>
      <c r="H238" s="4">
        <v>0.1094</v>
      </c>
      <c r="I238" s="12">
        <v>0.107825</v>
      </c>
      <c r="J238" s="4">
        <f t="shared" si="12"/>
        <v>5.4737888198757766E-2</v>
      </c>
      <c r="K238" s="9">
        <f t="shared" si="13"/>
        <v>2.480624999999978E-6</v>
      </c>
      <c r="L238" s="10">
        <f t="shared" si="14"/>
        <v>1.4396709323583117</v>
      </c>
    </row>
    <row r="239" spans="1:12" x14ac:dyDescent="0.15">
      <c r="A239" s="3">
        <f>DATE(1979,8,1)</f>
        <v>29068</v>
      </c>
      <c r="B239" s="4">
        <v>0.1094</v>
      </c>
      <c r="C239" s="12">
        <f t="shared" si="15"/>
        <v>0.107825</v>
      </c>
      <c r="G239" s="3">
        <f>DATE(1979,9,1)</f>
        <v>29099</v>
      </c>
      <c r="H239" s="4">
        <v>0.1143</v>
      </c>
      <c r="I239" s="12">
        <v>0.116525</v>
      </c>
      <c r="J239" s="4">
        <f t="shared" si="12"/>
        <v>5.9637888198757767E-2</v>
      </c>
      <c r="K239" s="9">
        <f t="shared" si="13"/>
        <v>4.9506250000000209E-6</v>
      </c>
      <c r="L239" s="10">
        <f t="shared" si="14"/>
        <v>1.946631671041124</v>
      </c>
    </row>
    <row r="240" spans="1:12" x14ac:dyDescent="0.15">
      <c r="A240" s="3">
        <f>DATE(1979,9,1)</f>
        <v>29099</v>
      </c>
      <c r="B240" s="4">
        <v>0.1143</v>
      </c>
      <c r="C240" s="12">
        <f t="shared" si="15"/>
        <v>0.116525</v>
      </c>
      <c r="G240" s="3">
        <f>DATE(1979,10,1)</f>
        <v>29129</v>
      </c>
      <c r="H240" s="4">
        <v>0.13769999999999999</v>
      </c>
      <c r="I240" s="12">
        <v>0.12329999999999999</v>
      </c>
      <c r="J240" s="4">
        <f t="shared" si="12"/>
        <v>8.3037888198757764E-2</v>
      </c>
      <c r="K240" s="9">
        <f t="shared" si="13"/>
        <v>2.0735999999999988E-4</v>
      </c>
      <c r="L240" s="10">
        <f t="shared" si="14"/>
        <v>10.457516339869279</v>
      </c>
    </row>
    <row r="241" spans="1:12" x14ac:dyDescent="0.15">
      <c r="A241" s="3">
        <f>DATE(1979,10,1)</f>
        <v>29129</v>
      </c>
      <c r="B241" s="4">
        <v>0.13769999999999999</v>
      </c>
      <c r="C241" s="12">
        <f t="shared" si="15"/>
        <v>0.12329999999999999</v>
      </c>
      <c r="G241" s="3">
        <f>DATE(1979,11,1)</f>
        <v>29160</v>
      </c>
      <c r="H241" s="4">
        <v>0.1318</v>
      </c>
      <c r="I241" s="12">
        <v>0.13040000000000002</v>
      </c>
      <c r="J241" s="4">
        <f t="shared" si="12"/>
        <v>7.7137888198757776E-2</v>
      </c>
      <c r="K241" s="9">
        <f t="shared" si="13"/>
        <v>1.9599999999999567E-6</v>
      </c>
      <c r="L241" s="10">
        <f t="shared" si="14"/>
        <v>1.0622154779969533</v>
      </c>
    </row>
    <row r="242" spans="1:12" x14ac:dyDescent="0.15">
      <c r="A242" s="3">
        <f>DATE(1979,11,1)</f>
        <v>29160</v>
      </c>
      <c r="B242" s="4">
        <v>0.1318</v>
      </c>
      <c r="C242" s="12">
        <f t="shared" si="15"/>
        <v>0.13040000000000002</v>
      </c>
      <c r="G242" s="3">
        <f>DATE(1979,12,1)</f>
        <v>29190</v>
      </c>
      <c r="H242" s="4">
        <v>0.13780000000000001</v>
      </c>
      <c r="I242" s="12">
        <v>0.136375</v>
      </c>
      <c r="J242" s="4">
        <f t="shared" si="12"/>
        <v>8.3137888198757781E-2</v>
      </c>
      <c r="K242" s="9">
        <f t="shared" si="13"/>
        <v>2.0306250000000273E-6</v>
      </c>
      <c r="L242" s="10">
        <f t="shared" si="14"/>
        <v>1.0341074020319374</v>
      </c>
    </row>
    <row r="243" spans="1:12" x14ac:dyDescent="0.15">
      <c r="A243" s="3">
        <f>DATE(1979,12,1)</f>
        <v>29190</v>
      </c>
      <c r="B243" s="4">
        <v>0.13780000000000001</v>
      </c>
      <c r="C243" s="12">
        <f t="shared" si="15"/>
        <v>0.136375</v>
      </c>
      <c r="G243" s="3">
        <f>DATE(1980,1,1)</f>
        <v>29221</v>
      </c>
      <c r="H243" s="4">
        <v>0.13819999999999999</v>
      </c>
      <c r="I243" s="12">
        <v>0.13727500000000001</v>
      </c>
      <c r="J243" s="4">
        <f t="shared" si="12"/>
        <v>8.3537888198757765E-2</v>
      </c>
      <c r="K243" s="9">
        <f t="shared" si="13"/>
        <v>8.5562499999996555E-7</v>
      </c>
      <c r="L243" s="10">
        <f t="shared" si="14"/>
        <v>0.6693198263386263</v>
      </c>
    </row>
    <row r="244" spans="1:12" x14ac:dyDescent="0.15">
      <c r="A244" s="3">
        <f>DATE(1980,1,1)</f>
        <v>29221</v>
      </c>
      <c r="B244" s="4">
        <v>0.13819999999999999</v>
      </c>
      <c r="C244" s="12">
        <f t="shared" si="15"/>
        <v>0.13727500000000001</v>
      </c>
      <c r="G244" s="3">
        <f>DATE(1980,2,1)</f>
        <v>29252</v>
      </c>
      <c r="H244" s="4">
        <v>0.14130000000000001</v>
      </c>
      <c r="I244" s="12">
        <v>0.14730000000000001</v>
      </c>
      <c r="J244" s="4">
        <f t="shared" si="12"/>
        <v>8.6637888198757784E-2</v>
      </c>
      <c r="K244" s="9">
        <f t="shared" si="13"/>
        <v>3.6000000000000062E-5</v>
      </c>
      <c r="L244" s="10">
        <f t="shared" si="14"/>
        <v>4.2462845010615746</v>
      </c>
    </row>
    <row r="245" spans="1:12" x14ac:dyDescent="0.15">
      <c r="A245" s="3">
        <f>DATE(1980,2,1)</f>
        <v>29252</v>
      </c>
      <c r="B245" s="4">
        <v>0.14130000000000001</v>
      </c>
      <c r="C245" s="12">
        <f t="shared" si="15"/>
        <v>0.14730000000000001</v>
      </c>
      <c r="G245" s="3">
        <f>DATE(1980,3,1)</f>
        <v>29281</v>
      </c>
      <c r="H245" s="4">
        <v>0.17190000000000003</v>
      </c>
      <c r="I245" s="12">
        <v>0.15687500000000001</v>
      </c>
      <c r="J245" s="4">
        <f t="shared" si="12"/>
        <v>0.1172378881987578</v>
      </c>
      <c r="K245" s="9">
        <f t="shared" si="13"/>
        <v>2.2575062500000031E-4</v>
      </c>
      <c r="L245" s="10">
        <f t="shared" si="14"/>
        <v>8.7405468295520699</v>
      </c>
    </row>
    <row r="246" spans="1:12" x14ac:dyDescent="0.15">
      <c r="A246" s="3">
        <f>DATE(1980,3,1)</f>
        <v>29281</v>
      </c>
      <c r="B246" s="4">
        <v>0.17190000000000003</v>
      </c>
      <c r="C246" s="12">
        <f t="shared" si="15"/>
        <v>0.15687500000000001</v>
      </c>
      <c r="G246" s="3">
        <f>DATE(1980,4,1)</f>
        <v>29312</v>
      </c>
      <c r="H246" s="4">
        <v>0.17610000000000001</v>
      </c>
      <c r="I246" s="12">
        <v>0.14977500000000002</v>
      </c>
      <c r="J246" s="4">
        <f t="shared" si="12"/>
        <v>0.12143788819875778</v>
      </c>
      <c r="K246" s="9">
        <f t="shared" si="13"/>
        <v>6.9300562499999936E-4</v>
      </c>
      <c r="L246" s="10">
        <f t="shared" si="14"/>
        <v>14.948892674616687</v>
      </c>
    </row>
    <row r="247" spans="1:12" x14ac:dyDescent="0.15">
      <c r="A247" s="3">
        <f>DATE(1980,4,1)</f>
        <v>29312</v>
      </c>
      <c r="B247" s="4">
        <v>0.17610000000000001</v>
      </c>
      <c r="C247" s="12">
        <f t="shared" si="15"/>
        <v>0.14977500000000002</v>
      </c>
      <c r="G247" s="3">
        <f>DATE(1980,5,1)</f>
        <v>29342</v>
      </c>
      <c r="H247" s="4">
        <v>0.10980000000000001</v>
      </c>
      <c r="I247" s="12">
        <v>0.138125</v>
      </c>
      <c r="J247" s="4">
        <f t="shared" si="12"/>
        <v>5.5137888198757777E-2</v>
      </c>
      <c r="K247" s="9">
        <f t="shared" si="13"/>
        <v>8.0230562499999936E-4</v>
      </c>
      <c r="L247" s="10">
        <f t="shared" si="14"/>
        <v>25.796903460837878</v>
      </c>
    </row>
    <row r="248" spans="1:12" x14ac:dyDescent="0.15">
      <c r="A248" s="3">
        <f>DATE(1980,5,1)</f>
        <v>29342</v>
      </c>
      <c r="B248" s="4">
        <v>0.10980000000000001</v>
      </c>
      <c r="C248" s="12">
        <f t="shared" si="15"/>
        <v>0.138125</v>
      </c>
      <c r="G248" s="3">
        <f>DATE(1980,6,1)</f>
        <v>29373</v>
      </c>
      <c r="H248" s="4">
        <v>9.4700000000000006E-2</v>
      </c>
      <c r="I248" s="12">
        <v>0.11772500000000001</v>
      </c>
      <c r="J248" s="4">
        <f t="shared" si="12"/>
        <v>4.0037888198757775E-2</v>
      </c>
      <c r="K248" s="9">
        <f t="shared" si="13"/>
        <v>5.3015062500000017E-4</v>
      </c>
      <c r="L248" s="10">
        <f t="shared" si="14"/>
        <v>24.313621964097152</v>
      </c>
    </row>
    <row r="249" spans="1:12" x14ac:dyDescent="0.15">
      <c r="A249" s="3">
        <f>DATE(1980,6,1)</f>
        <v>29373</v>
      </c>
      <c r="B249" s="4">
        <v>9.4700000000000006E-2</v>
      </c>
      <c r="C249" s="12">
        <f t="shared" si="15"/>
        <v>0.11772500000000001</v>
      </c>
      <c r="G249" s="3">
        <f>DATE(1980,7,1)</f>
        <v>29403</v>
      </c>
      <c r="H249" s="4">
        <v>9.0299999999999991E-2</v>
      </c>
      <c r="I249" s="12">
        <v>9.7725000000000006E-2</v>
      </c>
      <c r="J249" s="4">
        <f t="shared" si="12"/>
        <v>3.563788819875776E-2</v>
      </c>
      <c r="K249" s="9">
        <f t="shared" si="13"/>
        <v>5.5130625000000222E-5</v>
      </c>
      <c r="L249" s="10">
        <f t="shared" si="14"/>
        <v>8.2225913621262627</v>
      </c>
    </row>
    <row r="250" spans="1:12" x14ac:dyDescent="0.15">
      <c r="A250" s="3">
        <f>DATE(1980,7,1)</f>
        <v>29403</v>
      </c>
      <c r="B250" s="4">
        <v>9.0299999999999991E-2</v>
      </c>
      <c r="C250" s="12">
        <f t="shared" si="15"/>
        <v>9.7725000000000006E-2</v>
      </c>
      <c r="G250" s="3">
        <f>DATE(1980,8,1)</f>
        <v>29434</v>
      </c>
      <c r="H250" s="4">
        <v>9.6099999999999991E-2</v>
      </c>
      <c r="I250" s="12">
        <v>9.7450000000000009E-2</v>
      </c>
      <c r="J250" s="4">
        <f t="shared" si="12"/>
        <v>4.1437888198757759E-2</v>
      </c>
      <c r="K250" s="9">
        <f t="shared" si="13"/>
        <v>1.8225000000000482E-6</v>
      </c>
      <c r="L250" s="10">
        <f t="shared" si="14"/>
        <v>1.4047866805411218</v>
      </c>
    </row>
    <row r="251" spans="1:12" x14ac:dyDescent="0.15">
      <c r="A251" s="3">
        <f>DATE(1980,8,1)</f>
        <v>29434</v>
      </c>
      <c r="B251" s="4">
        <v>9.6099999999999991E-2</v>
      </c>
      <c r="C251" s="12">
        <f t="shared" si="15"/>
        <v>9.7450000000000009E-2</v>
      </c>
      <c r="G251" s="3">
        <f>DATE(1980,9,1)</f>
        <v>29465</v>
      </c>
      <c r="H251" s="4">
        <v>0.10869999999999999</v>
      </c>
      <c r="I251" s="12">
        <v>0.10579999999999999</v>
      </c>
      <c r="J251" s="4">
        <f t="shared" si="12"/>
        <v>5.4037888198757759E-2</v>
      </c>
      <c r="K251" s="9">
        <f t="shared" si="13"/>
        <v>8.4099999999999991E-6</v>
      </c>
      <c r="L251" s="10">
        <f t="shared" si="14"/>
        <v>2.6678932842686289</v>
      </c>
    </row>
    <row r="252" spans="1:12" x14ac:dyDescent="0.15">
      <c r="A252" s="3">
        <f>DATE(1980,9,1)</f>
        <v>29465</v>
      </c>
      <c r="B252" s="4">
        <v>0.10869999999999999</v>
      </c>
      <c r="C252" s="12">
        <f t="shared" si="15"/>
        <v>0.10579999999999999</v>
      </c>
      <c r="G252" s="3">
        <f>DATE(1980,10,1)</f>
        <v>29495</v>
      </c>
      <c r="H252" s="4">
        <v>0.12809999999999999</v>
      </c>
      <c r="I252" s="12">
        <v>0.12284999999999999</v>
      </c>
      <c r="J252" s="4">
        <f t="shared" si="12"/>
        <v>7.3437888198757767E-2</v>
      </c>
      <c r="K252" s="9">
        <f t="shared" si="13"/>
        <v>2.756250000000005E-5</v>
      </c>
      <c r="L252" s="10">
        <f t="shared" si="14"/>
        <v>4.098360655737709</v>
      </c>
    </row>
    <row r="253" spans="1:12" x14ac:dyDescent="0.15">
      <c r="A253" s="3">
        <f>DATE(1980,10,1)</f>
        <v>29495</v>
      </c>
      <c r="B253" s="4">
        <v>0.12809999999999999</v>
      </c>
      <c r="C253" s="12">
        <f t="shared" si="15"/>
        <v>0.12284999999999999</v>
      </c>
      <c r="G253" s="3">
        <f>DATE(1980,11,1)</f>
        <v>29526</v>
      </c>
      <c r="H253" s="4">
        <v>0.1585</v>
      </c>
      <c r="I253" s="12">
        <v>0.14607499999999998</v>
      </c>
      <c r="J253" s="4">
        <f t="shared" si="12"/>
        <v>0.10383788819875778</v>
      </c>
      <c r="K253" s="9">
        <f t="shared" si="13"/>
        <v>1.5438062500000048E-4</v>
      </c>
      <c r="L253" s="10">
        <f t="shared" si="14"/>
        <v>7.8391167192429139</v>
      </c>
    </row>
    <row r="254" spans="1:12" x14ac:dyDescent="0.15">
      <c r="A254" s="3">
        <f>DATE(1980,11,1)</f>
        <v>29526</v>
      </c>
      <c r="B254" s="4">
        <v>0.1585</v>
      </c>
      <c r="C254" s="12">
        <f t="shared" si="15"/>
        <v>0.14607499999999998</v>
      </c>
      <c r="G254" s="3">
        <f>DATE(1980,12,1)</f>
        <v>29556</v>
      </c>
      <c r="H254" s="4">
        <v>0.18899999999999997</v>
      </c>
      <c r="I254" s="12">
        <v>0.16659999999999997</v>
      </c>
      <c r="J254" s="4">
        <f t="shared" si="12"/>
        <v>0.13433788819875775</v>
      </c>
      <c r="K254" s="9">
        <f t="shared" si="13"/>
        <v>5.0176000000000018E-4</v>
      </c>
      <c r="L254" s="10">
        <f t="shared" si="14"/>
        <v>11.851851851851855</v>
      </c>
    </row>
    <row r="255" spans="1:12" x14ac:dyDescent="0.15">
      <c r="A255" s="3">
        <f>DATE(1980,12,1)</f>
        <v>29556</v>
      </c>
      <c r="B255" s="4">
        <v>0.18899999999999997</v>
      </c>
      <c r="C255" s="12">
        <f t="shared" si="15"/>
        <v>0.16659999999999997</v>
      </c>
      <c r="G255" s="3">
        <f>DATE(1981,1,1)</f>
        <v>29587</v>
      </c>
      <c r="H255" s="4">
        <v>0.19079999999999997</v>
      </c>
      <c r="I255" s="12">
        <v>0.1744</v>
      </c>
      <c r="J255" s="4">
        <f t="shared" si="12"/>
        <v>0.13613788819875774</v>
      </c>
      <c r="K255" s="9">
        <f t="shared" si="13"/>
        <v>2.6895999999999902E-4</v>
      </c>
      <c r="L255" s="10">
        <f t="shared" si="14"/>
        <v>8.5953878406708455</v>
      </c>
    </row>
    <row r="256" spans="1:12" x14ac:dyDescent="0.15">
      <c r="A256" s="3">
        <f>DATE(1981,1,1)</f>
        <v>29587</v>
      </c>
      <c r="B256" s="4">
        <v>0.19079999999999997</v>
      </c>
      <c r="C256" s="12">
        <f t="shared" si="15"/>
        <v>0.1744</v>
      </c>
      <c r="G256" s="3">
        <f>DATE(1981,2,1)</f>
        <v>29618</v>
      </c>
      <c r="H256" s="4">
        <v>0.1593</v>
      </c>
      <c r="I256" s="12">
        <v>0.17152499999999998</v>
      </c>
      <c r="J256" s="4">
        <f t="shared" si="12"/>
        <v>0.10463788819875777</v>
      </c>
      <c r="K256" s="9">
        <f t="shared" si="13"/>
        <v>1.4945062499999964E-4</v>
      </c>
      <c r="L256" s="10">
        <f t="shared" si="14"/>
        <v>7.6741996233521572</v>
      </c>
    </row>
    <row r="257" spans="1:12" x14ac:dyDescent="0.15">
      <c r="A257" s="3">
        <f>DATE(1981,2,1)</f>
        <v>29618</v>
      </c>
      <c r="B257" s="4">
        <v>0.1593</v>
      </c>
      <c r="C257" s="12">
        <f t="shared" si="15"/>
        <v>0.17152499999999998</v>
      </c>
      <c r="G257" s="3">
        <f>DATE(1981,3,1)</f>
        <v>29646</v>
      </c>
      <c r="H257" s="4">
        <v>0.14699999999999999</v>
      </c>
      <c r="I257" s="12">
        <v>0.163575</v>
      </c>
      <c r="J257" s="4">
        <f t="shared" si="12"/>
        <v>9.2337888198757767E-2</v>
      </c>
      <c r="K257" s="9">
        <f t="shared" si="13"/>
        <v>2.7473062500000021E-4</v>
      </c>
      <c r="L257" s="10">
        <f t="shared" si="14"/>
        <v>11.275510204081638</v>
      </c>
    </row>
    <row r="258" spans="1:12" x14ac:dyDescent="0.15">
      <c r="A258" s="3">
        <f>DATE(1981,3,1)</f>
        <v>29646</v>
      </c>
      <c r="B258" s="4">
        <v>0.14699999999999999</v>
      </c>
      <c r="C258" s="12">
        <f t="shared" si="15"/>
        <v>0.163575</v>
      </c>
      <c r="G258" s="3">
        <f>DATE(1981,4,1)</f>
        <v>29677</v>
      </c>
      <c r="H258" s="4">
        <v>0.15720000000000001</v>
      </c>
      <c r="I258" s="12">
        <v>0.16217500000000001</v>
      </c>
      <c r="J258" s="4">
        <f t="shared" si="12"/>
        <v>0.10253788819875778</v>
      </c>
      <c r="K258" s="9">
        <f t="shared" si="13"/>
        <v>2.4750625000000073E-5</v>
      </c>
      <c r="L258" s="10">
        <f t="shared" si="14"/>
        <v>3.1647582697201062</v>
      </c>
    </row>
    <row r="259" spans="1:12" x14ac:dyDescent="0.15">
      <c r="A259" s="3">
        <f>DATE(1981,4,1)</f>
        <v>29677</v>
      </c>
      <c r="B259" s="4">
        <v>0.15720000000000001</v>
      </c>
      <c r="C259" s="12">
        <f t="shared" si="15"/>
        <v>0.16217500000000001</v>
      </c>
      <c r="G259" s="3">
        <f>DATE(1981,5,1)</f>
        <v>29707</v>
      </c>
      <c r="H259" s="4">
        <v>0.1852</v>
      </c>
      <c r="I259" s="12">
        <v>0.17010000000000003</v>
      </c>
      <c r="J259" s="4">
        <f t="shared" si="12"/>
        <v>0.13053788819875778</v>
      </c>
      <c r="K259" s="9">
        <f t="shared" si="13"/>
        <v>2.2800999999999922E-4</v>
      </c>
      <c r="L259" s="10">
        <f t="shared" si="14"/>
        <v>8.1533477321814107</v>
      </c>
    </row>
    <row r="260" spans="1:12" x14ac:dyDescent="0.15">
      <c r="A260" s="3">
        <f>DATE(1981,5,1)</f>
        <v>29707</v>
      </c>
      <c r="B260" s="4">
        <v>0.1852</v>
      </c>
      <c r="C260" s="12">
        <f t="shared" si="15"/>
        <v>0.17010000000000003</v>
      </c>
      <c r="G260" s="3">
        <f>DATE(1981,6,1)</f>
        <v>29738</v>
      </c>
      <c r="H260" s="4">
        <v>0.191</v>
      </c>
      <c r="I260" s="12">
        <v>0.18095000000000003</v>
      </c>
      <c r="J260" s="4">
        <f t="shared" si="12"/>
        <v>0.13633788819875778</v>
      </c>
      <c r="K260" s="9">
        <f t="shared" si="13"/>
        <v>1.0100249999999951E-4</v>
      </c>
      <c r="L260" s="10">
        <f t="shared" si="14"/>
        <v>5.2617801047120292</v>
      </c>
    </row>
    <row r="261" spans="1:12" x14ac:dyDescent="0.15">
      <c r="A261" s="3">
        <f>DATE(1981,6,1)</f>
        <v>29738</v>
      </c>
      <c r="B261" s="4">
        <v>0.191</v>
      </c>
      <c r="C261" s="12">
        <f t="shared" si="15"/>
        <v>0.18095000000000003</v>
      </c>
      <c r="G261" s="3">
        <f>DATE(1981,7,1)</f>
        <v>29768</v>
      </c>
      <c r="H261" s="4">
        <v>0.19039999999999999</v>
      </c>
      <c r="I261" s="12">
        <v>0.1862</v>
      </c>
      <c r="J261" s="4">
        <f t="shared" si="12"/>
        <v>0.13573788819875776</v>
      </c>
      <c r="K261" s="9">
        <f t="shared" si="13"/>
        <v>1.7639999999999845E-5</v>
      </c>
      <c r="L261" s="10">
        <f t="shared" si="14"/>
        <v>2.2058823529411669</v>
      </c>
    </row>
    <row r="262" spans="1:12" x14ac:dyDescent="0.15">
      <c r="A262" s="3">
        <f>DATE(1981,7,1)</f>
        <v>29768</v>
      </c>
      <c r="B262" s="4">
        <v>0.19039999999999999</v>
      </c>
      <c r="C262" s="12">
        <f t="shared" si="15"/>
        <v>0.1862</v>
      </c>
      <c r="G262" s="3">
        <f>DATE(1981,8,1)</f>
        <v>29799</v>
      </c>
      <c r="H262" s="4">
        <v>0.1782</v>
      </c>
      <c r="I262" s="12">
        <v>0.17957499999999998</v>
      </c>
      <c r="J262" s="4">
        <f t="shared" ref="J262:J325" si="16">ABS(H262-$Q$4)</f>
        <v>0.12353788819875777</v>
      </c>
      <c r="K262" s="9">
        <f t="shared" ref="K262:K325" si="17">(H262-I262)^2</f>
        <v>1.8906249999999653E-6</v>
      </c>
      <c r="L262" s="10">
        <f t="shared" ref="L262:L325" si="18">ABS(H262-I262)/H262*100</f>
        <v>0.77160493827159782</v>
      </c>
    </row>
    <row r="263" spans="1:12" x14ac:dyDescent="0.15">
      <c r="A263" s="3">
        <f>DATE(1981,8,1)</f>
        <v>29799</v>
      </c>
      <c r="B263" s="4">
        <v>0.1782</v>
      </c>
      <c r="C263" s="12">
        <f t="shared" ref="C263:C326" si="19">(B261+B262+B263+B264)/4</f>
        <v>0.17957499999999998</v>
      </c>
      <c r="G263" s="3">
        <f>DATE(1981,9,1)</f>
        <v>29830</v>
      </c>
      <c r="H263" s="4">
        <v>0.15869999999999998</v>
      </c>
      <c r="I263" s="12">
        <v>0.16952499999999998</v>
      </c>
      <c r="J263" s="4">
        <f t="shared" si="16"/>
        <v>0.10403788819875776</v>
      </c>
      <c r="K263" s="9">
        <f t="shared" si="17"/>
        <v>1.1718062500000002E-4</v>
      </c>
      <c r="L263" s="10">
        <f t="shared" si="18"/>
        <v>6.8210459987397627</v>
      </c>
    </row>
    <row r="264" spans="1:12" x14ac:dyDescent="0.15">
      <c r="A264" s="3">
        <f>DATE(1981,9,1)</f>
        <v>29830</v>
      </c>
      <c r="B264" s="4">
        <v>0.15869999999999998</v>
      </c>
      <c r="C264" s="12">
        <f t="shared" si="19"/>
        <v>0.16952499999999998</v>
      </c>
      <c r="G264" s="3">
        <f>DATE(1981,10,1)</f>
        <v>29860</v>
      </c>
      <c r="H264" s="4">
        <v>0.15079999999999999</v>
      </c>
      <c r="I264" s="12">
        <v>0.1552</v>
      </c>
      <c r="J264" s="4">
        <f t="shared" si="16"/>
        <v>9.6137888198757765E-2</v>
      </c>
      <c r="K264" s="9">
        <f t="shared" si="17"/>
        <v>1.9360000000000133E-5</v>
      </c>
      <c r="L264" s="10">
        <f t="shared" si="18"/>
        <v>2.9177718832891348</v>
      </c>
    </row>
    <row r="265" spans="1:12" x14ac:dyDescent="0.15">
      <c r="A265" s="3">
        <f>DATE(1981,10,1)</f>
        <v>29860</v>
      </c>
      <c r="B265" s="4">
        <v>0.15079999999999999</v>
      </c>
      <c r="C265" s="12">
        <f t="shared" si="19"/>
        <v>0.1552</v>
      </c>
      <c r="G265" s="3">
        <f>DATE(1981,11,1)</f>
        <v>29891</v>
      </c>
      <c r="H265" s="4">
        <v>0.1331</v>
      </c>
      <c r="I265" s="12">
        <v>0.14157500000000001</v>
      </c>
      <c r="J265" s="4">
        <f t="shared" si="16"/>
        <v>7.8437888198757771E-2</v>
      </c>
      <c r="K265" s="9">
        <f t="shared" si="17"/>
        <v>7.182562500000017E-5</v>
      </c>
      <c r="L265" s="10">
        <f t="shared" si="18"/>
        <v>6.3673929376408793</v>
      </c>
    </row>
    <row r="266" spans="1:12" x14ac:dyDescent="0.15">
      <c r="A266" s="3">
        <f>DATE(1981,11,1)</f>
        <v>29891</v>
      </c>
      <c r="B266" s="4">
        <v>0.1331</v>
      </c>
      <c r="C266" s="12">
        <f t="shared" si="19"/>
        <v>0.14157500000000001</v>
      </c>
      <c r="G266" s="3">
        <f>DATE(1981,12,1)</f>
        <v>29921</v>
      </c>
      <c r="H266" s="4">
        <v>0.12369999999999999</v>
      </c>
      <c r="I266" s="12">
        <v>0.13494999999999999</v>
      </c>
      <c r="J266" s="4">
        <f t="shared" si="16"/>
        <v>6.9037888198757752E-2</v>
      </c>
      <c r="K266" s="9">
        <f t="shared" si="17"/>
        <v>1.2656249999999991E-4</v>
      </c>
      <c r="L266" s="10">
        <f t="shared" si="18"/>
        <v>9.0945836701697633</v>
      </c>
    </row>
    <row r="267" spans="1:12" x14ac:dyDescent="0.15">
      <c r="A267" s="3">
        <f>DATE(1981,12,1)</f>
        <v>29921</v>
      </c>
      <c r="B267" s="4">
        <v>0.12369999999999999</v>
      </c>
      <c r="C267" s="12">
        <f t="shared" si="19"/>
        <v>0.13494999999999999</v>
      </c>
      <c r="G267" s="3">
        <f>DATE(1982,1,1)</f>
        <v>29952</v>
      </c>
      <c r="H267" s="4">
        <v>0.13220000000000001</v>
      </c>
      <c r="I267" s="12">
        <v>0.13419999999999999</v>
      </c>
      <c r="J267" s="4">
        <f t="shared" si="16"/>
        <v>7.7537888198757787E-2</v>
      </c>
      <c r="K267" s="9">
        <f t="shared" si="17"/>
        <v>3.9999999999998965E-6</v>
      </c>
      <c r="L267" s="10">
        <f t="shared" si="18"/>
        <v>1.5128593040847005</v>
      </c>
    </row>
    <row r="268" spans="1:12" x14ac:dyDescent="0.15">
      <c r="A268" s="3">
        <f>DATE(1982,1,1)</f>
        <v>29952</v>
      </c>
      <c r="B268" s="4">
        <v>0.13220000000000001</v>
      </c>
      <c r="C268" s="12">
        <f t="shared" si="19"/>
        <v>0.13419999999999999</v>
      </c>
      <c r="G268" s="3">
        <f>DATE(1982,2,1)</f>
        <v>29983</v>
      </c>
      <c r="H268" s="4">
        <v>0.14779999999999999</v>
      </c>
      <c r="I268" s="12">
        <v>0.137625</v>
      </c>
      <c r="J268" s="4">
        <f t="shared" si="16"/>
        <v>9.3137888198757762E-2</v>
      </c>
      <c r="K268" s="9">
        <f t="shared" si="17"/>
        <v>1.0353062499999979E-4</v>
      </c>
      <c r="L268" s="10">
        <f t="shared" si="18"/>
        <v>6.8843031123139315</v>
      </c>
    </row>
    <row r="269" spans="1:12" x14ac:dyDescent="0.15">
      <c r="A269" s="3">
        <f>DATE(1982,2,1)</f>
        <v>29983</v>
      </c>
      <c r="B269" s="4">
        <v>0.14779999999999999</v>
      </c>
      <c r="C269" s="12">
        <f t="shared" si="19"/>
        <v>0.137625</v>
      </c>
      <c r="G269" s="3">
        <f>DATE(1982,3,1)</f>
        <v>30011</v>
      </c>
      <c r="H269" s="4">
        <v>0.14679999999999999</v>
      </c>
      <c r="I269" s="12">
        <v>0.14405000000000001</v>
      </c>
      <c r="J269" s="4">
        <f t="shared" si="16"/>
        <v>9.2137888198757761E-2</v>
      </c>
      <c r="K269" s="9">
        <f t="shared" si="17"/>
        <v>7.5624999999998611E-6</v>
      </c>
      <c r="L269" s="10">
        <f t="shared" si="18"/>
        <v>1.8732970027247786</v>
      </c>
    </row>
    <row r="270" spans="1:12" x14ac:dyDescent="0.15">
      <c r="A270" s="3">
        <f>DATE(1982,3,1)</f>
        <v>30011</v>
      </c>
      <c r="B270" s="4">
        <v>0.14679999999999999</v>
      </c>
      <c r="C270" s="12">
        <f t="shared" si="19"/>
        <v>0.14405000000000001</v>
      </c>
      <c r="G270" s="3">
        <f>DATE(1982,4,1)</f>
        <v>30042</v>
      </c>
      <c r="H270" s="4">
        <v>0.14940000000000001</v>
      </c>
      <c r="I270" s="12">
        <v>0.14712499999999998</v>
      </c>
      <c r="J270" s="4">
        <f t="shared" si="16"/>
        <v>9.473788819875778E-2</v>
      </c>
      <c r="K270" s="9">
        <f t="shared" si="17"/>
        <v>5.1756250000001229E-6</v>
      </c>
      <c r="L270" s="10">
        <f t="shared" si="18"/>
        <v>1.5227576974565107</v>
      </c>
    </row>
    <row r="271" spans="1:12" x14ac:dyDescent="0.15">
      <c r="A271" s="3">
        <f>DATE(1982,4,1)</f>
        <v>30042</v>
      </c>
      <c r="B271" s="4">
        <v>0.14940000000000001</v>
      </c>
      <c r="C271" s="12">
        <f t="shared" si="19"/>
        <v>0.14712499999999998</v>
      </c>
      <c r="G271" s="3">
        <f>DATE(1982,5,1)</f>
        <v>30072</v>
      </c>
      <c r="H271" s="4">
        <v>0.14449999999999999</v>
      </c>
      <c r="I271" s="12">
        <v>0.14555000000000001</v>
      </c>
      <c r="J271" s="4">
        <f t="shared" si="16"/>
        <v>8.9837888198757765E-2</v>
      </c>
      <c r="K271" s="9">
        <f t="shared" si="17"/>
        <v>1.1025000000000485E-6</v>
      </c>
      <c r="L271" s="10">
        <f t="shared" si="18"/>
        <v>0.72664359861593308</v>
      </c>
    </row>
    <row r="272" spans="1:12" x14ac:dyDescent="0.15">
      <c r="A272" s="3">
        <f>DATE(1982,5,1)</f>
        <v>30072</v>
      </c>
      <c r="B272" s="4">
        <v>0.14449999999999999</v>
      </c>
      <c r="C272" s="12">
        <f t="shared" si="19"/>
        <v>0.14555000000000001</v>
      </c>
      <c r="G272" s="3">
        <f>DATE(1982,6,1)</f>
        <v>30103</v>
      </c>
      <c r="H272" s="4">
        <v>0.14150000000000001</v>
      </c>
      <c r="I272" s="12">
        <v>0.14032500000000001</v>
      </c>
      <c r="J272" s="4">
        <f t="shared" si="16"/>
        <v>8.683788819875779E-2</v>
      </c>
      <c r="K272" s="9">
        <f t="shared" si="17"/>
        <v>1.380625000000022E-6</v>
      </c>
      <c r="L272" s="10">
        <f t="shared" si="18"/>
        <v>0.83038869257951176</v>
      </c>
    </row>
    <row r="273" spans="1:12" x14ac:dyDescent="0.15">
      <c r="A273" s="3">
        <f>DATE(1982,6,1)</f>
        <v>30103</v>
      </c>
      <c r="B273" s="4">
        <v>0.14150000000000001</v>
      </c>
      <c r="C273" s="12">
        <f t="shared" si="19"/>
        <v>0.14032500000000001</v>
      </c>
      <c r="G273" s="3">
        <f>DATE(1982,7,1)</f>
        <v>30133</v>
      </c>
      <c r="H273" s="4">
        <v>0.12590000000000001</v>
      </c>
      <c r="I273" s="12">
        <v>0.128275</v>
      </c>
      <c r="J273" s="4">
        <f t="shared" si="16"/>
        <v>7.1237888198757787E-2</v>
      </c>
      <c r="K273" s="9">
        <f t="shared" si="17"/>
        <v>5.640624999999944E-6</v>
      </c>
      <c r="L273" s="10">
        <f t="shared" si="18"/>
        <v>1.8864177918983225</v>
      </c>
    </row>
    <row r="274" spans="1:12" x14ac:dyDescent="0.15">
      <c r="A274" s="3">
        <f>DATE(1982,7,1)</f>
        <v>30133</v>
      </c>
      <c r="B274" s="4">
        <v>0.12590000000000001</v>
      </c>
      <c r="C274" s="12">
        <f t="shared" si="19"/>
        <v>0.128275</v>
      </c>
      <c r="G274" s="3">
        <f>DATE(1982,8,1)</f>
        <v>30164</v>
      </c>
      <c r="H274" s="4">
        <v>0.1012</v>
      </c>
      <c r="I274" s="12">
        <v>0.11792500000000002</v>
      </c>
      <c r="J274" s="4">
        <f t="shared" si="16"/>
        <v>4.6537888198757767E-2</v>
      </c>
      <c r="K274" s="9">
        <f t="shared" si="17"/>
        <v>2.7972562500000057E-4</v>
      </c>
      <c r="L274" s="10">
        <f t="shared" si="18"/>
        <v>16.526679841897252</v>
      </c>
    </row>
    <row r="275" spans="1:12" x14ac:dyDescent="0.15">
      <c r="A275" s="3">
        <f>DATE(1982,8,1)</f>
        <v>30164</v>
      </c>
      <c r="B275" s="4">
        <v>0.1012</v>
      </c>
      <c r="C275" s="12">
        <f t="shared" si="19"/>
        <v>0.11792500000000002</v>
      </c>
      <c r="G275" s="3">
        <f>DATE(1982,9,1)</f>
        <v>30195</v>
      </c>
      <c r="H275" s="4">
        <v>0.10310000000000001</v>
      </c>
      <c r="I275" s="12">
        <v>0.10682500000000002</v>
      </c>
      <c r="J275" s="4">
        <f t="shared" si="16"/>
        <v>4.8437888198757779E-2</v>
      </c>
      <c r="K275" s="9">
        <f t="shared" si="17"/>
        <v>1.3875625000000046E-5</v>
      </c>
      <c r="L275" s="10">
        <f t="shared" si="18"/>
        <v>3.6129970902036916</v>
      </c>
    </row>
    <row r="276" spans="1:12" x14ac:dyDescent="0.15">
      <c r="A276" s="3">
        <f>DATE(1982,9,1)</f>
        <v>30195</v>
      </c>
      <c r="B276" s="4">
        <v>0.10310000000000001</v>
      </c>
      <c r="C276" s="12">
        <f t="shared" si="19"/>
        <v>0.10682500000000002</v>
      </c>
      <c r="G276" s="3">
        <f>DATE(1982,10,1)</f>
        <v>30225</v>
      </c>
      <c r="H276" s="4">
        <v>9.7100000000000006E-2</v>
      </c>
      <c r="I276" s="12">
        <v>9.8349999999999993E-2</v>
      </c>
      <c r="J276" s="4">
        <f t="shared" si="16"/>
        <v>4.2437888198757774E-2</v>
      </c>
      <c r="K276" s="9">
        <f t="shared" si="17"/>
        <v>1.5624999999999681E-6</v>
      </c>
      <c r="L276" s="10">
        <f t="shared" si="18"/>
        <v>1.2873326467559085</v>
      </c>
    </row>
    <row r="277" spans="1:12" x14ac:dyDescent="0.15">
      <c r="A277" s="3">
        <f>DATE(1982,10,1)</f>
        <v>30225</v>
      </c>
      <c r="B277" s="4">
        <v>9.7100000000000006E-2</v>
      </c>
      <c r="C277" s="12">
        <f t="shared" si="19"/>
        <v>9.8349999999999993E-2</v>
      </c>
      <c r="G277" s="3">
        <f>DATE(1982,11,1)</f>
        <v>30256</v>
      </c>
      <c r="H277" s="4">
        <v>9.1999999999999998E-2</v>
      </c>
      <c r="I277" s="12">
        <v>9.542500000000001E-2</v>
      </c>
      <c r="J277" s="4">
        <f t="shared" si="16"/>
        <v>3.7337888198757767E-2</v>
      </c>
      <c r="K277" s="9">
        <f t="shared" si="17"/>
        <v>1.1730625000000077E-5</v>
      </c>
      <c r="L277" s="10">
        <f t="shared" si="18"/>
        <v>3.7228260869565344</v>
      </c>
    </row>
    <row r="278" spans="1:12" x14ac:dyDescent="0.15">
      <c r="A278" s="3">
        <f>DATE(1982,11,1)</f>
        <v>30256</v>
      </c>
      <c r="B278" s="4">
        <v>9.1999999999999998E-2</v>
      </c>
      <c r="C278" s="12">
        <f t="shared" si="19"/>
        <v>9.542500000000001E-2</v>
      </c>
      <c r="G278" s="3">
        <f>DATE(1982,12,1)</f>
        <v>30286</v>
      </c>
      <c r="H278" s="4">
        <v>8.9499999999999996E-2</v>
      </c>
      <c r="I278" s="12">
        <v>9.1349999999999987E-2</v>
      </c>
      <c r="J278" s="4">
        <f t="shared" si="16"/>
        <v>3.4837888198757765E-2</v>
      </c>
      <c r="K278" s="9">
        <f t="shared" si="17"/>
        <v>3.4224999999999651E-6</v>
      </c>
      <c r="L278" s="10">
        <f t="shared" si="18"/>
        <v>2.0670391061452409</v>
      </c>
    </row>
    <row r="279" spans="1:12" x14ac:dyDescent="0.15">
      <c r="A279" s="3">
        <f>DATE(1982,12,1)</f>
        <v>30286</v>
      </c>
      <c r="B279" s="4">
        <v>8.9499999999999996E-2</v>
      </c>
      <c r="C279" s="12">
        <f t="shared" si="19"/>
        <v>9.1349999999999987E-2</v>
      </c>
      <c r="G279" s="3">
        <f>DATE(1983,1,1)</f>
        <v>30317</v>
      </c>
      <c r="H279" s="4">
        <v>8.6800000000000002E-2</v>
      </c>
      <c r="I279" s="12">
        <v>8.8349999999999998E-2</v>
      </c>
      <c r="J279" s="4">
        <f t="shared" si="16"/>
        <v>3.2137888198757771E-2</v>
      </c>
      <c r="K279" s="9">
        <f t="shared" si="17"/>
        <v>2.4024999999999872E-6</v>
      </c>
      <c r="L279" s="10">
        <f t="shared" si="18"/>
        <v>1.7857142857142807</v>
      </c>
    </row>
    <row r="280" spans="1:12" x14ac:dyDescent="0.15">
      <c r="A280" s="3">
        <f>DATE(1983,1,1)</f>
        <v>30317</v>
      </c>
      <c r="B280" s="4">
        <v>8.6800000000000002E-2</v>
      </c>
      <c r="C280" s="12">
        <f t="shared" si="19"/>
        <v>8.8349999999999998E-2</v>
      </c>
      <c r="G280" s="3">
        <f>DATE(1983,2,1)</f>
        <v>30348</v>
      </c>
      <c r="H280" s="4">
        <v>8.5099999999999995E-2</v>
      </c>
      <c r="I280" s="12">
        <v>8.7275000000000005E-2</v>
      </c>
      <c r="J280" s="4">
        <f t="shared" si="16"/>
        <v>3.0437888198757763E-2</v>
      </c>
      <c r="K280" s="9">
        <f t="shared" si="17"/>
        <v>4.730625000000045E-6</v>
      </c>
      <c r="L280" s="10">
        <f t="shared" si="18"/>
        <v>2.5558166862514811</v>
      </c>
    </row>
    <row r="281" spans="1:12" x14ac:dyDescent="0.15">
      <c r="A281" s="3">
        <f>DATE(1983,2,1)</f>
        <v>30348</v>
      </c>
      <c r="B281" s="4">
        <v>8.5099999999999995E-2</v>
      </c>
      <c r="C281" s="12">
        <f t="shared" si="19"/>
        <v>8.7275000000000005E-2</v>
      </c>
      <c r="G281" s="3">
        <f>DATE(1983,3,1)</f>
        <v>30376</v>
      </c>
      <c r="H281" s="4">
        <v>8.77E-2</v>
      </c>
      <c r="I281" s="12">
        <v>8.6900000000000005E-2</v>
      </c>
      <c r="J281" s="4">
        <f t="shared" si="16"/>
        <v>3.3037888198757769E-2</v>
      </c>
      <c r="K281" s="9">
        <f t="shared" si="17"/>
        <v>6.3999999999999228E-7</v>
      </c>
      <c r="L281" s="10">
        <f t="shared" si="18"/>
        <v>0.91220068415050759</v>
      </c>
    </row>
    <row r="282" spans="1:12" x14ac:dyDescent="0.15">
      <c r="A282" s="3">
        <f>DATE(1983,3,1)</f>
        <v>30376</v>
      </c>
      <c r="B282" s="4">
        <v>8.77E-2</v>
      </c>
      <c r="C282" s="12">
        <f t="shared" si="19"/>
        <v>8.6900000000000005E-2</v>
      </c>
      <c r="G282" s="3">
        <f>DATE(1983,4,1)</f>
        <v>30407</v>
      </c>
      <c r="H282" s="4">
        <v>8.8000000000000009E-2</v>
      </c>
      <c r="I282" s="12">
        <v>8.6775000000000005E-2</v>
      </c>
      <c r="J282" s="4">
        <f t="shared" si="16"/>
        <v>3.3337888198757777E-2</v>
      </c>
      <c r="K282" s="9">
        <f t="shared" si="17"/>
        <v>1.5006250000000095E-6</v>
      </c>
      <c r="L282" s="10">
        <f t="shared" si="18"/>
        <v>1.3920454545454588</v>
      </c>
    </row>
    <row r="283" spans="1:12" x14ac:dyDescent="0.15">
      <c r="A283" s="3">
        <f>DATE(1983,4,1)</f>
        <v>30407</v>
      </c>
      <c r="B283" s="4">
        <v>8.8000000000000009E-2</v>
      </c>
      <c r="C283" s="12">
        <f t="shared" si="19"/>
        <v>8.6775000000000005E-2</v>
      </c>
      <c r="G283" s="3">
        <f>DATE(1983,5,1)</f>
        <v>30437</v>
      </c>
      <c r="H283" s="4">
        <v>8.6300000000000002E-2</v>
      </c>
      <c r="I283" s="12">
        <v>8.795E-2</v>
      </c>
      <c r="J283" s="4">
        <f t="shared" si="16"/>
        <v>3.163788819875777E-2</v>
      </c>
      <c r="K283" s="9">
        <f t="shared" si="17"/>
        <v>2.7224999999999955E-6</v>
      </c>
      <c r="L283" s="10">
        <f t="shared" si="18"/>
        <v>1.9119351100811108</v>
      </c>
    </row>
    <row r="284" spans="1:12" x14ac:dyDescent="0.15">
      <c r="A284" s="3">
        <f>DATE(1983,5,1)</f>
        <v>30437</v>
      </c>
      <c r="B284" s="4">
        <v>8.6300000000000002E-2</v>
      </c>
      <c r="C284" s="12">
        <f t="shared" si="19"/>
        <v>8.795E-2</v>
      </c>
      <c r="G284" s="3">
        <f>DATE(1983,6,1)</f>
        <v>30468</v>
      </c>
      <c r="H284" s="4">
        <v>8.9800000000000005E-2</v>
      </c>
      <c r="I284" s="12">
        <v>8.9450000000000002E-2</v>
      </c>
      <c r="J284" s="4">
        <f t="shared" si="16"/>
        <v>3.5137888198757773E-2</v>
      </c>
      <c r="K284" s="9">
        <f t="shared" si="17"/>
        <v>1.2250000000000216E-7</v>
      </c>
      <c r="L284" s="10">
        <f t="shared" si="18"/>
        <v>0.38975501113586086</v>
      </c>
    </row>
    <row r="285" spans="1:12" x14ac:dyDescent="0.15">
      <c r="A285" s="3">
        <f>DATE(1983,6,1)</f>
        <v>30468</v>
      </c>
      <c r="B285" s="4">
        <v>8.9800000000000005E-2</v>
      </c>
      <c r="C285" s="12">
        <f t="shared" si="19"/>
        <v>8.9450000000000002E-2</v>
      </c>
      <c r="G285" s="3">
        <f>DATE(1983,7,1)</f>
        <v>30498</v>
      </c>
      <c r="H285" s="4">
        <v>9.3699999999999992E-2</v>
      </c>
      <c r="I285" s="12">
        <v>9.1350000000000001E-2</v>
      </c>
      <c r="J285" s="4">
        <f t="shared" si="16"/>
        <v>3.903788819875776E-2</v>
      </c>
      <c r="K285" s="9">
        <f t="shared" si="17"/>
        <v>5.5224999999999577E-6</v>
      </c>
      <c r="L285" s="10">
        <f t="shared" si="18"/>
        <v>2.5080042689434272</v>
      </c>
    </row>
    <row r="286" spans="1:12" x14ac:dyDescent="0.15">
      <c r="A286" s="3">
        <f>DATE(1983,7,1)</f>
        <v>30498</v>
      </c>
      <c r="B286" s="4">
        <v>9.3699999999999992E-2</v>
      </c>
      <c r="C286" s="12">
        <f t="shared" si="19"/>
        <v>9.1350000000000001E-2</v>
      </c>
      <c r="G286" s="3">
        <f>DATE(1983,8,1)</f>
        <v>30529</v>
      </c>
      <c r="H286" s="4">
        <v>9.5600000000000004E-2</v>
      </c>
      <c r="I286" s="12">
        <v>9.3399999999999997E-2</v>
      </c>
      <c r="J286" s="4">
        <f t="shared" si="16"/>
        <v>4.0937888198757773E-2</v>
      </c>
      <c r="K286" s="9">
        <f t="shared" si="17"/>
        <v>4.8400000000000333E-6</v>
      </c>
      <c r="L286" s="10">
        <f t="shared" si="18"/>
        <v>2.3012552301255309</v>
      </c>
    </row>
    <row r="287" spans="1:12" x14ac:dyDescent="0.15">
      <c r="A287" s="3">
        <f>DATE(1983,8,1)</f>
        <v>30529</v>
      </c>
      <c r="B287" s="4">
        <v>9.5600000000000004E-2</v>
      </c>
      <c r="C287" s="12">
        <f t="shared" si="19"/>
        <v>9.3399999999999997E-2</v>
      </c>
      <c r="G287" s="3">
        <f>DATE(1983,9,1)</f>
        <v>30560</v>
      </c>
      <c r="H287" s="4">
        <v>9.4499999999999987E-2</v>
      </c>
      <c r="I287" s="12">
        <v>9.4649999999999998E-2</v>
      </c>
      <c r="J287" s="4">
        <f t="shared" si="16"/>
        <v>3.9837888198757755E-2</v>
      </c>
      <c r="K287" s="9">
        <f t="shared" si="17"/>
        <v>2.2500000000003371E-8</v>
      </c>
      <c r="L287" s="10">
        <f t="shared" si="18"/>
        <v>0.15873015873017063</v>
      </c>
    </row>
    <row r="288" spans="1:12" x14ac:dyDescent="0.15">
      <c r="A288" s="3">
        <f>DATE(1983,9,1)</f>
        <v>30560</v>
      </c>
      <c r="B288" s="4">
        <v>9.4499999999999987E-2</v>
      </c>
      <c r="C288" s="12">
        <f t="shared" si="19"/>
        <v>9.4649999999999998E-2</v>
      </c>
      <c r="G288" s="3">
        <f>DATE(1983,10,1)</f>
        <v>30590</v>
      </c>
      <c r="H288" s="4">
        <v>9.4800000000000009E-2</v>
      </c>
      <c r="I288" s="12">
        <v>9.4574999999999992E-2</v>
      </c>
      <c r="J288" s="4">
        <f t="shared" si="16"/>
        <v>4.0137888198757778E-2</v>
      </c>
      <c r="K288" s="9">
        <f t="shared" si="17"/>
        <v>5.0625000000007582E-8</v>
      </c>
      <c r="L288" s="10">
        <f t="shared" si="18"/>
        <v>0.23734177215191649</v>
      </c>
    </row>
    <row r="289" spans="1:12" x14ac:dyDescent="0.15">
      <c r="A289" s="3">
        <f>DATE(1983,10,1)</f>
        <v>30590</v>
      </c>
      <c r="B289" s="4">
        <v>9.4800000000000009E-2</v>
      </c>
      <c r="C289" s="12">
        <f t="shared" si="19"/>
        <v>9.4574999999999992E-2</v>
      </c>
      <c r="G289" s="3">
        <f>DATE(1983,11,1)</f>
        <v>30621</v>
      </c>
      <c r="H289" s="4">
        <v>9.3399999999999997E-2</v>
      </c>
      <c r="I289" s="12">
        <v>9.4350000000000003E-2</v>
      </c>
      <c r="J289" s="4">
        <f t="shared" si="16"/>
        <v>3.8737888198757765E-2</v>
      </c>
      <c r="K289" s="9">
        <f t="shared" si="17"/>
        <v>9.0250000000001211E-7</v>
      </c>
      <c r="L289" s="10">
        <f t="shared" si="18"/>
        <v>1.0171306209850175</v>
      </c>
    </row>
    <row r="290" spans="1:12" x14ac:dyDescent="0.15">
      <c r="A290" s="3">
        <f>DATE(1983,11,1)</f>
        <v>30621</v>
      </c>
      <c r="B290" s="4">
        <v>9.3399999999999997E-2</v>
      </c>
      <c r="C290" s="12">
        <f t="shared" si="19"/>
        <v>9.4350000000000003E-2</v>
      </c>
      <c r="G290" s="3">
        <f>DATE(1983,12,1)</f>
        <v>30651</v>
      </c>
      <c r="H290" s="4">
        <v>9.4700000000000006E-2</v>
      </c>
      <c r="I290" s="12">
        <v>9.4625000000000015E-2</v>
      </c>
      <c r="J290" s="4">
        <f t="shared" si="16"/>
        <v>4.0037888198757775E-2</v>
      </c>
      <c r="K290" s="9">
        <f t="shared" si="17"/>
        <v>5.6249999999987608E-9</v>
      </c>
      <c r="L290" s="10">
        <f t="shared" si="18"/>
        <v>7.9197465681089485E-2</v>
      </c>
    </row>
    <row r="291" spans="1:12" x14ac:dyDescent="0.15">
      <c r="A291" s="3">
        <f>DATE(1983,12,1)</f>
        <v>30651</v>
      </c>
      <c r="B291" s="4">
        <v>9.4700000000000006E-2</v>
      </c>
      <c r="C291" s="12">
        <f t="shared" si="19"/>
        <v>9.4625000000000015E-2</v>
      </c>
      <c r="G291" s="3">
        <f>DATE(1984,1,1)</f>
        <v>30682</v>
      </c>
      <c r="H291" s="4">
        <v>9.5600000000000004E-2</v>
      </c>
      <c r="I291" s="12">
        <v>9.4899999999999998E-2</v>
      </c>
      <c r="J291" s="4">
        <f t="shared" si="16"/>
        <v>4.0937888198757773E-2</v>
      </c>
      <c r="K291" s="9">
        <f t="shared" si="17"/>
        <v>4.9000000000000865E-7</v>
      </c>
      <c r="L291" s="10">
        <f t="shared" si="18"/>
        <v>0.73221757322176373</v>
      </c>
    </row>
    <row r="292" spans="1:12" x14ac:dyDescent="0.15">
      <c r="A292" s="3">
        <f>DATE(1984,1,1)</f>
        <v>30682</v>
      </c>
      <c r="B292" s="4">
        <v>9.5600000000000004E-2</v>
      </c>
      <c r="C292" s="12">
        <f t="shared" si="19"/>
        <v>9.4899999999999998E-2</v>
      </c>
      <c r="G292" s="3">
        <f>DATE(1984,2,1)</f>
        <v>30713</v>
      </c>
      <c r="H292" s="4">
        <v>9.5899999999999999E-2</v>
      </c>
      <c r="I292" s="12">
        <v>9.6325000000000008E-2</v>
      </c>
      <c r="J292" s="4">
        <f t="shared" si="16"/>
        <v>4.1237888198757768E-2</v>
      </c>
      <c r="K292" s="9">
        <f t="shared" si="17"/>
        <v>1.806250000000074E-7</v>
      </c>
      <c r="L292" s="10">
        <f t="shared" si="18"/>
        <v>0.44316996871742304</v>
      </c>
    </row>
    <row r="293" spans="1:12" x14ac:dyDescent="0.15">
      <c r="A293" s="3">
        <f>DATE(1984,2,1)</f>
        <v>30713</v>
      </c>
      <c r="B293" s="4">
        <v>9.5899999999999999E-2</v>
      </c>
      <c r="C293" s="12">
        <f t="shared" si="19"/>
        <v>9.6325000000000008E-2</v>
      </c>
      <c r="G293" s="3">
        <f>DATE(1984,3,1)</f>
        <v>30742</v>
      </c>
      <c r="H293" s="4">
        <v>9.9100000000000008E-2</v>
      </c>
      <c r="I293" s="12">
        <v>9.8375000000000004E-2</v>
      </c>
      <c r="J293" s="4">
        <f t="shared" si="16"/>
        <v>4.4437888198757776E-2</v>
      </c>
      <c r="K293" s="9">
        <f t="shared" si="17"/>
        <v>5.2562500000000492E-7</v>
      </c>
      <c r="L293" s="10">
        <f t="shared" si="18"/>
        <v>0.73158425832492768</v>
      </c>
    </row>
    <row r="294" spans="1:12" x14ac:dyDescent="0.15">
      <c r="A294" s="3">
        <f>DATE(1984,3,1)</f>
        <v>30742</v>
      </c>
      <c r="B294" s="4">
        <v>9.9100000000000008E-2</v>
      </c>
      <c r="C294" s="12">
        <f t="shared" si="19"/>
        <v>9.8375000000000004E-2</v>
      </c>
      <c r="G294" s="3">
        <f>DATE(1984,4,1)</f>
        <v>30773</v>
      </c>
      <c r="H294" s="4">
        <v>0.10289999999999999</v>
      </c>
      <c r="I294" s="12">
        <v>0.100275</v>
      </c>
      <c r="J294" s="4">
        <f t="shared" si="16"/>
        <v>4.823788819875776E-2</v>
      </c>
      <c r="K294" s="9">
        <f t="shared" si="17"/>
        <v>6.8906249999999396E-6</v>
      </c>
      <c r="L294" s="10">
        <f t="shared" si="18"/>
        <v>2.5510204081632541</v>
      </c>
    </row>
    <row r="295" spans="1:12" x14ac:dyDescent="0.15">
      <c r="A295" s="3">
        <f>DATE(1984,4,1)</f>
        <v>30773</v>
      </c>
      <c r="B295" s="4">
        <v>0.10289999999999999</v>
      </c>
      <c r="C295" s="12">
        <f t="shared" si="19"/>
        <v>0.100275</v>
      </c>
      <c r="G295" s="3">
        <f>DATE(1984,5,1)</f>
        <v>30803</v>
      </c>
      <c r="H295" s="4">
        <v>0.1032</v>
      </c>
      <c r="I295" s="12">
        <v>0.10395000000000001</v>
      </c>
      <c r="J295" s="4">
        <f t="shared" si="16"/>
        <v>4.8537888198757768E-2</v>
      </c>
      <c r="K295" s="9">
        <f t="shared" si="17"/>
        <v>5.6250000000002183E-7</v>
      </c>
      <c r="L295" s="10">
        <f t="shared" si="18"/>
        <v>0.7267441860465258</v>
      </c>
    </row>
    <row r="296" spans="1:12" x14ac:dyDescent="0.15">
      <c r="A296" s="3">
        <f>DATE(1984,5,1)</f>
        <v>30803</v>
      </c>
      <c r="B296" s="4">
        <v>0.1032</v>
      </c>
      <c r="C296" s="12">
        <f t="shared" si="19"/>
        <v>0.10395000000000001</v>
      </c>
      <c r="G296" s="3">
        <f>DATE(1984,6,1)</f>
        <v>30834</v>
      </c>
      <c r="H296" s="4">
        <v>0.1106</v>
      </c>
      <c r="I296" s="12">
        <v>0.10725</v>
      </c>
      <c r="J296" s="4">
        <f t="shared" si="16"/>
        <v>5.5937888198757772E-2</v>
      </c>
      <c r="K296" s="9">
        <f t="shared" si="17"/>
        <v>1.1222500000000039E-5</v>
      </c>
      <c r="L296" s="10">
        <f t="shared" si="18"/>
        <v>3.0289330922242366</v>
      </c>
    </row>
    <row r="297" spans="1:12" x14ac:dyDescent="0.15">
      <c r="A297" s="3">
        <f>DATE(1984,6,1)</f>
        <v>30834</v>
      </c>
      <c r="B297" s="4">
        <v>0.1106</v>
      </c>
      <c r="C297" s="12">
        <f t="shared" si="19"/>
        <v>0.10725</v>
      </c>
      <c r="G297" s="3">
        <f>DATE(1984,7,1)</f>
        <v>30864</v>
      </c>
      <c r="H297" s="4">
        <v>0.11230000000000001</v>
      </c>
      <c r="I297" s="12">
        <v>0.110625</v>
      </c>
      <c r="J297" s="4">
        <f t="shared" si="16"/>
        <v>5.7637888198757779E-2</v>
      </c>
      <c r="K297" s="9">
        <f t="shared" si="17"/>
        <v>2.805625000000033E-6</v>
      </c>
      <c r="L297" s="10">
        <f t="shared" si="18"/>
        <v>1.4915405164737396</v>
      </c>
    </row>
    <row r="298" spans="1:12" x14ac:dyDescent="0.15">
      <c r="A298" s="3">
        <f>DATE(1984,7,1)</f>
        <v>30864</v>
      </c>
      <c r="B298" s="4">
        <v>0.11230000000000001</v>
      </c>
      <c r="C298" s="12">
        <f t="shared" si="19"/>
        <v>0.110625</v>
      </c>
      <c r="G298" s="3">
        <f>DATE(1984,8,1)</f>
        <v>30895</v>
      </c>
      <c r="H298" s="4">
        <v>0.1164</v>
      </c>
      <c r="I298" s="12">
        <v>0.11307500000000001</v>
      </c>
      <c r="J298" s="4">
        <f t="shared" si="16"/>
        <v>6.1737888198757772E-2</v>
      </c>
      <c r="K298" s="9">
        <f t="shared" si="17"/>
        <v>1.1055624999999964E-5</v>
      </c>
      <c r="L298" s="10">
        <f t="shared" si="18"/>
        <v>2.8565292096219883</v>
      </c>
    </row>
    <row r="299" spans="1:12" x14ac:dyDescent="0.15">
      <c r="A299" s="3">
        <f>DATE(1984,8,1)</f>
        <v>30895</v>
      </c>
      <c r="B299" s="4">
        <v>0.1164</v>
      </c>
      <c r="C299" s="12">
        <f t="shared" si="19"/>
        <v>0.11307500000000001</v>
      </c>
      <c r="G299" s="3">
        <f>DATE(1984,9,1)</f>
        <v>30926</v>
      </c>
      <c r="H299" s="4">
        <v>0.113</v>
      </c>
      <c r="I299" s="12">
        <v>0.1104</v>
      </c>
      <c r="J299" s="4">
        <f t="shared" si="16"/>
        <v>5.8337888198757772E-2</v>
      </c>
      <c r="K299" s="9">
        <f t="shared" si="17"/>
        <v>6.7600000000000268E-6</v>
      </c>
      <c r="L299" s="10">
        <f t="shared" si="18"/>
        <v>2.3008849557522169</v>
      </c>
    </row>
    <row r="300" spans="1:12" x14ac:dyDescent="0.15">
      <c r="A300" s="3">
        <f>DATE(1984,9,1)</f>
        <v>30926</v>
      </c>
      <c r="B300" s="4">
        <v>0.113</v>
      </c>
      <c r="C300" s="12">
        <f t="shared" si="19"/>
        <v>0.1104</v>
      </c>
      <c r="G300" s="3">
        <f>DATE(1984,10,1)</f>
        <v>30956</v>
      </c>
      <c r="H300" s="4">
        <v>9.9900000000000003E-2</v>
      </c>
      <c r="I300" s="12">
        <v>0.10589999999999999</v>
      </c>
      <c r="J300" s="4">
        <f t="shared" si="16"/>
        <v>4.5237888198757771E-2</v>
      </c>
      <c r="K300" s="9">
        <f t="shared" si="17"/>
        <v>3.5999999999999899E-5</v>
      </c>
      <c r="L300" s="10">
        <f t="shared" si="18"/>
        <v>6.0060060060059977</v>
      </c>
    </row>
    <row r="301" spans="1:12" x14ac:dyDescent="0.15">
      <c r="A301" s="3">
        <f>DATE(1984,10,1)</f>
        <v>30956</v>
      </c>
      <c r="B301" s="4">
        <v>9.9900000000000003E-2</v>
      </c>
      <c r="C301" s="12">
        <f t="shared" si="19"/>
        <v>0.10589999999999999</v>
      </c>
      <c r="G301" s="3">
        <f>DATE(1984,11,1)</f>
        <v>30987</v>
      </c>
      <c r="H301" s="4">
        <v>9.4299999999999995E-2</v>
      </c>
      <c r="I301" s="12">
        <v>9.7750000000000004E-2</v>
      </c>
      <c r="J301" s="4">
        <f t="shared" si="16"/>
        <v>3.9637888198757763E-2</v>
      </c>
      <c r="K301" s="9">
        <f t="shared" si="17"/>
        <v>1.1902500000000059E-5</v>
      </c>
      <c r="L301" s="10">
        <f t="shared" si="18"/>
        <v>3.6585365853658631</v>
      </c>
    </row>
    <row r="302" spans="1:12" x14ac:dyDescent="0.15">
      <c r="A302" s="3">
        <f>DATE(1984,11,1)</f>
        <v>30987</v>
      </c>
      <c r="B302" s="4">
        <v>9.4299999999999995E-2</v>
      </c>
      <c r="C302" s="12">
        <f t="shared" si="19"/>
        <v>9.7750000000000004E-2</v>
      </c>
      <c r="G302" s="3">
        <f>DATE(1984,12,1)</f>
        <v>31017</v>
      </c>
      <c r="H302" s="4">
        <v>8.3800000000000013E-2</v>
      </c>
      <c r="I302" s="12">
        <v>9.0375000000000011E-2</v>
      </c>
      <c r="J302" s="4">
        <f t="shared" si="16"/>
        <v>2.9137888198757782E-2</v>
      </c>
      <c r="K302" s="9">
        <f t="shared" si="17"/>
        <v>4.3230624999999967E-5</v>
      </c>
      <c r="L302" s="10">
        <f t="shared" si="18"/>
        <v>7.846062052505963</v>
      </c>
    </row>
    <row r="303" spans="1:12" x14ac:dyDescent="0.15">
      <c r="A303" s="3">
        <f>DATE(1984,12,1)</f>
        <v>31017</v>
      </c>
      <c r="B303" s="4">
        <v>8.3800000000000013E-2</v>
      </c>
      <c r="C303" s="12">
        <f t="shared" si="19"/>
        <v>9.0375000000000011E-2</v>
      </c>
      <c r="G303" s="3">
        <f>DATE(1985,1,1)</f>
        <v>31048</v>
      </c>
      <c r="H303" s="4">
        <v>8.3499999999999991E-2</v>
      </c>
      <c r="I303" s="12">
        <v>8.6650000000000005E-2</v>
      </c>
      <c r="J303" s="4">
        <f t="shared" si="16"/>
        <v>2.8837888198757759E-2</v>
      </c>
      <c r="K303" s="9">
        <f t="shared" si="17"/>
        <v>9.9225000000000884E-6</v>
      </c>
      <c r="L303" s="10">
        <f t="shared" si="18"/>
        <v>3.7724550898203764</v>
      </c>
    </row>
    <row r="304" spans="1:12" x14ac:dyDescent="0.15">
      <c r="A304" s="3">
        <f>DATE(1985,1,1)</f>
        <v>31048</v>
      </c>
      <c r="B304" s="4">
        <v>8.3499999999999991E-2</v>
      </c>
      <c r="C304" s="12">
        <f t="shared" si="19"/>
        <v>8.6650000000000005E-2</v>
      </c>
      <c r="G304" s="3">
        <f>DATE(1985,2,1)</f>
        <v>31079</v>
      </c>
      <c r="H304" s="4">
        <v>8.5000000000000006E-2</v>
      </c>
      <c r="I304" s="12">
        <v>8.4525000000000003E-2</v>
      </c>
      <c r="J304" s="4">
        <f t="shared" si="16"/>
        <v>3.0337888198757774E-2</v>
      </c>
      <c r="K304" s="9">
        <f t="shared" si="17"/>
        <v>2.2562500000000303E-7</v>
      </c>
      <c r="L304" s="10">
        <f t="shared" si="18"/>
        <v>0.55882352941176849</v>
      </c>
    </row>
    <row r="305" spans="1:12" x14ac:dyDescent="0.15">
      <c r="A305" s="3">
        <f>DATE(1985,2,1)</f>
        <v>31079</v>
      </c>
      <c r="B305" s="4">
        <v>8.5000000000000006E-2</v>
      </c>
      <c r="C305" s="12">
        <f t="shared" si="19"/>
        <v>8.4525000000000003E-2</v>
      </c>
      <c r="G305" s="3">
        <f>DATE(1985,3,1)</f>
        <v>31107</v>
      </c>
      <c r="H305" s="4">
        <v>8.5800000000000001E-2</v>
      </c>
      <c r="I305" s="12">
        <v>8.4249999999999992E-2</v>
      </c>
      <c r="J305" s="4">
        <f t="shared" si="16"/>
        <v>3.113788819875777E-2</v>
      </c>
      <c r="K305" s="9">
        <f t="shared" si="17"/>
        <v>2.4025000000000299E-6</v>
      </c>
      <c r="L305" s="10">
        <f t="shared" si="18"/>
        <v>1.8065268065268179</v>
      </c>
    </row>
    <row r="306" spans="1:12" x14ac:dyDescent="0.15">
      <c r="A306" s="3">
        <f>DATE(1985,3,1)</f>
        <v>31107</v>
      </c>
      <c r="B306" s="4">
        <v>8.5800000000000001E-2</v>
      </c>
      <c r="C306" s="12">
        <f t="shared" si="19"/>
        <v>8.4249999999999992E-2</v>
      </c>
      <c r="G306" s="3">
        <f>DATE(1985,4,1)</f>
        <v>31138</v>
      </c>
      <c r="H306" s="4">
        <v>8.2699999999999996E-2</v>
      </c>
      <c r="I306" s="12">
        <v>8.3299999999999999E-2</v>
      </c>
      <c r="J306" s="4">
        <f t="shared" si="16"/>
        <v>2.8037888198757764E-2</v>
      </c>
      <c r="K306" s="9">
        <f t="shared" si="17"/>
        <v>3.6000000000000396E-7</v>
      </c>
      <c r="L306" s="10">
        <f t="shared" si="18"/>
        <v>0.72551390568319629</v>
      </c>
    </row>
    <row r="307" spans="1:12" x14ac:dyDescent="0.15">
      <c r="A307" s="3">
        <f>DATE(1985,4,1)</f>
        <v>31138</v>
      </c>
      <c r="B307" s="4">
        <v>8.2699999999999996E-2</v>
      </c>
      <c r="C307" s="12">
        <f t="shared" si="19"/>
        <v>8.3299999999999999E-2</v>
      </c>
      <c r="G307" s="3">
        <f>DATE(1985,5,1)</f>
        <v>31168</v>
      </c>
      <c r="H307" s="4">
        <v>7.9699999999999993E-2</v>
      </c>
      <c r="I307" s="12">
        <v>8.0875000000000002E-2</v>
      </c>
      <c r="J307" s="4">
        <f t="shared" si="16"/>
        <v>2.5037888198757761E-2</v>
      </c>
      <c r="K307" s="9">
        <f t="shared" si="17"/>
        <v>1.380625000000022E-6</v>
      </c>
      <c r="L307" s="10">
        <f t="shared" si="18"/>
        <v>1.4742785445420445</v>
      </c>
    </row>
    <row r="308" spans="1:12" x14ac:dyDescent="0.15">
      <c r="A308" s="3">
        <f>DATE(1985,5,1)</f>
        <v>31168</v>
      </c>
      <c r="B308" s="4">
        <v>7.9699999999999993E-2</v>
      </c>
      <c r="C308" s="12">
        <f t="shared" si="19"/>
        <v>8.0875000000000002E-2</v>
      </c>
      <c r="G308" s="3">
        <f>DATE(1985,6,1)</f>
        <v>31199</v>
      </c>
      <c r="H308" s="4">
        <v>7.5300000000000006E-2</v>
      </c>
      <c r="I308" s="12">
        <v>7.9125000000000001E-2</v>
      </c>
      <c r="J308" s="4">
        <f t="shared" si="16"/>
        <v>2.0637888198757774E-2</v>
      </c>
      <c r="K308" s="9">
        <f t="shared" si="17"/>
        <v>1.4630624999999963E-5</v>
      </c>
      <c r="L308" s="10">
        <f t="shared" si="18"/>
        <v>5.0796812749003921</v>
      </c>
    </row>
    <row r="309" spans="1:12" x14ac:dyDescent="0.15">
      <c r="A309" s="3">
        <f>DATE(1985,6,1)</f>
        <v>31199</v>
      </c>
      <c r="B309" s="4">
        <v>7.5300000000000006E-2</v>
      </c>
      <c r="C309" s="12">
        <f t="shared" si="19"/>
        <v>7.9125000000000001E-2</v>
      </c>
      <c r="G309" s="3">
        <f>DATE(1985,7,1)</f>
        <v>31229</v>
      </c>
      <c r="H309" s="4">
        <v>7.8799999999999995E-2</v>
      </c>
      <c r="I309" s="12">
        <v>7.8200000000000006E-2</v>
      </c>
      <c r="J309" s="4">
        <f t="shared" si="16"/>
        <v>2.4137888198757763E-2</v>
      </c>
      <c r="K309" s="9">
        <f t="shared" si="17"/>
        <v>3.5999999999998734E-7</v>
      </c>
      <c r="L309" s="10">
        <f t="shared" si="18"/>
        <v>0.76142131979694094</v>
      </c>
    </row>
    <row r="310" spans="1:12" x14ac:dyDescent="0.15">
      <c r="A310" s="3">
        <f>DATE(1985,7,1)</f>
        <v>31229</v>
      </c>
      <c r="B310" s="4">
        <v>7.8799999999999995E-2</v>
      </c>
      <c r="C310" s="12">
        <f t="shared" si="19"/>
        <v>7.8200000000000006E-2</v>
      </c>
      <c r="G310" s="3">
        <f>DATE(1985,8,1)</f>
        <v>31260</v>
      </c>
      <c r="H310" s="4">
        <v>7.9000000000000001E-2</v>
      </c>
      <c r="I310" s="12">
        <v>7.8075000000000006E-2</v>
      </c>
      <c r="J310" s="4">
        <f t="shared" si="16"/>
        <v>2.4337888198757769E-2</v>
      </c>
      <c r="K310" s="9">
        <f t="shared" si="17"/>
        <v>8.5562499999999128E-7</v>
      </c>
      <c r="L310" s="10">
        <f t="shared" si="18"/>
        <v>1.1708860759493611</v>
      </c>
    </row>
    <row r="311" spans="1:12" x14ac:dyDescent="0.15">
      <c r="A311" s="3">
        <f>DATE(1985,8,1)</f>
        <v>31260</v>
      </c>
      <c r="B311" s="4">
        <v>7.9000000000000001E-2</v>
      </c>
      <c r="C311" s="12">
        <f t="shared" si="19"/>
        <v>7.8075000000000006E-2</v>
      </c>
      <c r="G311" s="3">
        <f>DATE(1985,9,1)</f>
        <v>31291</v>
      </c>
      <c r="H311" s="4">
        <v>7.9199999999999993E-2</v>
      </c>
      <c r="I311" s="12">
        <v>7.922499999999999E-2</v>
      </c>
      <c r="J311" s="4">
        <f t="shared" si="16"/>
        <v>2.4537888198757761E-2</v>
      </c>
      <c r="K311" s="9">
        <f t="shared" si="17"/>
        <v>6.2499999999986229E-10</v>
      </c>
      <c r="L311" s="10">
        <f t="shared" si="18"/>
        <v>3.1565656565653091E-2</v>
      </c>
    </row>
    <row r="312" spans="1:12" x14ac:dyDescent="0.15">
      <c r="A312" s="3">
        <f>DATE(1985,9,1)</f>
        <v>31291</v>
      </c>
      <c r="B312" s="4">
        <v>7.9199999999999993E-2</v>
      </c>
      <c r="C312" s="12">
        <f t="shared" si="19"/>
        <v>7.922499999999999E-2</v>
      </c>
      <c r="G312" s="3">
        <f>DATE(1985,10,1)</f>
        <v>31321</v>
      </c>
      <c r="H312" s="4">
        <v>7.9899999999999999E-2</v>
      </c>
      <c r="I312" s="12">
        <v>7.9649999999999999E-2</v>
      </c>
      <c r="J312" s="4">
        <f t="shared" si="16"/>
        <v>2.5237888198757767E-2</v>
      </c>
      <c r="K312" s="9">
        <f t="shared" si="17"/>
        <v>6.2500000000000116E-8</v>
      </c>
      <c r="L312" s="10">
        <f t="shared" si="18"/>
        <v>0.31289111389236574</v>
      </c>
    </row>
    <row r="313" spans="1:12" x14ac:dyDescent="0.15">
      <c r="A313" s="3">
        <f>DATE(1985,10,1)</f>
        <v>31321</v>
      </c>
      <c r="B313" s="4">
        <v>7.9899999999999999E-2</v>
      </c>
      <c r="C313" s="12">
        <f t="shared" si="19"/>
        <v>7.9649999999999999E-2</v>
      </c>
      <c r="G313" s="3">
        <f>DATE(1985,11,1)</f>
        <v>31352</v>
      </c>
      <c r="H313" s="4">
        <v>8.0500000000000002E-2</v>
      </c>
      <c r="I313" s="12">
        <v>8.0574999999999994E-2</v>
      </c>
      <c r="J313" s="4">
        <f t="shared" si="16"/>
        <v>2.583788819875777E-2</v>
      </c>
      <c r="K313" s="9">
        <f t="shared" si="17"/>
        <v>5.6249999999987608E-9</v>
      </c>
      <c r="L313" s="10">
        <f t="shared" si="18"/>
        <v>9.3167701863343777E-2</v>
      </c>
    </row>
    <row r="314" spans="1:12" x14ac:dyDescent="0.15">
      <c r="A314" s="3">
        <f>DATE(1985,11,1)</f>
        <v>31352</v>
      </c>
      <c r="B314" s="4">
        <v>8.0500000000000002E-2</v>
      </c>
      <c r="C314" s="12">
        <f t="shared" si="19"/>
        <v>8.0574999999999994E-2</v>
      </c>
      <c r="G314" s="3">
        <f>DATE(1985,12,1)</f>
        <v>31382</v>
      </c>
      <c r="H314" s="4">
        <v>8.2699999999999996E-2</v>
      </c>
      <c r="I314" s="12">
        <v>8.1125000000000003E-2</v>
      </c>
      <c r="J314" s="4">
        <f t="shared" si="16"/>
        <v>2.8037888198757764E-2</v>
      </c>
      <c r="K314" s="9">
        <f t="shared" si="17"/>
        <v>2.480624999999978E-6</v>
      </c>
      <c r="L314" s="10">
        <f t="shared" si="18"/>
        <v>1.9044740024183715</v>
      </c>
    </row>
    <row r="315" spans="1:12" x14ac:dyDescent="0.15">
      <c r="A315" s="3">
        <f>DATE(1985,12,1)</f>
        <v>31382</v>
      </c>
      <c r="B315" s="4">
        <v>8.2699999999999996E-2</v>
      </c>
      <c r="C315" s="12">
        <f t="shared" si="19"/>
        <v>8.1125000000000003E-2</v>
      </c>
      <c r="G315" s="3">
        <f>DATE(1986,1,1)</f>
        <v>31413</v>
      </c>
      <c r="H315" s="4">
        <v>8.14E-2</v>
      </c>
      <c r="I315" s="12">
        <v>8.0800000000000011E-2</v>
      </c>
      <c r="J315" s="4">
        <f t="shared" si="16"/>
        <v>2.6737888198757769E-2</v>
      </c>
      <c r="K315" s="9">
        <f t="shared" si="17"/>
        <v>3.5999999999998734E-7</v>
      </c>
      <c r="L315" s="10">
        <f t="shared" si="18"/>
        <v>0.7371007371007241</v>
      </c>
    </row>
    <row r="316" spans="1:12" x14ac:dyDescent="0.15">
      <c r="A316" s="3">
        <f>DATE(1986,1,1)</f>
        <v>31413</v>
      </c>
      <c r="B316" s="4">
        <v>8.14E-2</v>
      </c>
      <c r="C316" s="12">
        <f t="shared" si="19"/>
        <v>8.0800000000000011E-2</v>
      </c>
      <c r="G316" s="3">
        <f>DATE(1986,2,1)</f>
        <v>31444</v>
      </c>
      <c r="H316" s="4">
        <v>7.8600000000000003E-2</v>
      </c>
      <c r="I316" s="12">
        <v>7.9375000000000001E-2</v>
      </c>
      <c r="J316" s="4">
        <f t="shared" si="16"/>
        <v>2.3937888198757772E-2</v>
      </c>
      <c r="K316" s="9">
        <f t="shared" si="17"/>
        <v>6.0062499999999679E-7</v>
      </c>
      <c r="L316" s="10">
        <f t="shared" si="18"/>
        <v>0.98600508905852158</v>
      </c>
    </row>
    <row r="317" spans="1:12" x14ac:dyDescent="0.15">
      <c r="A317" s="3">
        <f>DATE(1986,2,1)</f>
        <v>31444</v>
      </c>
      <c r="B317" s="4">
        <v>7.8600000000000003E-2</v>
      </c>
      <c r="C317" s="12">
        <f t="shared" si="19"/>
        <v>7.9375000000000001E-2</v>
      </c>
      <c r="G317" s="3">
        <f>DATE(1986,3,1)</f>
        <v>31472</v>
      </c>
      <c r="H317" s="4">
        <v>7.4800000000000005E-2</v>
      </c>
      <c r="I317" s="12">
        <v>7.6175000000000007E-2</v>
      </c>
      <c r="J317" s="4">
        <f t="shared" si="16"/>
        <v>2.0137888198757774E-2</v>
      </c>
      <c r="K317" s="9">
        <f t="shared" si="17"/>
        <v>1.8906250000000034E-6</v>
      </c>
      <c r="L317" s="10">
        <f t="shared" si="18"/>
        <v>1.8382352941176485</v>
      </c>
    </row>
    <row r="318" spans="1:12" x14ac:dyDescent="0.15">
      <c r="A318" s="3">
        <f>DATE(1986,3,1)</f>
        <v>31472</v>
      </c>
      <c r="B318" s="4">
        <v>7.4800000000000005E-2</v>
      </c>
      <c r="C318" s="12">
        <f t="shared" si="19"/>
        <v>7.6175000000000007E-2</v>
      </c>
      <c r="G318" s="3">
        <f>DATE(1986,4,1)</f>
        <v>31503</v>
      </c>
      <c r="H318" s="4">
        <v>6.9900000000000004E-2</v>
      </c>
      <c r="I318" s="12">
        <v>7.2950000000000001E-2</v>
      </c>
      <c r="J318" s="4">
        <f t="shared" si="16"/>
        <v>1.5237888198757772E-2</v>
      </c>
      <c r="K318" s="9">
        <f t="shared" si="17"/>
        <v>9.3024999999999825E-6</v>
      </c>
      <c r="L318" s="10">
        <f t="shared" si="18"/>
        <v>4.3633762517882646</v>
      </c>
    </row>
    <row r="319" spans="1:12" x14ac:dyDescent="0.15">
      <c r="A319" s="3">
        <f>DATE(1986,4,1)</f>
        <v>31503</v>
      </c>
      <c r="B319" s="4">
        <v>6.9900000000000004E-2</v>
      </c>
      <c r="C319" s="12">
        <f t="shared" si="19"/>
        <v>7.2950000000000001E-2</v>
      </c>
      <c r="G319" s="3">
        <f>DATE(1986,5,1)</f>
        <v>31533</v>
      </c>
      <c r="H319" s="4">
        <v>6.8499999999999991E-2</v>
      </c>
      <c r="I319" s="12">
        <v>7.0599999999999996E-2</v>
      </c>
      <c r="J319" s="4">
        <f t="shared" si="16"/>
        <v>1.383788819875776E-2</v>
      </c>
      <c r="K319" s="9">
        <f t="shared" si="17"/>
        <v>4.4100000000000196E-6</v>
      </c>
      <c r="L319" s="10">
        <f t="shared" si="18"/>
        <v>3.0656934306569417</v>
      </c>
    </row>
    <row r="320" spans="1:12" x14ac:dyDescent="0.15">
      <c r="A320" s="3">
        <f>DATE(1986,5,1)</f>
        <v>31533</v>
      </c>
      <c r="B320" s="4">
        <v>6.8499999999999991E-2</v>
      </c>
      <c r="C320" s="12">
        <f t="shared" si="19"/>
        <v>7.0599999999999996E-2</v>
      </c>
      <c r="G320" s="3">
        <f>DATE(1986,6,1)</f>
        <v>31564</v>
      </c>
      <c r="H320" s="4">
        <v>6.9199999999999998E-2</v>
      </c>
      <c r="I320" s="12">
        <v>6.83E-2</v>
      </c>
      <c r="J320" s="4">
        <f t="shared" si="16"/>
        <v>1.4537888198757766E-2</v>
      </c>
      <c r="K320" s="9">
        <f t="shared" si="17"/>
        <v>8.0999999999999648E-7</v>
      </c>
      <c r="L320" s="10">
        <f t="shared" si="18"/>
        <v>1.3005780346820781</v>
      </c>
    </row>
    <row r="321" spans="1:12" x14ac:dyDescent="0.15">
      <c r="A321" s="3">
        <f>DATE(1986,6,1)</f>
        <v>31564</v>
      </c>
      <c r="B321" s="4">
        <v>6.9199999999999998E-2</v>
      </c>
      <c r="C321" s="12">
        <f t="shared" si="19"/>
        <v>6.83E-2</v>
      </c>
      <c r="G321" s="3">
        <f>DATE(1986,7,1)</f>
        <v>31594</v>
      </c>
      <c r="H321" s="4">
        <v>6.5599999999999992E-2</v>
      </c>
      <c r="I321" s="12">
        <v>6.6249999999999989E-2</v>
      </c>
      <c r="J321" s="4">
        <f t="shared" si="16"/>
        <v>1.093788819875776E-2</v>
      </c>
      <c r="K321" s="9">
        <f t="shared" si="17"/>
        <v>4.2249999999999712E-7</v>
      </c>
      <c r="L321" s="10">
        <f t="shared" si="18"/>
        <v>0.99085365853658214</v>
      </c>
    </row>
    <row r="322" spans="1:12" x14ac:dyDescent="0.15">
      <c r="A322" s="3">
        <f>DATE(1986,7,1)</f>
        <v>31594</v>
      </c>
      <c r="B322" s="4">
        <v>6.5599999999999992E-2</v>
      </c>
      <c r="C322" s="12">
        <f t="shared" si="19"/>
        <v>6.6249999999999989E-2</v>
      </c>
      <c r="G322" s="3">
        <f>DATE(1986,8,1)</f>
        <v>31625</v>
      </c>
      <c r="H322" s="4">
        <v>6.1699999999999998E-2</v>
      </c>
      <c r="I322" s="12">
        <v>6.384999999999999E-2</v>
      </c>
      <c r="J322" s="4">
        <f t="shared" si="16"/>
        <v>7.0378881987577663E-3</v>
      </c>
      <c r="K322" s="9">
        <f t="shared" si="17"/>
        <v>4.6224999999999663E-6</v>
      </c>
      <c r="L322" s="10">
        <f t="shared" si="18"/>
        <v>3.4846029173419648</v>
      </c>
    </row>
    <row r="323" spans="1:12" x14ac:dyDescent="0.15">
      <c r="A323" s="3">
        <f>DATE(1986,8,1)</f>
        <v>31625</v>
      </c>
      <c r="B323" s="4">
        <v>6.1699999999999998E-2</v>
      </c>
      <c r="C323" s="12">
        <f t="shared" si="19"/>
        <v>6.384999999999999E-2</v>
      </c>
      <c r="G323" s="3">
        <f>DATE(1986,9,1)</f>
        <v>31656</v>
      </c>
      <c r="H323" s="4">
        <v>5.8899999999999994E-2</v>
      </c>
      <c r="I323" s="12">
        <v>6.1174999999999993E-2</v>
      </c>
      <c r="J323" s="4">
        <f t="shared" si="16"/>
        <v>4.2378881987577624E-3</v>
      </c>
      <c r="K323" s="9">
        <f t="shared" si="17"/>
        <v>5.1756249999999967E-6</v>
      </c>
      <c r="L323" s="10">
        <f t="shared" si="18"/>
        <v>3.8624787775891329</v>
      </c>
    </row>
    <row r="324" spans="1:12" x14ac:dyDescent="0.15">
      <c r="A324" s="3">
        <f>DATE(1986,9,1)</f>
        <v>31656</v>
      </c>
      <c r="B324" s="4">
        <v>5.8899999999999994E-2</v>
      </c>
      <c r="C324" s="12">
        <f t="shared" si="19"/>
        <v>6.1174999999999993E-2</v>
      </c>
      <c r="G324" s="3">
        <f>DATE(1986,10,1)</f>
        <v>31686</v>
      </c>
      <c r="H324" s="4">
        <v>5.8499999999999996E-2</v>
      </c>
      <c r="I324" s="12">
        <v>5.9874999999999998E-2</v>
      </c>
      <c r="J324" s="4">
        <f t="shared" si="16"/>
        <v>3.8378881987577648E-3</v>
      </c>
      <c r="K324" s="9">
        <f t="shared" si="17"/>
        <v>1.8906250000000034E-6</v>
      </c>
      <c r="L324" s="10">
        <f t="shared" si="18"/>
        <v>2.3504273504273523</v>
      </c>
    </row>
    <row r="325" spans="1:12" x14ac:dyDescent="0.15">
      <c r="A325" s="3">
        <f>DATE(1986,10,1)</f>
        <v>31686</v>
      </c>
      <c r="B325" s="4">
        <v>5.8499999999999996E-2</v>
      </c>
      <c r="C325" s="12">
        <f t="shared" si="19"/>
        <v>5.9874999999999998E-2</v>
      </c>
      <c r="G325" s="3">
        <f>DATE(1986,11,1)</f>
        <v>31717</v>
      </c>
      <c r="H325" s="4">
        <v>6.0400000000000002E-2</v>
      </c>
      <c r="I325" s="12">
        <v>6.1724999999999995E-2</v>
      </c>
      <c r="J325" s="4">
        <f t="shared" si="16"/>
        <v>5.7378881987577707E-3</v>
      </c>
      <c r="K325" s="9">
        <f t="shared" si="17"/>
        <v>1.755624999999981E-6</v>
      </c>
      <c r="L325" s="10">
        <f t="shared" si="18"/>
        <v>2.193708609271511</v>
      </c>
    </row>
    <row r="326" spans="1:12" x14ac:dyDescent="0.15">
      <c r="A326" s="3">
        <f>DATE(1986,11,1)</f>
        <v>31717</v>
      </c>
      <c r="B326" s="4">
        <v>6.0400000000000002E-2</v>
      </c>
      <c r="C326" s="12">
        <f t="shared" si="19"/>
        <v>6.1724999999999995E-2</v>
      </c>
      <c r="G326" s="3">
        <f>DATE(1986,12,1)</f>
        <v>31747</v>
      </c>
      <c r="H326" s="4">
        <v>6.9099999999999995E-2</v>
      </c>
      <c r="I326" s="12">
        <v>6.3074999999999992E-2</v>
      </c>
      <c r="J326" s="4">
        <f t="shared" ref="J326:J389" si="20">ABS(H326-$Q$4)</f>
        <v>1.4437888198757763E-2</v>
      </c>
      <c r="K326" s="9">
        <f t="shared" ref="K326:K389" si="21">(H326-I326)^2</f>
        <v>3.6300625000000032E-5</v>
      </c>
      <c r="L326" s="10">
        <f t="shared" ref="L326:L389" si="22">ABS(H326-I326)/H326*100</f>
        <v>8.7192474674384997</v>
      </c>
    </row>
    <row r="327" spans="1:12" x14ac:dyDescent="0.15">
      <c r="A327" s="3">
        <f>DATE(1986,12,1)</f>
        <v>31747</v>
      </c>
      <c r="B327" s="4">
        <v>6.9099999999999995E-2</v>
      </c>
      <c r="C327" s="12">
        <f t="shared" ref="C327:C390" si="23">(B325+B326+B327+B328)/4</f>
        <v>6.3074999999999992E-2</v>
      </c>
      <c r="G327" s="3">
        <f>DATE(1987,1,1)</f>
        <v>31778</v>
      </c>
      <c r="H327" s="4">
        <v>6.4299999999999996E-2</v>
      </c>
      <c r="I327" s="12">
        <v>6.3700000000000007E-2</v>
      </c>
      <c r="J327" s="4">
        <f t="shared" si="20"/>
        <v>9.6378881987577644E-3</v>
      </c>
      <c r="K327" s="9">
        <f t="shared" si="21"/>
        <v>3.5999999999998734E-7</v>
      </c>
      <c r="L327" s="10">
        <f t="shared" si="22"/>
        <v>0.9331259720062044</v>
      </c>
    </row>
    <row r="328" spans="1:12" x14ac:dyDescent="0.15">
      <c r="A328" s="3">
        <f>DATE(1987,1,1)</f>
        <v>31778</v>
      </c>
      <c r="B328" s="4">
        <v>6.4299999999999996E-2</v>
      </c>
      <c r="C328" s="12">
        <f t="shared" si="23"/>
        <v>6.3700000000000007E-2</v>
      </c>
      <c r="G328" s="3">
        <f>DATE(1987,2,1)</f>
        <v>31809</v>
      </c>
      <c r="H328" s="4">
        <v>6.0999999999999999E-2</v>
      </c>
      <c r="I328" s="12">
        <v>6.3924999999999996E-2</v>
      </c>
      <c r="J328" s="4">
        <f t="shared" si="20"/>
        <v>6.337888198757767E-3</v>
      </c>
      <c r="K328" s="9">
        <f t="shared" si="21"/>
        <v>8.555624999999983E-6</v>
      </c>
      <c r="L328" s="10">
        <f t="shared" si="22"/>
        <v>4.7950819672131102</v>
      </c>
    </row>
    <row r="329" spans="1:12" x14ac:dyDescent="0.15">
      <c r="A329" s="3">
        <f>DATE(1987,2,1)</f>
        <v>31809</v>
      </c>
      <c r="B329" s="4">
        <v>6.0999999999999999E-2</v>
      </c>
      <c r="C329" s="12">
        <f t="shared" si="23"/>
        <v>6.3924999999999996E-2</v>
      </c>
      <c r="G329" s="3">
        <f>DATE(1987,3,1)</f>
        <v>31837</v>
      </c>
      <c r="H329" s="4">
        <v>6.13E-2</v>
      </c>
      <c r="I329" s="12">
        <v>6.2574999999999992E-2</v>
      </c>
      <c r="J329" s="4">
        <f t="shared" si="20"/>
        <v>6.6378881987577687E-3</v>
      </c>
      <c r="K329" s="9">
        <f t="shared" si="21"/>
        <v>1.6256249999999782E-6</v>
      </c>
      <c r="L329" s="10">
        <f t="shared" si="22"/>
        <v>2.0799347471451735</v>
      </c>
    </row>
    <row r="330" spans="1:12" x14ac:dyDescent="0.15">
      <c r="A330" s="3">
        <f>DATE(1987,3,1)</f>
        <v>31837</v>
      </c>
      <c r="B330" s="4">
        <v>6.13E-2</v>
      </c>
      <c r="C330" s="12">
        <f t="shared" si="23"/>
        <v>6.2574999999999992E-2</v>
      </c>
      <c r="G330" s="3">
        <f>DATE(1987,4,1)</f>
        <v>31868</v>
      </c>
      <c r="H330" s="4">
        <v>6.3700000000000007E-2</v>
      </c>
      <c r="I330" s="12">
        <v>6.3625000000000001E-2</v>
      </c>
      <c r="J330" s="4">
        <f t="shared" si="20"/>
        <v>9.037888198757775E-3</v>
      </c>
      <c r="K330" s="9">
        <f t="shared" si="21"/>
        <v>5.6250000000008428E-9</v>
      </c>
      <c r="L330" s="10">
        <f t="shared" si="22"/>
        <v>0.11773940345369799</v>
      </c>
    </row>
    <row r="331" spans="1:12" x14ac:dyDescent="0.15">
      <c r="A331" s="3">
        <f>DATE(1987,4,1)</f>
        <v>31868</v>
      </c>
      <c r="B331" s="4">
        <v>6.3700000000000007E-2</v>
      </c>
      <c r="C331" s="12">
        <f t="shared" si="23"/>
        <v>6.3625000000000001E-2</v>
      </c>
      <c r="G331" s="3">
        <f>DATE(1987,5,1)</f>
        <v>31898</v>
      </c>
      <c r="H331" s="4">
        <v>6.8499999999999991E-2</v>
      </c>
      <c r="I331" s="12">
        <v>6.5200000000000008E-2</v>
      </c>
      <c r="J331" s="4">
        <f t="shared" si="20"/>
        <v>1.383788819875776E-2</v>
      </c>
      <c r="K331" s="9">
        <f t="shared" si="21"/>
        <v>1.0889999999999891E-5</v>
      </c>
      <c r="L331" s="10">
        <f t="shared" si="22"/>
        <v>4.8175182481751584</v>
      </c>
    </row>
    <row r="332" spans="1:12" x14ac:dyDescent="0.15">
      <c r="A332" s="3">
        <f>DATE(1987,5,1)</f>
        <v>31898</v>
      </c>
      <c r="B332" s="4">
        <v>6.8499999999999991E-2</v>
      </c>
      <c r="C332" s="12">
        <f t="shared" si="23"/>
        <v>6.5200000000000008E-2</v>
      </c>
      <c r="G332" s="3">
        <f>DATE(1987,6,1)</f>
        <v>31929</v>
      </c>
      <c r="H332" s="4">
        <v>6.7299999999999999E-2</v>
      </c>
      <c r="I332" s="12">
        <v>6.6324999999999995E-2</v>
      </c>
      <c r="J332" s="4">
        <f t="shared" si="20"/>
        <v>1.2637888198757767E-2</v>
      </c>
      <c r="K332" s="9">
        <f t="shared" si="21"/>
        <v>9.506250000000071E-7</v>
      </c>
      <c r="L332" s="10">
        <f t="shared" si="22"/>
        <v>1.4487369985141214</v>
      </c>
    </row>
    <row r="333" spans="1:12" x14ac:dyDescent="0.15">
      <c r="A333" s="3">
        <f>DATE(1987,6,1)</f>
        <v>31929</v>
      </c>
      <c r="B333" s="4">
        <v>6.7299999999999999E-2</v>
      </c>
      <c r="C333" s="12">
        <f t="shared" si="23"/>
        <v>6.6324999999999995E-2</v>
      </c>
      <c r="G333" s="3">
        <f>DATE(1987,7,1)</f>
        <v>31959</v>
      </c>
      <c r="H333" s="4">
        <v>6.5799999999999997E-2</v>
      </c>
      <c r="I333" s="12">
        <v>6.7224999999999993E-2</v>
      </c>
      <c r="J333" s="4">
        <f t="shared" si="20"/>
        <v>1.1137888198757766E-2</v>
      </c>
      <c r="K333" s="9">
        <f t="shared" si="21"/>
        <v>2.0306249999999879E-6</v>
      </c>
      <c r="L333" s="10">
        <f t="shared" si="22"/>
        <v>2.1656534954407234</v>
      </c>
    </row>
    <row r="334" spans="1:12" x14ac:dyDescent="0.15">
      <c r="A334" s="3">
        <f>DATE(1987,7,1)</f>
        <v>31959</v>
      </c>
      <c r="B334" s="4">
        <v>6.5799999999999997E-2</v>
      </c>
      <c r="C334" s="12">
        <f t="shared" si="23"/>
        <v>6.7224999999999993E-2</v>
      </c>
      <c r="G334" s="3">
        <f>DATE(1987,8,1)</f>
        <v>31990</v>
      </c>
      <c r="H334" s="4">
        <v>6.7299999999999999E-2</v>
      </c>
      <c r="I334" s="12">
        <v>6.8150000000000002E-2</v>
      </c>
      <c r="J334" s="4">
        <f t="shared" si="20"/>
        <v>1.2637888198757767E-2</v>
      </c>
      <c r="K334" s="9">
        <f t="shared" si="21"/>
        <v>7.22500000000006E-7</v>
      </c>
      <c r="L334" s="10">
        <f t="shared" si="22"/>
        <v>1.2630014858841063</v>
      </c>
    </row>
    <row r="335" spans="1:12" x14ac:dyDescent="0.15">
      <c r="A335" s="3">
        <f>DATE(1987,8,1)</f>
        <v>31990</v>
      </c>
      <c r="B335" s="4">
        <v>6.7299999999999999E-2</v>
      </c>
      <c r="C335" s="12">
        <f t="shared" si="23"/>
        <v>6.8150000000000002E-2</v>
      </c>
      <c r="G335" s="3">
        <f>DATE(1987,9,1)</f>
        <v>32021</v>
      </c>
      <c r="H335" s="4">
        <v>7.22E-2</v>
      </c>
      <c r="I335" s="12">
        <v>6.9550000000000001E-2</v>
      </c>
      <c r="J335" s="4">
        <f t="shared" si="20"/>
        <v>1.7537888198757769E-2</v>
      </c>
      <c r="K335" s="9">
        <f t="shared" si="21"/>
        <v>7.0224999999999976E-6</v>
      </c>
      <c r="L335" s="10">
        <f t="shared" si="22"/>
        <v>3.6703601108033239</v>
      </c>
    </row>
    <row r="336" spans="1:12" x14ac:dyDescent="0.15">
      <c r="A336" s="3">
        <f>DATE(1987,9,1)</f>
        <v>32021</v>
      </c>
      <c r="B336" s="4">
        <v>7.22E-2</v>
      </c>
      <c r="C336" s="12">
        <f t="shared" si="23"/>
        <v>6.9550000000000001E-2</v>
      </c>
      <c r="G336" s="3">
        <f>DATE(1987,10,1)</f>
        <v>32051</v>
      </c>
      <c r="H336" s="4">
        <v>7.2900000000000006E-2</v>
      </c>
      <c r="I336" s="12">
        <v>6.9825000000000012E-2</v>
      </c>
      <c r="J336" s="4">
        <f t="shared" si="20"/>
        <v>1.8237888198757775E-2</v>
      </c>
      <c r="K336" s="9">
        <f t="shared" si="21"/>
        <v>9.4556249999999659E-6</v>
      </c>
      <c r="L336" s="10">
        <f t="shared" si="22"/>
        <v>4.2181069958847655</v>
      </c>
    </row>
    <row r="337" spans="1:12" x14ac:dyDescent="0.15">
      <c r="A337" s="3">
        <f>DATE(1987,10,1)</f>
        <v>32051</v>
      </c>
      <c r="B337" s="4">
        <v>7.2900000000000006E-2</v>
      </c>
      <c r="C337" s="12">
        <f t="shared" si="23"/>
        <v>6.9825000000000012E-2</v>
      </c>
      <c r="G337" s="3">
        <f>DATE(1987,11,1)</f>
        <v>32082</v>
      </c>
      <c r="H337" s="4">
        <v>6.6900000000000001E-2</v>
      </c>
      <c r="I337" s="12">
        <v>6.9925000000000001E-2</v>
      </c>
      <c r="J337" s="4">
        <f t="shared" si="20"/>
        <v>1.223788819875777E-2</v>
      </c>
      <c r="K337" s="9">
        <f t="shared" si="21"/>
        <v>9.1506250000000002E-6</v>
      </c>
      <c r="L337" s="10">
        <f t="shared" si="22"/>
        <v>4.521674140508221</v>
      </c>
    </row>
    <row r="338" spans="1:12" x14ac:dyDescent="0.15">
      <c r="A338" s="3">
        <f>DATE(1987,11,1)</f>
        <v>32082</v>
      </c>
      <c r="B338" s="4">
        <v>6.6900000000000001E-2</v>
      </c>
      <c r="C338" s="12">
        <f t="shared" si="23"/>
        <v>6.9925000000000001E-2</v>
      </c>
      <c r="G338" s="3">
        <f>DATE(1987,12,1)</f>
        <v>32112</v>
      </c>
      <c r="H338" s="4">
        <v>6.7699999999999996E-2</v>
      </c>
      <c r="I338" s="12">
        <v>6.8950000000000011E-2</v>
      </c>
      <c r="J338" s="4">
        <f t="shared" si="20"/>
        <v>1.3037888198757765E-2</v>
      </c>
      <c r="K338" s="9">
        <f t="shared" si="21"/>
        <v>1.5625000000000376E-6</v>
      </c>
      <c r="L338" s="10">
        <f t="shared" si="22"/>
        <v>1.8463810930576294</v>
      </c>
    </row>
    <row r="339" spans="1:12" x14ac:dyDescent="0.15">
      <c r="A339" s="3">
        <f>DATE(1987,12,1)</f>
        <v>32112</v>
      </c>
      <c r="B339" s="4">
        <v>6.7699999999999996E-2</v>
      </c>
      <c r="C339" s="12">
        <f t="shared" si="23"/>
        <v>6.8950000000000011E-2</v>
      </c>
      <c r="G339" s="3">
        <f>DATE(1988,1,1)</f>
        <v>32143</v>
      </c>
      <c r="H339" s="4">
        <v>6.83E-2</v>
      </c>
      <c r="I339" s="12">
        <v>6.7174999999999999E-2</v>
      </c>
      <c r="J339" s="4">
        <f t="shared" si="20"/>
        <v>1.3637888198757768E-2</v>
      </c>
      <c r="K339" s="9">
        <f t="shared" si="21"/>
        <v>1.2656250000000022E-6</v>
      </c>
      <c r="L339" s="10">
        <f t="shared" si="22"/>
        <v>1.6471449487554919</v>
      </c>
    </row>
    <row r="340" spans="1:12" x14ac:dyDescent="0.15">
      <c r="A340" s="3">
        <f>DATE(1988,1,1)</f>
        <v>32143</v>
      </c>
      <c r="B340" s="4">
        <v>6.83E-2</v>
      </c>
      <c r="C340" s="12">
        <f t="shared" si="23"/>
        <v>6.7174999999999999E-2</v>
      </c>
      <c r="G340" s="3">
        <f>DATE(1988,2,1)</f>
        <v>32174</v>
      </c>
      <c r="H340" s="4">
        <v>6.5799999999999997E-2</v>
      </c>
      <c r="I340" s="12">
        <v>6.6900000000000001E-2</v>
      </c>
      <c r="J340" s="4">
        <f t="shared" si="20"/>
        <v>1.1137888198757766E-2</v>
      </c>
      <c r="K340" s="9">
        <f t="shared" si="21"/>
        <v>1.2100000000000083E-6</v>
      </c>
      <c r="L340" s="10">
        <f t="shared" si="22"/>
        <v>1.6717325227963584</v>
      </c>
    </row>
    <row r="341" spans="1:12" x14ac:dyDescent="0.15">
      <c r="A341" s="3">
        <f>DATE(1988,2,1)</f>
        <v>32174</v>
      </c>
      <c r="B341" s="4">
        <v>6.5799999999999997E-2</v>
      </c>
      <c r="C341" s="12">
        <f t="shared" si="23"/>
        <v>6.6900000000000001E-2</v>
      </c>
      <c r="G341" s="3">
        <f>DATE(1988,3,1)</f>
        <v>32203</v>
      </c>
      <c r="H341" s="4">
        <v>6.5799999999999997E-2</v>
      </c>
      <c r="I341" s="12">
        <v>6.7150000000000001E-2</v>
      </c>
      <c r="J341" s="4">
        <f t="shared" si="20"/>
        <v>1.1137888198757766E-2</v>
      </c>
      <c r="K341" s="9">
        <f t="shared" si="21"/>
        <v>1.8225000000000107E-6</v>
      </c>
      <c r="L341" s="10">
        <f t="shared" si="22"/>
        <v>2.0516717325228027</v>
      </c>
    </row>
    <row r="342" spans="1:12" x14ac:dyDescent="0.15">
      <c r="A342" s="3">
        <f>DATE(1988,3,1)</f>
        <v>32203</v>
      </c>
      <c r="B342" s="4">
        <v>6.5799999999999997E-2</v>
      </c>
      <c r="C342" s="12">
        <f t="shared" si="23"/>
        <v>6.7150000000000001E-2</v>
      </c>
      <c r="G342" s="3">
        <f>DATE(1988,4,1)</f>
        <v>32234</v>
      </c>
      <c r="H342" s="4">
        <v>6.8699999999999997E-2</v>
      </c>
      <c r="I342" s="12">
        <v>6.7799999999999999E-2</v>
      </c>
      <c r="J342" s="4">
        <f t="shared" si="20"/>
        <v>1.4037888198757766E-2</v>
      </c>
      <c r="K342" s="9">
        <f t="shared" si="21"/>
        <v>8.0999999999999648E-7</v>
      </c>
      <c r="L342" s="10">
        <f t="shared" si="22"/>
        <v>1.3100436681222678</v>
      </c>
    </row>
    <row r="343" spans="1:12" x14ac:dyDescent="0.15">
      <c r="A343" s="3">
        <f>DATE(1988,4,1)</f>
        <v>32234</v>
      </c>
      <c r="B343" s="4">
        <v>6.8699999999999997E-2</v>
      </c>
      <c r="C343" s="12">
        <f t="shared" si="23"/>
        <v>6.7799999999999999E-2</v>
      </c>
      <c r="G343" s="3">
        <f>DATE(1988,5,1)</f>
        <v>32264</v>
      </c>
      <c r="H343" s="4">
        <v>7.0900000000000005E-2</v>
      </c>
      <c r="I343" s="12">
        <v>7.0125000000000007E-2</v>
      </c>
      <c r="J343" s="4">
        <f t="shared" si="20"/>
        <v>1.6237888198757773E-2</v>
      </c>
      <c r="K343" s="9">
        <f t="shared" si="21"/>
        <v>6.0062499999999679E-7</v>
      </c>
      <c r="L343" s="10">
        <f t="shared" si="22"/>
        <v>1.0930888575458362</v>
      </c>
    </row>
    <row r="344" spans="1:12" x14ac:dyDescent="0.15">
      <c r="A344" s="3">
        <f>DATE(1988,5,1)</f>
        <v>32264</v>
      </c>
      <c r="B344" s="4">
        <v>7.0900000000000005E-2</v>
      </c>
      <c r="C344" s="12">
        <f t="shared" si="23"/>
        <v>7.0125000000000007E-2</v>
      </c>
      <c r="G344" s="3">
        <f>DATE(1988,6,1)</f>
        <v>32295</v>
      </c>
      <c r="H344" s="4">
        <v>7.51E-2</v>
      </c>
      <c r="I344" s="12">
        <v>7.3050000000000004E-2</v>
      </c>
      <c r="J344" s="4">
        <f t="shared" si="20"/>
        <v>2.0437888198757768E-2</v>
      </c>
      <c r="K344" s="9">
        <f t="shared" si="21"/>
        <v>4.2024999999999848E-6</v>
      </c>
      <c r="L344" s="10">
        <f t="shared" si="22"/>
        <v>2.729693741677758</v>
      </c>
    </row>
    <row r="345" spans="1:12" x14ac:dyDescent="0.15">
      <c r="A345" s="3">
        <f>DATE(1988,6,1)</f>
        <v>32295</v>
      </c>
      <c r="B345" s="4">
        <v>7.51E-2</v>
      </c>
      <c r="C345" s="12">
        <f t="shared" si="23"/>
        <v>7.3050000000000004E-2</v>
      </c>
      <c r="G345" s="3">
        <f>DATE(1988,7,1)</f>
        <v>32325</v>
      </c>
      <c r="H345" s="4">
        <v>7.7499999999999999E-2</v>
      </c>
      <c r="I345" s="12">
        <v>7.5900000000000009E-2</v>
      </c>
      <c r="J345" s="4">
        <f t="shared" si="20"/>
        <v>2.2837888198757768E-2</v>
      </c>
      <c r="K345" s="9">
        <f t="shared" si="21"/>
        <v>2.5599999999999691E-6</v>
      </c>
      <c r="L345" s="10">
        <f t="shared" si="22"/>
        <v>2.0645161290322456</v>
      </c>
    </row>
    <row r="346" spans="1:12" x14ac:dyDescent="0.15">
      <c r="A346" s="3">
        <f>DATE(1988,7,1)</f>
        <v>32325</v>
      </c>
      <c r="B346" s="4">
        <v>7.7499999999999999E-2</v>
      </c>
      <c r="C346" s="12">
        <f t="shared" si="23"/>
        <v>7.5900000000000009E-2</v>
      </c>
      <c r="G346" s="3">
        <f>DATE(1988,8,1)</f>
        <v>32356</v>
      </c>
      <c r="H346" s="4">
        <v>8.0100000000000005E-2</v>
      </c>
      <c r="I346" s="12">
        <v>7.8649999999999998E-2</v>
      </c>
      <c r="J346" s="4">
        <f t="shared" si="20"/>
        <v>2.5437888198757773E-2</v>
      </c>
      <c r="K346" s="9">
        <f t="shared" si="21"/>
        <v>2.1025000000000197E-6</v>
      </c>
      <c r="L346" s="10">
        <f t="shared" si="22"/>
        <v>1.8102372034956391</v>
      </c>
    </row>
    <row r="347" spans="1:12" x14ac:dyDescent="0.15">
      <c r="A347" s="3">
        <f>DATE(1988,8,1)</f>
        <v>32356</v>
      </c>
      <c r="B347" s="4">
        <v>8.0100000000000005E-2</v>
      </c>
      <c r="C347" s="12">
        <f t="shared" si="23"/>
        <v>7.8649999999999998E-2</v>
      </c>
      <c r="G347" s="3">
        <f>DATE(1988,9,1)</f>
        <v>32387</v>
      </c>
      <c r="H347" s="4">
        <v>8.1900000000000001E-2</v>
      </c>
      <c r="I347" s="12">
        <v>8.0625000000000002E-2</v>
      </c>
      <c r="J347" s="4">
        <f t="shared" si="20"/>
        <v>2.7237888198757769E-2</v>
      </c>
      <c r="K347" s="9">
        <f t="shared" si="21"/>
        <v>1.6256249999999958E-6</v>
      </c>
      <c r="L347" s="10">
        <f t="shared" si="22"/>
        <v>1.5567765567765548</v>
      </c>
    </row>
    <row r="348" spans="1:12" x14ac:dyDescent="0.15">
      <c r="A348" s="3">
        <f>DATE(1988,9,1)</f>
        <v>32387</v>
      </c>
      <c r="B348" s="4">
        <v>8.1900000000000001E-2</v>
      </c>
      <c r="C348" s="12">
        <f t="shared" si="23"/>
        <v>8.0625000000000002E-2</v>
      </c>
      <c r="G348" s="3">
        <f>DATE(1988,10,1)</f>
        <v>32417</v>
      </c>
      <c r="H348" s="4">
        <v>8.3000000000000004E-2</v>
      </c>
      <c r="I348" s="12">
        <v>8.2125000000000004E-2</v>
      </c>
      <c r="J348" s="4">
        <f t="shared" si="20"/>
        <v>2.8337888198757773E-2</v>
      </c>
      <c r="K348" s="9">
        <f t="shared" si="21"/>
        <v>7.6562500000000135E-7</v>
      </c>
      <c r="L348" s="10">
        <f t="shared" si="22"/>
        <v>1.0542168674698804</v>
      </c>
    </row>
    <row r="349" spans="1:12" x14ac:dyDescent="0.15">
      <c r="A349" s="3">
        <f>DATE(1988,10,1)</f>
        <v>32417</v>
      </c>
      <c r="B349" s="4">
        <v>8.3000000000000004E-2</v>
      </c>
      <c r="C349" s="12">
        <f t="shared" si="23"/>
        <v>8.2125000000000004E-2</v>
      </c>
      <c r="G349" s="3">
        <f>DATE(1988,11,1)</f>
        <v>32448</v>
      </c>
      <c r="H349" s="4">
        <v>8.3499999999999991E-2</v>
      </c>
      <c r="I349" s="12">
        <v>8.3999999999999991E-2</v>
      </c>
      <c r="J349" s="4">
        <f t="shared" si="20"/>
        <v>2.8837888198757759E-2</v>
      </c>
      <c r="K349" s="9">
        <f t="shared" si="21"/>
        <v>2.5000000000000047E-7</v>
      </c>
      <c r="L349" s="10">
        <f t="shared" si="22"/>
        <v>0.59880239520958134</v>
      </c>
    </row>
    <row r="350" spans="1:12" x14ac:dyDescent="0.15">
      <c r="A350" s="3">
        <f>DATE(1988,11,1)</f>
        <v>32448</v>
      </c>
      <c r="B350" s="4">
        <v>8.3499999999999991E-2</v>
      </c>
      <c r="C350" s="12">
        <f t="shared" si="23"/>
        <v>8.3999999999999991E-2</v>
      </c>
      <c r="G350" s="3">
        <f>DATE(1988,12,1)</f>
        <v>32478</v>
      </c>
      <c r="H350" s="4">
        <v>8.7599999999999997E-2</v>
      </c>
      <c r="I350" s="12">
        <v>8.6324999999999999E-2</v>
      </c>
      <c r="J350" s="4">
        <f t="shared" si="20"/>
        <v>3.2937888198757766E-2</v>
      </c>
      <c r="K350" s="9">
        <f t="shared" si="21"/>
        <v>1.6256249999999958E-6</v>
      </c>
      <c r="L350" s="10">
        <f t="shared" si="22"/>
        <v>1.4554794520547927</v>
      </c>
    </row>
    <row r="351" spans="1:12" x14ac:dyDescent="0.15">
      <c r="A351" s="3">
        <f>DATE(1988,12,1)</f>
        <v>32478</v>
      </c>
      <c r="B351" s="4">
        <v>8.7599999999999997E-2</v>
      </c>
      <c r="C351" s="12">
        <f t="shared" si="23"/>
        <v>8.6324999999999999E-2</v>
      </c>
      <c r="G351" s="3">
        <f>DATE(1989,1,1)</f>
        <v>32509</v>
      </c>
      <c r="H351" s="4">
        <v>9.1199999999999989E-2</v>
      </c>
      <c r="I351" s="12">
        <v>8.8974999999999999E-2</v>
      </c>
      <c r="J351" s="4">
        <f t="shared" si="20"/>
        <v>3.6537888198757758E-2</v>
      </c>
      <c r="K351" s="9">
        <f t="shared" si="21"/>
        <v>4.9506249999999591E-6</v>
      </c>
      <c r="L351" s="10">
        <f t="shared" si="22"/>
        <v>2.4396929824561306</v>
      </c>
    </row>
    <row r="352" spans="1:12" x14ac:dyDescent="0.15">
      <c r="A352" s="3">
        <f>DATE(1989,1,1)</f>
        <v>32509</v>
      </c>
      <c r="B352" s="4">
        <v>9.1199999999999989E-2</v>
      </c>
      <c r="C352" s="12">
        <f t="shared" si="23"/>
        <v>8.8974999999999999E-2</v>
      </c>
      <c r="G352" s="3">
        <f>DATE(1989,2,1)</f>
        <v>32540</v>
      </c>
      <c r="H352" s="4">
        <v>9.3599999999999989E-2</v>
      </c>
      <c r="I352" s="12">
        <v>9.2724999999999988E-2</v>
      </c>
      <c r="J352" s="4">
        <f t="shared" si="20"/>
        <v>3.8937888198757757E-2</v>
      </c>
      <c r="K352" s="9">
        <f t="shared" si="21"/>
        <v>7.6562500000000135E-7</v>
      </c>
      <c r="L352" s="10">
        <f t="shared" si="22"/>
        <v>0.93482905982906084</v>
      </c>
    </row>
    <row r="353" spans="1:12" x14ac:dyDescent="0.15">
      <c r="A353" s="3">
        <f>DATE(1989,2,1)</f>
        <v>32540</v>
      </c>
      <c r="B353" s="4">
        <v>9.3599999999999989E-2</v>
      </c>
      <c r="C353" s="12">
        <f t="shared" si="23"/>
        <v>9.2724999999999988E-2</v>
      </c>
      <c r="G353" s="3">
        <f>DATE(1989,3,1)</f>
        <v>32568</v>
      </c>
      <c r="H353" s="4">
        <v>9.849999999999999E-2</v>
      </c>
      <c r="I353" s="12">
        <v>9.5424999999999982E-2</v>
      </c>
      <c r="J353" s="4">
        <f t="shared" si="20"/>
        <v>4.3837888198757759E-2</v>
      </c>
      <c r="K353" s="9">
        <f t="shared" si="21"/>
        <v>9.4556250000000506E-6</v>
      </c>
      <c r="L353" s="10">
        <f t="shared" si="22"/>
        <v>3.1218274111675215</v>
      </c>
    </row>
    <row r="354" spans="1:12" x14ac:dyDescent="0.15">
      <c r="A354" s="3">
        <f>DATE(1989,3,1)</f>
        <v>32568</v>
      </c>
      <c r="B354" s="4">
        <v>9.849999999999999E-2</v>
      </c>
      <c r="C354" s="12">
        <f t="shared" si="23"/>
        <v>9.5424999999999982E-2</v>
      </c>
      <c r="G354" s="3">
        <f>DATE(1989,4,1)</f>
        <v>32599</v>
      </c>
      <c r="H354" s="4">
        <v>9.8400000000000001E-2</v>
      </c>
      <c r="I354" s="12">
        <v>9.715E-2</v>
      </c>
      <c r="J354" s="4">
        <f t="shared" si="20"/>
        <v>4.373788819875777E-2</v>
      </c>
      <c r="K354" s="9">
        <f t="shared" si="21"/>
        <v>1.5625000000000028E-6</v>
      </c>
      <c r="L354" s="10">
        <f t="shared" si="22"/>
        <v>1.2703252032520338</v>
      </c>
    </row>
    <row r="355" spans="1:12" x14ac:dyDescent="0.15">
      <c r="A355" s="3">
        <f>DATE(1989,4,1)</f>
        <v>32599</v>
      </c>
      <c r="B355" s="4">
        <v>9.8400000000000001E-2</v>
      </c>
      <c r="C355" s="12">
        <f t="shared" si="23"/>
        <v>9.715E-2</v>
      </c>
      <c r="G355" s="3">
        <f>DATE(1989,5,1)</f>
        <v>32629</v>
      </c>
      <c r="H355" s="4">
        <v>9.8100000000000007E-2</v>
      </c>
      <c r="I355" s="12">
        <v>9.7574999999999995E-2</v>
      </c>
      <c r="J355" s="4">
        <f t="shared" si="20"/>
        <v>4.3437888198757775E-2</v>
      </c>
      <c r="K355" s="9">
        <f t="shared" si="21"/>
        <v>2.7562500000001213E-7</v>
      </c>
      <c r="L355" s="10">
        <f t="shared" si="22"/>
        <v>0.53516819571866625</v>
      </c>
    </row>
    <row r="356" spans="1:12" x14ac:dyDescent="0.15">
      <c r="A356" s="3">
        <f>DATE(1989,5,1)</f>
        <v>32629</v>
      </c>
      <c r="B356" s="4">
        <v>9.8100000000000007E-2</v>
      </c>
      <c r="C356" s="12">
        <f t="shared" si="23"/>
        <v>9.7574999999999995E-2</v>
      </c>
      <c r="G356" s="3">
        <f>DATE(1989,6,1)</f>
        <v>32660</v>
      </c>
      <c r="H356" s="4">
        <v>9.5299999999999996E-2</v>
      </c>
      <c r="I356" s="12">
        <v>9.6049999999999996E-2</v>
      </c>
      <c r="J356" s="4">
        <f t="shared" si="20"/>
        <v>4.0637888198757764E-2</v>
      </c>
      <c r="K356" s="9">
        <f t="shared" si="21"/>
        <v>5.6250000000000097E-7</v>
      </c>
      <c r="L356" s="10">
        <f t="shared" si="22"/>
        <v>0.78698845750262403</v>
      </c>
    </row>
    <row r="357" spans="1:12" x14ac:dyDescent="0.15">
      <c r="A357" s="3">
        <f>DATE(1989,6,1)</f>
        <v>32660</v>
      </c>
      <c r="B357" s="4">
        <v>9.5299999999999996E-2</v>
      </c>
      <c r="C357" s="12">
        <f t="shared" si="23"/>
        <v>9.6049999999999996E-2</v>
      </c>
      <c r="G357" s="3">
        <f>DATE(1989,7,1)</f>
        <v>32690</v>
      </c>
      <c r="H357" s="4">
        <v>9.2399999999999996E-2</v>
      </c>
      <c r="I357" s="12">
        <v>9.3925000000000008E-2</v>
      </c>
      <c r="J357" s="4">
        <f t="shared" si="20"/>
        <v>3.7737888198757764E-2</v>
      </c>
      <c r="K357" s="9">
        <f t="shared" si="21"/>
        <v>2.325625000000038E-6</v>
      </c>
      <c r="L357" s="10">
        <f t="shared" si="22"/>
        <v>1.6504329004329139</v>
      </c>
    </row>
    <row r="358" spans="1:12" x14ac:dyDescent="0.15">
      <c r="A358" s="3">
        <f>DATE(1989,7,1)</f>
        <v>32690</v>
      </c>
      <c r="B358" s="4">
        <v>9.2399999999999996E-2</v>
      </c>
      <c r="C358" s="12">
        <f t="shared" si="23"/>
        <v>9.3925000000000008E-2</v>
      </c>
      <c r="G358" s="3">
        <f>DATE(1989,8,1)</f>
        <v>32721</v>
      </c>
      <c r="H358" s="4">
        <v>8.9900000000000008E-2</v>
      </c>
      <c r="I358" s="12">
        <v>9.194999999999999E-2</v>
      </c>
      <c r="J358" s="4">
        <f t="shared" si="20"/>
        <v>3.5237888198757776E-2</v>
      </c>
      <c r="K358" s="9">
        <f t="shared" si="21"/>
        <v>4.202499999999928E-6</v>
      </c>
      <c r="L358" s="10">
        <f t="shared" si="22"/>
        <v>2.2803114571746188</v>
      </c>
    </row>
    <row r="359" spans="1:12" x14ac:dyDescent="0.15">
      <c r="A359" s="3">
        <f>DATE(1989,8,1)</f>
        <v>32721</v>
      </c>
      <c r="B359" s="4">
        <v>8.9900000000000008E-2</v>
      </c>
      <c r="C359" s="12">
        <f t="shared" si="23"/>
        <v>9.194999999999999E-2</v>
      </c>
      <c r="G359" s="3">
        <f>DATE(1989,9,1)</f>
        <v>32752</v>
      </c>
      <c r="H359" s="4">
        <v>9.0200000000000002E-2</v>
      </c>
      <c r="I359" s="12">
        <v>9.0225E-2</v>
      </c>
      <c r="J359" s="4">
        <f t="shared" si="20"/>
        <v>3.5537888198757771E-2</v>
      </c>
      <c r="K359" s="9">
        <f t="shared" si="21"/>
        <v>6.2499999999986229E-10</v>
      </c>
      <c r="L359" s="10">
        <f t="shared" si="22"/>
        <v>2.7716186252768567E-2</v>
      </c>
    </row>
    <row r="360" spans="1:12" x14ac:dyDescent="0.15">
      <c r="A360" s="3">
        <f>DATE(1989,9,1)</f>
        <v>32752</v>
      </c>
      <c r="B360" s="4">
        <v>9.0200000000000002E-2</v>
      </c>
      <c r="C360" s="12">
        <f t="shared" si="23"/>
        <v>9.0225E-2</v>
      </c>
      <c r="G360" s="3">
        <f>DATE(1989,10,1)</f>
        <v>32782</v>
      </c>
      <c r="H360" s="4">
        <v>8.8399999999999992E-2</v>
      </c>
      <c r="I360" s="12">
        <v>8.8500000000000009E-2</v>
      </c>
      <c r="J360" s="4">
        <f t="shared" si="20"/>
        <v>3.3737888198757761E-2</v>
      </c>
      <c r="K360" s="9">
        <f t="shared" si="21"/>
        <v>1.0000000000003349E-8</v>
      </c>
      <c r="L360" s="10">
        <f t="shared" si="22"/>
        <v>0.1131221719457203</v>
      </c>
    </row>
    <row r="361" spans="1:12" x14ac:dyDescent="0.15">
      <c r="A361" s="3">
        <f>DATE(1989,10,1)</f>
        <v>32782</v>
      </c>
      <c r="B361" s="4">
        <v>8.8399999999999992E-2</v>
      </c>
      <c r="C361" s="12">
        <f t="shared" si="23"/>
        <v>8.8500000000000009E-2</v>
      </c>
      <c r="G361" s="3">
        <f>DATE(1989,11,1)</f>
        <v>32813</v>
      </c>
      <c r="H361" s="4">
        <v>8.5500000000000007E-2</v>
      </c>
      <c r="I361" s="12">
        <v>8.7150000000000005E-2</v>
      </c>
      <c r="J361" s="4">
        <f t="shared" si="20"/>
        <v>3.0837888198757775E-2</v>
      </c>
      <c r="K361" s="9">
        <f t="shared" si="21"/>
        <v>2.7224999999999955E-6</v>
      </c>
      <c r="L361" s="10">
        <f t="shared" si="22"/>
        <v>1.9298245614035072</v>
      </c>
    </row>
    <row r="362" spans="1:12" x14ac:dyDescent="0.15">
      <c r="A362" s="3">
        <f>DATE(1989,11,1)</f>
        <v>32813</v>
      </c>
      <c r="B362" s="4">
        <v>8.5500000000000007E-2</v>
      </c>
      <c r="C362" s="12">
        <f t="shared" si="23"/>
        <v>8.7150000000000005E-2</v>
      </c>
      <c r="G362" s="3">
        <f>DATE(1989,12,1)</f>
        <v>32843</v>
      </c>
      <c r="H362" s="4">
        <v>8.4499999999999992E-2</v>
      </c>
      <c r="I362" s="12">
        <v>8.5174999999999987E-2</v>
      </c>
      <c r="J362" s="4">
        <f t="shared" si="20"/>
        <v>2.983788819875776E-2</v>
      </c>
      <c r="K362" s="9">
        <f t="shared" si="21"/>
        <v>4.5562499999999331E-7</v>
      </c>
      <c r="L362" s="10">
        <f t="shared" si="22"/>
        <v>0.79881656804733148</v>
      </c>
    </row>
    <row r="363" spans="1:12" x14ac:dyDescent="0.15">
      <c r="A363" s="3">
        <f>DATE(1989,12,1)</f>
        <v>32843</v>
      </c>
      <c r="B363" s="4">
        <v>8.4499999999999992E-2</v>
      </c>
      <c r="C363" s="12">
        <f t="shared" si="23"/>
        <v>8.5174999999999987E-2</v>
      </c>
      <c r="G363" s="3">
        <f>DATE(1990,1,1)</f>
        <v>32874</v>
      </c>
      <c r="H363" s="4">
        <v>8.2299999999999998E-2</v>
      </c>
      <c r="I363" s="12">
        <v>8.3674999999999999E-2</v>
      </c>
      <c r="J363" s="4">
        <f t="shared" si="20"/>
        <v>2.7637888198757767E-2</v>
      </c>
      <c r="K363" s="9">
        <f t="shared" si="21"/>
        <v>1.8906250000000034E-6</v>
      </c>
      <c r="L363" s="10">
        <f t="shared" si="22"/>
        <v>1.6707168894289199</v>
      </c>
    </row>
    <row r="364" spans="1:12" x14ac:dyDescent="0.15">
      <c r="A364" s="3">
        <f>DATE(1990,1,1)</f>
        <v>32874</v>
      </c>
      <c r="B364" s="4">
        <v>8.2299999999999998E-2</v>
      </c>
      <c r="C364" s="12">
        <f t="shared" si="23"/>
        <v>8.3674999999999999E-2</v>
      </c>
      <c r="G364" s="3">
        <f>DATE(1990,2,1)</f>
        <v>32905</v>
      </c>
      <c r="H364" s="4">
        <v>8.2400000000000001E-2</v>
      </c>
      <c r="I364" s="12">
        <v>8.3000000000000004E-2</v>
      </c>
      <c r="J364" s="4">
        <f t="shared" si="20"/>
        <v>2.7737888198757769E-2</v>
      </c>
      <c r="K364" s="9">
        <f t="shared" si="21"/>
        <v>3.6000000000000396E-7</v>
      </c>
      <c r="L364" s="10">
        <f t="shared" si="22"/>
        <v>0.72815533980582925</v>
      </c>
    </row>
    <row r="365" spans="1:12" x14ac:dyDescent="0.15">
      <c r="A365" s="3">
        <f>DATE(1990,2,1)</f>
        <v>32905</v>
      </c>
      <c r="B365" s="4">
        <v>8.2400000000000001E-2</v>
      </c>
      <c r="C365" s="12">
        <f t="shared" si="23"/>
        <v>8.3000000000000004E-2</v>
      </c>
      <c r="G365" s="3">
        <f>DATE(1990,3,1)</f>
        <v>32933</v>
      </c>
      <c r="H365" s="4">
        <v>8.2799999999999999E-2</v>
      </c>
      <c r="I365" s="12">
        <v>8.2525000000000001E-2</v>
      </c>
      <c r="J365" s="4">
        <f t="shared" si="20"/>
        <v>2.8137888198757767E-2</v>
      </c>
      <c r="K365" s="9">
        <f t="shared" si="21"/>
        <v>7.5624999999998614E-8</v>
      </c>
      <c r="L365" s="10">
        <f t="shared" si="22"/>
        <v>0.33212560386473128</v>
      </c>
    </row>
    <row r="366" spans="1:12" x14ac:dyDescent="0.15">
      <c r="A366" s="3">
        <f>DATE(1990,3,1)</f>
        <v>32933</v>
      </c>
      <c r="B366" s="4">
        <v>8.2799999999999999E-2</v>
      </c>
      <c r="C366" s="12">
        <f t="shared" si="23"/>
        <v>8.2525000000000001E-2</v>
      </c>
      <c r="G366" s="3">
        <f>DATE(1990,4,1)</f>
        <v>32964</v>
      </c>
      <c r="H366" s="4">
        <v>8.2599999999999993E-2</v>
      </c>
      <c r="I366" s="12">
        <v>8.2400000000000001E-2</v>
      </c>
      <c r="J366" s="4">
        <f t="shared" si="20"/>
        <v>2.7937888198757761E-2</v>
      </c>
      <c r="K366" s="9">
        <f t="shared" si="21"/>
        <v>3.9999999999996738E-8</v>
      </c>
      <c r="L366" s="10">
        <f t="shared" si="22"/>
        <v>0.24213075060531705</v>
      </c>
    </row>
    <row r="367" spans="1:12" x14ac:dyDescent="0.15">
      <c r="A367" s="3">
        <f>DATE(1990,4,1)</f>
        <v>32964</v>
      </c>
      <c r="B367" s="4">
        <v>8.2599999999999993E-2</v>
      </c>
      <c r="C367" s="12">
        <f t="shared" si="23"/>
        <v>8.2400000000000001E-2</v>
      </c>
      <c r="G367" s="3">
        <f>DATE(1990,5,1)</f>
        <v>32994</v>
      </c>
      <c r="H367" s="4">
        <v>8.1799999999999998E-2</v>
      </c>
      <c r="I367" s="12">
        <v>8.2524999999999987E-2</v>
      </c>
      <c r="J367" s="4">
        <f t="shared" si="20"/>
        <v>2.7137888198757766E-2</v>
      </c>
      <c r="K367" s="9">
        <f t="shared" si="21"/>
        <v>5.256249999999848E-7</v>
      </c>
      <c r="L367" s="10">
        <f t="shared" si="22"/>
        <v>0.88630806845964494</v>
      </c>
    </row>
    <row r="368" spans="1:12" x14ac:dyDescent="0.15">
      <c r="A368" s="3">
        <f>DATE(1990,5,1)</f>
        <v>32994</v>
      </c>
      <c r="B368" s="4">
        <v>8.1799999999999998E-2</v>
      </c>
      <c r="C368" s="12">
        <f t="shared" si="23"/>
        <v>8.2524999999999987E-2</v>
      </c>
      <c r="G368" s="3">
        <f>DATE(1990,6,1)</f>
        <v>33025</v>
      </c>
      <c r="H368" s="4">
        <v>8.2899999999999988E-2</v>
      </c>
      <c r="I368" s="12">
        <v>8.2199999999999995E-2</v>
      </c>
      <c r="J368" s="4">
        <f t="shared" si="20"/>
        <v>2.8237888198757756E-2</v>
      </c>
      <c r="K368" s="9">
        <f t="shared" si="21"/>
        <v>4.8999999999998917E-7</v>
      </c>
      <c r="L368" s="10">
        <f t="shared" si="22"/>
        <v>0.84439083232809697</v>
      </c>
    </row>
    <row r="369" spans="1:12" x14ac:dyDescent="0.15">
      <c r="A369" s="3">
        <f>DATE(1990,6,1)</f>
        <v>33025</v>
      </c>
      <c r="B369" s="4">
        <v>8.2899999999999988E-2</v>
      </c>
      <c r="C369" s="12">
        <f t="shared" si="23"/>
        <v>8.2199999999999995E-2</v>
      </c>
      <c r="G369" s="3">
        <f>DATE(1990,7,1)</f>
        <v>33055</v>
      </c>
      <c r="H369" s="4">
        <v>8.1500000000000003E-2</v>
      </c>
      <c r="I369" s="12">
        <v>8.1875000000000003E-2</v>
      </c>
      <c r="J369" s="4">
        <f t="shared" si="20"/>
        <v>2.6837888198757771E-2</v>
      </c>
      <c r="K369" s="9">
        <f t="shared" si="21"/>
        <v>1.4062500000000024E-7</v>
      </c>
      <c r="L369" s="10">
        <f t="shared" si="22"/>
        <v>0.46012269938650346</v>
      </c>
    </row>
    <row r="370" spans="1:12" x14ac:dyDescent="0.15">
      <c r="A370" s="3">
        <f>DATE(1990,7,1)</f>
        <v>33055</v>
      </c>
      <c r="B370" s="4">
        <v>8.1500000000000003E-2</v>
      </c>
      <c r="C370" s="12">
        <f t="shared" si="23"/>
        <v>8.1875000000000003E-2</v>
      </c>
      <c r="G370" s="3">
        <f>DATE(1990,8,1)</f>
        <v>33086</v>
      </c>
      <c r="H370" s="4">
        <v>8.1300000000000011E-2</v>
      </c>
      <c r="I370" s="12">
        <v>8.1924999999999998E-2</v>
      </c>
      <c r="J370" s="4">
        <f t="shared" si="20"/>
        <v>2.663788819875778E-2</v>
      </c>
      <c r="K370" s="9">
        <f t="shared" si="21"/>
        <v>3.9062499999998334E-7</v>
      </c>
      <c r="L370" s="10">
        <f t="shared" si="22"/>
        <v>0.76875768757685925</v>
      </c>
    </row>
    <row r="371" spans="1:12" x14ac:dyDescent="0.15">
      <c r="A371" s="3">
        <f>DATE(1990,8,1)</f>
        <v>33086</v>
      </c>
      <c r="B371" s="4">
        <v>8.1300000000000011E-2</v>
      </c>
      <c r="C371" s="12">
        <f t="shared" si="23"/>
        <v>8.1924999999999998E-2</v>
      </c>
      <c r="G371" s="3">
        <f>DATE(1990,9,1)</f>
        <v>33117</v>
      </c>
      <c r="H371" s="4">
        <v>8.199999999999999E-2</v>
      </c>
      <c r="I371" s="12">
        <v>8.1474999999999992E-2</v>
      </c>
      <c r="J371" s="4">
        <f t="shared" si="20"/>
        <v>2.7337888198757758E-2</v>
      </c>
      <c r="K371" s="9">
        <f t="shared" si="21"/>
        <v>2.7562499999999757E-7</v>
      </c>
      <c r="L371" s="10">
        <f t="shared" si="22"/>
        <v>0.64024390243902163</v>
      </c>
    </row>
    <row r="372" spans="1:12" x14ac:dyDescent="0.15">
      <c r="A372" s="3">
        <f>DATE(1990,9,1)</f>
        <v>33117</v>
      </c>
      <c r="B372" s="4">
        <v>8.199999999999999E-2</v>
      </c>
      <c r="C372" s="12">
        <f t="shared" si="23"/>
        <v>8.1474999999999992E-2</v>
      </c>
      <c r="G372" s="3">
        <f>DATE(1990,10,1)</f>
        <v>33147</v>
      </c>
      <c r="H372" s="4">
        <v>8.1099999999999992E-2</v>
      </c>
      <c r="I372" s="12">
        <v>8.0625000000000002E-2</v>
      </c>
      <c r="J372" s="4">
        <f t="shared" si="20"/>
        <v>2.643788819875776E-2</v>
      </c>
      <c r="K372" s="9">
        <f t="shared" si="21"/>
        <v>2.2562499999998985E-7</v>
      </c>
      <c r="L372" s="10">
        <f t="shared" si="22"/>
        <v>0.58569667077680565</v>
      </c>
    </row>
    <row r="373" spans="1:12" x14ac:dyDescent="0.15">
      <c r="A373" s="3">
        <f>DATE(1990,10,1)</f>
        <v>33147</v>
      </c>
      <c r="B373" s="4">
        <v>8.1099999999999992E-2</v>
      </c>
      <c r="C373" s="12">
        <f t="shared" si="23"/>
        <v>8.0625000000000002E-2</v>
      </c>
      <c r="G373" s="3">
        <f>DATE(1990,11,1)</f>
        <v>33178</v>
      </c>
      <c r="H373" s="4">
        <v>7.8100000000000003E-2</v>
      </c>
      <c r="I373" s="12">
        <v>7.8574999999999992E-2</v>
      </c>
      <c r="J373" s="4">
        <f t="shared" si="20"/>
        <v>2.3437888198757771E-2</v>
      </c>
      <c r="K373" s="9">
        <f t="shared" si="21"/>
        <v>2.2562499999998985E-7</v>
      </c>
      <c r="L373" s="10">
        <f t="shared" si="22"/>
        <v>0.60819462227911569</v>
      </c>
    </row>
    <row r="374" spans="1:12" x14ac:dyDescent="0.15">
      <c r="A374" s="3">
        <f>DATE(1990,11,1)</f>
        <v>33178</v>
      </c>
      <c r="B374" s="4">
        <v>7.8100000000000003E-2</v>
      </c>
      <c r="C374" s="12">
        <f t="shared" si="23"/>
        <v>7.8574999999999992E-2</v>
      </c>
      <c r="G374" s="3">
        <f>DATE(1990,12,1)</f>
        <v>33208</v>
      </c>
      <c r="H374" s="4">
        <v>7.3099999999999998E-2</v>
      </c>
      <c r="I374" s="12">
        <v>7.535E-2</v>
      </c>
      <c r="J374" s="4">
        <f t="shared" si="20"/>
        <v>1.8437888198757767E-2</v>
      </c>
      <c r="K374" s="9">
        <f t="shared" si="21"/>
        <v>5.0625000000000087E-6</v>
      </c>
      <c r="L374" s="10">
        <f t="shared" si="22"/>
        <v>3.077975376196993</v>
      </c>
    </row>
    <row r="375" spans="1:12" x14ac:dyDescent="0.15">
      <c r="A375" s="3">
        <f>DATE(1990,12,1)</f>
        <v>33208</v>
      </c>
      <c r="B375" s="4">
        <v>7.3099999999999998E-2</v>
      </c>
      <c r="C375" s="12">
        <f t="shared" si="23"/>
        <v>7.535E-2</v>
      </c>
      <c r="G375" s="3">
        <f>DATE(1991,1,1)</f>
        <v>33239</v>
      </c>
      <c r="H375" s="4">
        <v>6.9099999999999995E-2</v>
      </c>
      <c r="I375" s="12">
        <v>7.0699999999999999E-2</v>
      </c>
      <c r="J375" s="4">
        <f t="shared" si="20"/>
        <v>1.4437888198757763E-2</v>
      </c>
      <c r="K375" s="9">
        <f t="shared" si="21"/>
        <v>2.5600000000000136E-6</v>
      </c>
      <c r="L375" s="10">
        <f t="shared" si="22"/>
        <v>2.3154848046309762</v>
      </c>
    </row>
    <row r="376" spans="1:12" x14ac:dyDescent="0.15">
      <c r="A376" s="3">
        <f>DATE(1991,1,1)</f>
        <v>33239</v>
      </c>
      <c r="B376" s="4">
        <v>6.9099999999999995E-2</v>
      </c>
      <c r="C376" s="12">
        <f t="shared" si="23"/>
        <v>7.0699999999999999E-2</v>
      </c>
      <c r="G376" s="3">
        <f>DATE(1991,2,1)</f>
        <v>33270</v>
      </c>
      <c r="H376" s="4">
        <v>6.25E-2</v>
      </c>
      <c r="I376" s="12">
        <v>6.6475000000000006E-2</v>
      </c>
      <c r="J376" s="4">
        <f t="shared" si="20"/>
        <v>7.8378881987577684E-3</v>
      </c>
      <c r="K376" s="9">
        <f t="shared" si="21"/>
        <v>1.5800625000000052E-5</v>
      </c>
      <c r="L376" s="10">
        <f t="shared" si="22"/>
        <v>6.3600000000000101</v>
      </c>
    </row>
    <row r="377" spans="1:12" x14ac:dyDescent="0.15">
      <c r="A377" s="3">
        <f>DATE(1991,2,1)</f>
        <v>33270</v>
      </c>
      <c r="B377" s="4">
        <v>6.25E-2</v>
      </c>
      <c r="C377" s="12">
        <f t="shared" si="23"/>
        <v>6.6475000000000006E-2</v>
      </c>
      <c r="G377" s="3">
        <f>DATE(1991,3,1)</f>
        <v>33298</v>
      </c>
      <c r="H377" s="4">
        <v>6.1200000000000004E-2</v>
      </c>
      <c r="I377" s="12">
        <v>6.2975000000000003E-2</v>
      </c>
      <c r="J377" s="4">
        <f t="shared" si="20"/>
        <v>6.5378881987577728E-3</v>
      </c>
      <c r="K377" s="9">
        <f t="shared" si="21"/>
        <v>3.1506249999999958E-6</v>
      </c>
      <c r="L377" s="10">
        <f t="shared" si="22"/>
        <v>2.9003267973856186</v>
      </c>
    </row>
    <row r="378" spans="1:12" x14ac:dyDescent="0.15">
      <c r="A378" s="3">
        <f>DATE(1991,3,1)</f>
        <v>33298</v>
      </c>
      <c r="B378" s="4">
        <v>6.1200000000000004E-2</v>
      </c>
      <c r="C378" s="12">
        <f t="shared" si="23"/>
        <v>6.2975000000000003E-2</v>
      </c>
      <c r="G378" s="3">
        <f>DATE(1991,4,1)</f>
        <v>33329</v>
      </c>
      <c r="H378" s="4">
        <v>5.91E-2</v>
      </c>
      <c r="I378" s="12">
        <v>6.0150000000000009E-2</v>
      </c>
      <c r="J378" s="4">
        <f t="shared" si="20"/>
        <v>4.4378881987577681E-3</v>
      </c>
      <c r="K378" s="9">
        <f t="shared" si="21"/>
        <v>1.1025000000000195E-6</v>
      </c>
      <c r="L378" s="10">
        <f t="shared" si="22"/>
        <v>1.7766497461929092</v>
      </c>
    </row>
    <row r="379" spans="1:12" x14ac:dyDescent="0.15">
      <c r="A379" s="3">
        <f>DATE(1991,4,1)</f>
        <v>33329</v>
      </c>
      <c r="B379" s="4">
        <v>5.91E-2</v>
      </c>
      <c r="C379" s="12">
        <f t="shared" si="23"/>
        <v>6.0150000000000009E-2</v>
      </c>
      <c r="G379" s="3">
        <f>DATE(1991,5,1)</f>
        <v>33359</v>
      </c>
      <c r="H379" s="4">
        <v>5.7800000000000004E-2</v>
      </c>
      <c r="I379" s="12">
        <v>5.9275000000000001E-2</v>
      </c>
      <c r="J379" s="4">
        <f t="shared" si="20"/>
        <v>3.1378881987577725E-3</v>
      </c>
      <c r="K379" s="9">
        <f t="shared" si="21"/>
        <v>2.1756249999999916E-6</v>
      </c>
      <c r="L379" s="10">
        <f t="shared" si="22"/>
        <v>2.5519031141868465</v>
      </c>
    </row>
    <row r="380" spans="1:12" x14ac:dyDescent="0.15">
      <c r="A380" s="3">
        <f>DATE(1991,5,1)</f>
        <v>33359</v>
      </c>
      <c r="B380" s="4">
        <v>5.7800000000000004E-2</v>
      </c>
      <c r="C380" s="12">
        <f t="shared" si="23"/>
        <v>5.9275000000000001E-2</v>
      </c>
      <c r="G380" s="3">
        <f>DATE(1991,6,1)</f>
        <v>33390</v>
      </c>
      <c r="H380" s="4">
        <v>5.9000000000000004E-2</v>
      </c>
      <c r="I380" s="12">
        <v>5.8525000000000001E-2</v>
      </c>
      <c r="J380" s="4">
        <f t="shared" si="20"/>
        <v>4.3378881987577722E-3</v>
      </c>
      <c r="K380" s="9">
        <f t="shared" si="21"/>
        <v>2.2562500000000303E-7</v>
      </c>
      <c r="L380" s="10">
        <f t="shared" si="22"/>
        <v>0.80508474576271727</v>
      </c>
    </row>
    <row r="381" spans="1:12" x14ac:dyDescent="0.15">
      <c r="A381" s="3">
        <f>DATE(1991,6,1)</f>
        <v>33390</v>
      </c>
      <c r="B381" s="4">
        <v>5.9000000000000004E-2</v>
      </c>
      <c r="C381" s="12">
        <f t="shared" si="23"/>
        <v>5.8525000000000001E-2</v>
      </c>
      <c r="G381" s="3">
        <f>DATE(1991,7,1)</f>
        <v>33420</v>
      </c>
      <c r="H381" s="4">
        <v>5.8200000000000002E-2</v>
      </c>
      <c r="I381" s="12">
        <v>5.7900000000000007E-2</v>
      </c>
      <c r="J381" s="4">
        <f t="shared" si="20"/>
        <v>3.5378881987577701E-3</v>
      </c>
      <c r="K381" s="9">
        <f t="shared" si="21"/>
        <v>8.9999999999996835E-8</v>
      </c>
      <c r="L381" s="10">
        <f t="shared" si="22"/>
        <v>0.51546391752576404</v>
      </c>
    </row>
    <row r="382" spans="1:12" x14ac:dyDescent="0.15">
      <c r="A382" s="3">
        <f>DATE(1991,7,1)</f>
        <v>33420</v>
      </c>
      <c r="B382" s="4">
        <v>5.8200000000000002E-2</v>
      </c>
      <c r="C382" s="12">
        <f t="shared" si="23"/>
        <v>5.7900000000000007E-2</v>
      </c>
      <c r="G382" s="3">
        <f>DATE(1991,8,1)</f>
        <v>33451</v>
      </c>
      <c r="H382" s="4">
        <v>5.6600000000000004E-2</v>
      </c>
      <c r="I382" s="12">
        <v>5.7075000000000001E-2</v>
      </c>
      <c r="J382" s="4">
        <f t="shared" si="20"/>
        <v>1.9378881987577729E-3</v>
      </c>
      <c r="K382" s="9">
        <f t="shared" si="21"/>
        <v>2.2562499999999644E-7</v>
      </c>
      <c r="L382" s="10">
        <f t="shared" si="22"/>
        <v>0.83922261484098271</v>
      </c>
    </row>
    <row r="383" spans="1:12" x14ac:dyDescent="0.15">
      <c r="A383" s="3">
        <f>DATE(1991,8,1)</f>
        <v>33451</v>
      </c>
      <c r="B383" s="4">
        <v>5.6600000000000004E-2</v>
      </c>
      <c r="C383" s="12">
        <f t="shared" si="23"/>
        <v>5.7075000000000001E-2</v>
      </c>
      <c r="G383" s="3">
        <f>DATE(1991,9,1)</f>
        <v>33482</v>
      </c>
      <c r="H383" s="4">
        <v>5.45E-2</v>
      </c>
      <c r="I383" s="12">
        <v>5.5350000000000003E-2</v>
      </c>
      <c r="J383" s="4">
        <f t="shared" si="20"/>
        <v>1.6211180124223179E-4</v>
      </c>
      <c r="K383" s="9">
        <f t="shared" si="21"/>
        <v>7.22500000000006E-7</v>
      </c>
      <c r="L383" s="10">
        <f t="shared" si="22"/>
        <v>1.5596330275229422</v>
      </c>
    </row>
    <row r="384" spans="1:12" x14ac:dyDescent="0.15">
      <c r="A384" s="3">
        <f>DATE(1991,9,1)</f>
        <v>33482</v>
      </c>
      <c r="B384" s="4">
        <v>5.45E-2</v>
      </c>
      <c r="C384" s="12">
        <f t="shared" si="23"/>
        <v>5.5350000000000003E-2</v>
      </c>
      <c r="G384" s="3">
        <f>DATE(1991,10,1)</f>
        <v>33512</v>
      </c>
      <c r="H384" s="4">
        <v>5.21E-2</v>
      </c>
      <c r="I384" s="12">
        <v>5.2825000000000004E-2</v>
      </c>
      <c r="J384" s="4">
        <f t="shared" si="20"/>
        <v>2.5621118012422311E-3</v>
      </c>
      <c r="K384" s="9">
        <f t="shared" si="21"/>
        <v>5.2562500000000492E-7</v>
      </c>
      <c r="L384" s="10">
        <f t="shared" si="22"/>
        <v>1.391554702495208</v>
      </c>
    </row>
    <row r="385" spans="1:12" x14ac:dyDescent="0.15">
      <c r="A385" s="3">
        <f>DATE(1991,10,1)</f>
        <v>33512</v>
      </c>
      <c r="B385" s="4">
        <v>5.21E-2</v>
      </c>
      <c r="C385" s="12">
        <f t="shared" si="23"/>
        <v>5.2825000000000004E-2</v>
      </c>
      <c r="G385" s="3">
        <f>DATE(1991,11,1)</f>
        <v>33543</v>
      </c>
      <c r="H385" s="4">
        <v>4.8099999999999997E-2</v>
      </c>
      <c r="I385" s="12">
        <v>4.9750000000000003E-2</v>
      </c>
      <c r="J385" s="4">
        <f t="shared" si="20"/>
        <v>6.5621118012422347E-3</v>
      </c>
      <c r="K385" s="9">
        <f t="shared" si="21"/>
        <v>2.7225000000000184E-6</v>
      </c>
      <c r="L385" s="10">
        <f t="shared" si="22"/>
        <v>3.4303534303534424</v>
      </c>
    </row>
    <row r="386" spans="1:12" x14ac:dyDescent="0.15">
      <c r="A386" s="3">
        <f>DATE(1991,11,1)</f>
        <v>33543</v>
      </c>
      <c r="B386" s="4">
        <v>4.8099999999999997E-2</v>
      </c>
      <c r="C386" s="12">
        <f t="shared" si="23"/>
        <v>4.9750000000000003E-2</v>
      </c>
      <c r="G386" s="3">
        <f>DATE(1991,12,1)</f>
        <v>33573</v>
      </c>
      <c r="H386" s="4">
        <v>4.4299999999999999E-2</v>
      </c>
      <c r="I386" s="12">
        <v>4.6199999999999998E-2</v>
      </c>
      <c r="J386" s="4">
        <f t="shared" si="20"/>
        <v>1.0362111801242233E-2</v>
      </c>
      <c r="K386" s="9">
        <f t="shared" si="21"/>
        <v>3.6099999999999959E-6</v>
      </c>
      <c r="L386" s="10">
        <f t="shared" si="22"/>
        <v>4.2889390519187343</v>
      </c>
    </row>
    <row r="387" spans="1:12" x14ac:dyDescent="0.15">
      <c r="A387" s="3">
        <f>DATE(1991,12,1)</f>
        <v>33573</v>
      </c>
      <c r="B387" s="4">
        <v>4.4299999999999999E-2</v>
      </c>
      <c r="C387" s="12">
        <f t="shared" si="23"/>
        <v>4.6199999999999998E-2</v>
      </c>
      <c r="G387" s="3">
        <f>DATE(1992,1,1)</f>
        <v>33604</v>
      </c>
      <c r="H387" s="4">
        <v>4.0300000000000002E-2</v>
      </c>
      <c r="I387" s="12">
        <v>4.3324999999999995E-2</v>
      </c>
      <c r="J387" s="4">
        <f t="shared" si="20"/>
        <v>1.4362111801242229E-2</v>
      </c>
      <c r="K387" s="9">
        <f t="shared" si="21"/>
        <v>9.1506249999999578E-6</v>
      </c>
      <c r="L387" s="10">
        <f t="shared" si="22"/>
        <v>7.5062034739453916</v>
      </c>
    </row>
    <row r="388" spans="1:12" x14ac:dyDescent="0.15">
      <c r="A388" s="3">
        <f>DATE(1992,1,1)</f>
        <v>33604</v>
      </c>
      <c r="B388" s="4">
        <v>4.0300000000000002E-2</v>
      </c>
      <c r="C388" s="12">
        <f t="shared" si="23"/>
        <v>4.3324999999999995E-2</v>
      </c>
      <c r="G388" s="3">
        <f>DATE(1992,2,1)</f>
        <v>33635</v>
      </c>
      <c r="H388" s="4">
        <v>4.0599999999999997E-2</v>
      </c>
      <c r="I388" s="12">
        <v>4.1250000000000002E-2</v>
      </c>
      <c r="J388" s="4">
        <f t="shared" si="20"/>
        <v>1.4062111801242234E-2</v>
      </c>
      <c r="K388" s="9">
        <f t="shared" si="21"/>
        <v>4.2250000000000617E-7</v>
      </c>
      <c r="L388" s="10">
        <f t="shared" si="22"/>
        <v>1.6009852216748888</v>
      </c>
    </row>
    <row r="389" spans="1:12" x14ac:dyDescent="0.15">
      <c r="A389" s="3">
        <f>DATE(1992,2,1)</f>
        <v>33635</v>
      </c>
      <c r="B389" s="4">
        <v>4.0599999999999997E-2</v>
      </c>
      <c r="C389" s="12">
        <f t="shared" si="23"/>
        <v>4.1250000000000002E-2</v>
      </c>
      <c r="G389" s="3">
        <f>DATE(1992,3,1)</f>
        <v>33664</v>
      </c>
      <c r="H389" s="4">
        <v>3.9800000000000002E-2</v>
      </c>
      <c r="I389" s="12">
        <v>3.95E-2</v>
      </c>
      <c r="J389" s="4">
        <f t="shared" si="20"/>
        <v>1.486211180124223E-2</v>
      </c>
      <c r="K389" s="9">
        <f t="shared" si="21"/>
        <v>9.0000000000000991E-8</v>
      </c>
      <c r="L389" s="10">
        <f t="shared" si="22"/>
        <v>0.75376884422110968</v>
      </c>
    </row>
    <row r="390" spans="1:12" x14ac:dyDescent="0.15">
      <c r="A390" s="3">
        <f>DATE(1992,3,1)</f>
        <v>33664</v>
      </c>
      <c r="B390" s="4">
        <v>3.9800000000000002E-2</v>
      </c>
      <c r="C390" s="12">
        <f t="shared" si="23"/>
        <v>3.95E-2</v>
      </c>
      <c r="G390" s="3">
        <f>DATE(1992,4,1)</f>
        <v>33695</v>
      </c>
      <c r="H390" s="4">
        <v>3.73E-2</v>
      </c>
      <c r="I390" s="12">
        <v>3.8974999999999996E-2</v>
      </c>
      <c r="J390" s="4">
        <f t="shared" ref="J390:J453" si="24">ABS(H390-$Q$4)</f>
        <v>1.7362111801242232E-2</v>
      </c>
      <c r="K390" s="9">
        <f t="shared" ref="K390:K453" si="25">(H390-I390)^2</f>
        <v>2.8056249999999864E-6</v>
      </c>
      <c r="L390" s="10">
        <f t="shared" ref="L390:L453" si="26">ABS(H390-I390)/H390*100</f>
        <v>4.4906166219839037</v>
      </c>
    </row>
    <row r="391" spans="1:12" x14ac:dyDescent="0.15">
      <c r="A391" s="3">
        <f>DATE(1992,4,1)</f>
        <v>33695</v>
      </c>
      <c r="B391" s="4">
        <v>3.73E-2</v>
      </c>
      <c r="C391" s="12">
        <f t="shared" ref="C391:C454" si="27">(B389+B390+B391+B392)/4</f>
        <v>3.8974999999999996E-2</v>
      </c>
      <c r="G391" s="3">
        <f>DATE(1992,5,1)</f>
        <v>33725</v>
      </c>
      <c r="H391" s="4">
        <v>3.8199999999999998E-2</v>
      </c>
      <c r="I391" s="12">
        <v>3.8224999999999995E-2</v>
      </c>
      <c r="J391" s="4">
        <f t="shared" si="24"/>
        <v>1.6462111801242234E-2</v>
      </c>
      <c r="K391" s="9">
        <f t="shared" si="25"/>
        <v>6.2499999999986229E-10</v>
      </c>
      <c r="L391" s="10">
        <f t="shared" si="26"/>
        <v>6.5445026178003268E-2</v>
      </c>
    </row>
    <row r="392" spans="1:12" x14ac:dyDescent="0.15">
      <c r="A392" s="3">
        <f>DATE(1992,5,1)</f>
        <v>33725</v>
      </c>
      <c r="B392" s="4">
        <v>3.8199999999999998E-2</v>
      </c>
      <c r="C392" s="12">
        <f t="shared" si="27"/>
        <v>3.8224999999999995E-2</v>
      </c>
      <c r="G392" s="3">
        <f>DATE(1992,6,1)</f>
        <v>33756</v>
      </c>
      <c r="H392" s="4">
        <v>3.7599999999999995E-2</v>
      </c>
      <c r="I392" s="12">
        <v>3.6400000000000002E-2</v>
      </c>
      <c r="J392" s="4">
        <f t="shared" si="24"/>
        <v>1.7062111801242237E-2</v>
      </c>
      <c r="K392" s="9">
        <f t="shared" si="25"/>
        <v>1.4399999999999826E-6</v>
      </c>
      <c r="L392" s="10">
        <f t="shared" si="26"/>
        <v>3.1914893617021085</v>
      </c>
    </row>
    <row r="393" spans="1:12" x14ac:dyDescent="0.15">
      <c r="A393" s="3">
        <f>DATE(1992,6,1)</f>
        <v>33756</v>
      </c>
      <c r="B393" s="4">
        <v>3.7599999999999995E-2</v>
      </c>
      <c r="C393" s="12">
        <f t="shared" si="27"/>
        <v>3.6400000000000002E-2</v>
      </c>
      <c r="G393" s="3">
        <f>DATE(1992,7,1)</f>
        <v>33786</v>
      </c>
      <c r="H393" s="4">
        <v>3.2500000000000001E-2</v>
      </c>
      <c r="I393" s="12">
        <v>3.5324999999999995E-2</v>
      </c>
      <c r="J393" s="4">
        <f t="shared" si="24"/>
        <v>2.2162111801242231E-2</v>
      </c>
      <c r="K393" s="9">
        <f t="shared" si="25"/>
        <v>7.9806249999999673E-6</v>
      </c>
      <c r="L393" s="10">
        <f t="shared" si="26"/>
        <v>8.6923076923076739</v>
      </c>
    </row>
    <row r="394" spans="1:12" x14ac:dyDescent="0.15">
      <c r="A394" s="3">
        <f>DATE(1992,7,1)</f>
        <v>33786</v>
      </c>
      <c r="B394" s="4">
        <v>3.2500000000000001E-2</v>
      </c>
      <c r="C394" s="12">
        <f t="shared" si="27"/>
        <v>3.5324999999999995E-2</v>
      </c>
      <c r="G394" s="3">
        <f>DATE(1992,8,1)</f>
        <v>33817</v>
      </c>
      <c r="H394" s="4">
        <v>3.3000000000000002E-2</v>
      </c>
      <c r="I394" s="12">
        <v>3.3825000000000001E-2</v>
      </c>
      <c r="J394" s="4">
        <f t="shared" si="24"/>
        <v>2.166211180124223E-2</v>
      </c>
      <c r="K394" s="9">
        <f t="shared" si="25"/>
        <v>6.8062499999999888E-7</v>
      </c>
      <c r="L394" s="10">
        <f t="shared" si="26"/>
        <v>2.4999999999999982</v>
      </c>
    </row>
    <row r="395" spans="1:12" x14ac:dyDescent="0.15">
      <c r="A395" s="3">
        <f>DATE(1992,8,1)</f>
        <v>33817</v>
      </c>
      <c r="B395" s="4">
        <v>3.3000000000000002E-2</v>
      </c>
      <c r="C395" s="12">
        <f t="shared" si="27"/>
        <v>3.3825000000000001E-2</v>
      </c>
      <c r="G395" s="3">
        <f>DATE(1992,9,1)</f>
        <v>33848</v>
      </c>
      <c r="H395" s="4">
        <v>3.2199999999999999E-2</v>
      </c>
      <c r="I395" s="12">
        <v>3.2175000000000002E-2</v>
      </c>
      <c r="J395" s="4">
        <f t="shared" si="24"/>
        <v>2.2462111801242232E-2</v>
      </c>
      <c r="K395" s="9">
        <f t="shared" si="25"/>
        <v>6.2499999999986229E-10</v>
      </c>
      <c r="L395" s="10">
        <f t="shared" si="26"/>
        <v>7.7639751552786476E-2</v>
      </c>
    </row>
    <row r="396" spans="1:12" x14ac:dyDescent="0.15">
      <c r="A396" s="3">
        <f>DATE(1992,9,1)</f>
        <v>33848</v>
      </c>
      <c r="B396" s="4">
        <v>3.2199999999999999E-2</v>
      </c>
      <c r="C396" s="12">
        <f t="shared" si="27"/>
        <v>3.2175000000000002E-2</v>
      </c>
      <c r="G396" s="3">
        <f>DATE(1992,10,1)</f>
        <v>33878</v>
      </c>
      <c r="H396" s="4">
        <v>3.1E-2</v>
      </c>
      <c r="I396" s="12">
        <v>3.1774999999999998E-2</v>
      </c>
      <c r="J396" s="4">
        <f t="shared" si="24"/>
        <v>2.3662111801242232E-2</v>
      </c>
      <c r="K396" s="9">
        <f t="shared" si="25"/>
        <v>6.0062499999999679E-7</v>
      </c>
      <c r="L396" s="10">
        <f t="shared" si="26"/>
        <v>2.4999999999999933</v>
      </c>
    </row>
    <row r="397" spans="1:12" x14ac:dyDescent="0.15">
      <c r="A397" s="3">
        <f>DATE(1992,10,1)</f>
        <v>33878</v>
      </c>
      <c r="B397" s="4">
        <v>3.1E-2</v>
      </c>
      <c r="C397" s="12">
        <f t="shared" si="27"/>
        <v>3.1774999999999998E-2</v>
      </c>
      <c r="G397" s="3">
        <f>DATE(1992,11,1)</f>
        <v>33909</v>
      </c>
      <c r="H397" s="4">
        <v>3.0899999999999997E-2</v>
      </c>
      <c r="I397" s="12">
        <v>3.0825000000000002E-2</v>
      </c>
      <c r="J397" s="4">
        <f t="shared" si="24"/>
        <v>2.3762111801242235E-2</v>
      </c>
      <c r="K397" s="9">
        <f t="shared" si="25"/>
        <v>5.6249999999992811E-9</v>
      </c>
      <c r="L397" s="10">
        <f t="shared" si="26"/>
        <v>0.24271844660192629</v>
      </c>
    </row>
    <row r="398" spans="1:12" x14ac:dyDescent="0.15">
      <c r="A398" s="3">
        <f>DATE(1992,11,1)</f>
        <v>33909</v>
      </c>
      <c r="B398" s="4">
        <v>3.0899999999999997E-2</v>
      </c>
      <c r="C398" s="12">
        <f t="shared" si="27"/>
        <v>3.0825000000000002E-2</v>
      </c>
      <c r="G398" s="3">
        <f>DATE(1992,12,1)</f>
        <v>33939</v>
      </c>
      <c r="H398" s="4">
        <v>2.92E-2</v>
      </c>
      <c r="I398" s="12">
        <v>3.0325000000000001E-2</v>
      </c>
      <c r="J398" s="4">
        <f t="shared" si="24"/>
        <v>2.5462111801242231E-2</v>
      </c>
      <c r="K398" s="9">
        <f t="shared" si="25"/>
        <v>1.2656250000000022E-6</v>
      </c>
      <c r="L398" s="10">
        <f t="shared" si="26"/>
        <v>3.852739726027401</v>
      </c>
    </row>
    <row r="399" spans="1:12" x14ac:dyDescent="0.15">
      <c r="A399" s="3">
        <f>DATE(1992,12,1)</f>
        <v>33939</v>
      </c>
      <c r="B399" s="4">
        <v>2.92E-2</v>
      </c>
      <c r="C399" s="12">
        <f t="shared" si="27"/>
        <v>3.0325000000000001E-2</v>
      </c>
      <c r="G399" s="3">
        <f>DATE(1993,1,1)</f>
        <v>33970</v>
      </c>
      <c r="H399" s="4">
        <v>3.0200000000000001E-2</v>
      </c>
      <c r="I399" s="12">
        <v>3.015E-2</v>
      </c>
      <c r="J399" s="4">
        <f t="shared" si="24"/>
        <v>2.446211180124223E-2</v>
      </c>
      <c r="K399" s="9">
        <f t="shared" si="25"/>
        <v>2.5000000000001432E-9</v>
      </c>
      <c r="L399" s="10">
        <f t="shared" si="26"/>
        <v>0.1655629139072895</v>
      </c>
    </row>
    <row r="400" spans="1:12" x14ac:dyDescent="0.15">
      <c r="A400" s="3">
        <f>DATE(1993,1,1)</f>
        <v>33970</v>
      </c>
      <c r="B400" s="4">
        <v>3.0200000000000001E-2</v>
      </c>
      <c r="C400" s="12">
        <f t="shared" si="27"/>
        <v>3.015E-2</v>
      </c>
      <c r="G400" s="3">
        <f>DATE(1993,2,1)</f>
        <v>34001</v>
      </c>
      <c r="H400" s="4">
        <v>3.0299999999999997E-2</v>
      </c>
      <c r="I400" s="12">
        <v>3.0100000000000002E-2</v>
      </c>
      <c r="J400" s="4">
        <f t="shared" si="24"/>
        <v>2.4362111801242235E-2</v>
      </c>
      <c r="K400" s="9">
        <f t="shared" si="25"/>
        <v>3.9999999999998128E-8</v>
      </c>
      <c r="L400" s="10">
        <f t="shared" si="26"/>
        <v>0.66006600660064474</v>
      </c>
    </row>
    <row r="401" spans="1:12" x14ac:dyDescent="0.15">
      <c r="A401" s="3">
        <f>DATE(1993,2,1)</f>
        <v>34001</v>
      </c>
      <c r="B401" s="4">
        <v>3.0299999999999997E-2</v>
      </c>
      <c r="C401" s="12">
        <f t="shared" si="27"/>
        <v>3.0100000000000002E-2</v>
      </c>
      <c r="G401" s="3">
        <f>DATE(1993,3,1)</f>
        <v>34029</v>
      </c>
      <c r="H401" s="4">
        <v>3.0699999999999998E-2</v>
      </c>
      <c r="I401" s="12">
        <v>3.0200000000000001E-2</v>
      </c>
      <c r="J401" s="4">
        <f t="shared" si="24"/>
        <v>2.3962111801242233E-2</v>
      </c>
      <c r="K401" s="9">
        <f t="shared" si="25"/>
        <v>2.4999999999999697E-7</v>
      </c>
      <c r="L401" s="10">
        <f t="shared" si="26"/>
        <v>1.6286644951139968</v>
      </c>
    </row>
    <row r="402" spans="1:12" x14ac:dyDescent="0.15">
      <c r="A402" s="3">
        <f>DATE(1993,3,1)</f>
        <v>34029</v>
      </c>
      <c r="B402" s="4">
        <v>3.0699999999999998E-2</v>
      </c>
      <c r="C402" s="12">
        <f t="shared" si="27"/>
        <v>3.0200000000000001E-2</v>
      </c>
      <c r="G402" s="3">
        <f>DATE(1993,4,1)</f>
        <v>34060</v>
      </c>
      <c r="H402" s="4">
        <v>2.9600000000000001E-2</v>
      </c>
      <c r="I402" s="12">
        <v>3.015E-2</v>
      </c>
      <c r="J402" s="4">
        <f t="shared" si="24"/>
        <v>2.506211180124223E-2</v>
      </c>
      <c r="K402" s="9">
        <f t="shared" si="25"/>
        <v>3.0249999999999827E-7</v>
      </c>
      <c r="L402" s="10">
        <f t="shared" si="26"/>
        <v>1.8581081081081026</v>
      </c>
    </row>
    <row r="403" spans="1:12" x14ac:dyDescent="0.15">
      <c r="A403" s="3">
        <f>DATE(1993,4,1)</f>
        <v>34060</v>
      </c>
      <c r="B403" s="4">
        <v>2.9600000000000001E-2</v>
      </c>
      <c r="C403" s="12">
        <f t="shared" si="27"/>
        <v>3.015E-2</v>
      </c>
      <c r="G403" s="3">
        <f>DATE(1993,5,1)</f>
        <v>34090</v>
      </c>
      <c r="H403" s="4">
        <v>0.03</v>
      </c>
      <c r="I403" s="12">
        <v>3.0174999999999997E-2</v>
      </c>
      <c r="J403" s="4">
        <f t="shared" si="24"/>
        <v>2.4662111801242233E-2</v>
      </c>
      <c r="K403" s="9">
        <f t="shared" si="25"/>
        <v>3.0624999999999323E-8</v>
      </c>
      <c r="L403" s="10">
        <f t="shared" si="26"/>
        <v>0.58333333333332693</v>
      </c>
    </row>
    <row r="404" spans="1:12" x14ac:dyDescent="0.15">
      <c r="A404" s="3">
        <f>DATE(1993,5,1)</f>
        <v>34090</v>
      </c>
      <c r="B404" s="4">
        <v>0.03</v>
      </c>
      <c r="C404" s="12">
        <f t="shared" si="27"/>
        <v>3.0174999999999997E-2</v>
      </c>
      <c r="G404" s="3">
        <f>DATE(1993,6,1)</f>
        <v>34121</v>
      </c>
      <c r="H404" s="4">
        <v>3.04E-2</v>
      </c>
      <c r="I404" s="12">
        <v>3.015E-2</v>
      </c>
      <c r="J404" s="4">
        <f t="shared" si="24"/>
        <v>2.4262111801242232E-2</v>
      </c>
      <c r="K404" s="9">
        <f t="shared" si="25"/>
        <v>6.2500000000000116E-8</v>
      </c>
      <c r="L404" s="10">
        <f t="shared" si="26"/>
        <v>0.82236842105263219</v>
      </c>
    </row>
    <row r="405" spans="1:12" x14ac:dyDescent="0.15">
      <c r="A405" s="3">
        <f>DATE(1993,6,1)</f>
        <v>34121</v>
      </c>
      <c r="B405" s="4">
        <v>3.04E-2</v>
      </c>
      <c r="C405" s="12">
        <f t="shared" si="27"/>
        <v>3.015E-2</v>
      </c>
      <c r="G405" s="3">
        <f>DATE(1993,7,1)</f>
        <v>34151</v>
      </c>
      <c r="H405" s="4">
        <v>3.0600000000000002E-2</v>
      </c>
      <c r="I405" s="12">
        <v>3.0324999999999998E-2</v>
      </c>
      <c r="J405" s="4">
        <f t="shared" si="24"/>
        <v>2.4062111801242229E-2</v>
      </c>
      <c r="K405" s="9">
        <f t="shared" si="25"/>
        <v>7.5625000000002426E-8</v>
      </c>
      <c r="L405" s="10">
        <f t="shared" si="26"/>
        <v>0.89869281045753069</v>
      </c>
    </row>
    <row r="406" spans="1:12" x14ac:dyDescent="0.15">
      <c r="A406" s="3">
        <f>DATE(1993,7,1)</f>
        <v>34151</v>
      </c>
      <c r="B406" s="4">
        <v>3.0600000000000002E-2</v>
      </c>
      <c r="C406" s="12">
        <f t="shared" si="27"/>
        <v>3.0324999999999998E-2</v>
      </c>
      <c r="G406" s="3">
        <f>DATE(1993,8,1)</f>
        <v>34182</v>
      </c>
      <c r="H406" s="4">
        <v>3.0299999999999997E-2</v>
      </c>
      <c r="I406" s="12">
        <v>3.0549999999999997E-2</v>
      </c>
      <c r="J406" s="4">
        <f t="shared" si="24"/>
        <v>2.4362111801242235E-2</v>
      </c>
      <c r="K406" s="9">
        <f t="shared" si="25"/>
        <v>6.2500000000000116E-8</v>
      </c>
      <c r="L406" s="10">
        <f t="shared" si="26"/>
        <v>0.82508250825082585</v>
      </c>
    </row>
    <row r="407" spans="1:12" x14ac:dyDescent="0.15">
      <c r="A407" s="3">
        <f>DATE(1993,8,1)</f>
        <v>34182</v>
      </c>
      <c r="B407" s="4">
        <v>3.0299999999999997E-2</v>
      </c>
      <c r="C407" s="12">
        <f t="shared" si="27"/>
        <v>3.0549999999999997E-2</v>
      </c>
      <c r="G407" s="3">
        <f>DATE(1993,9,1)</f>
        <v>34213</v>
      </c>
      <c r="H407" s="4">
        <v>3.0899999999999997E-2</v>
      </c>
      <c r="I407" s="12">
        <v>3.0425000000000001E-2</v>
      </c>
      <c r="J407" s="4">
        <f t="shared" si="24"/>
        <v>2.3762111801242235E-2</v>
      </c>
      <c r="K407" s="9">
        <f t="shared" si="25"/>
        <v>2.2562499999999644E-7</v>
      </c>
      <c r="L407" s="10">
        <f t="shared" si="26"/>
        <v>1.5372168284789525</v>
      </c>
    </row>
    <row r="408" spans="1:12" x14ac:dyDescent="0.15">
      <c r="A408" s="3">
        <f>DATE(1993,9,1)</f>
        <v>34213</v>
      </c>
      <c r="B408" s="4">
        <v>3.0899999999999997E-2</v>
      </c>
      <c r="C408" s="12">
        <f t="shared" si="27"/>
        <v>3.0425000000000001E-2</v>
      </c>
      <c r="G408" s="3">
        <f>DATE(1993,10,1)</f>
        <v>34243</v>
      </c>
      <c r="H408" s="4">
        <v>2.9900000000000003E-2</v>
      </c>
      <c r="I408" s="12">
        <v>3.0324999999999998E-2</v>
      </c>
      <c r="J408" s="4">
        <f t="shared" si="24"/>
        <v>2.4762111801242229E-2</v>
      </c>
      <c r="K408" s="9">
        <f t="shared" si="25"/>
        <v>1.806249999999956E-7</v>
      </c>
      <c r="L408" s="10">
        <f t="shared" si="26"/>
        <v>1.4214046822742301</v>
      </c>
    </row>
    <row r="409" spans="1:12" x14ac:dyDescent="0.15">
      <c r="A409" s="3">
        <f>DATE(1993,10,1)</f>
        <v>34243</v>
      </c>
      <c r="B409" s="4">
        <v>2.9900000000000003E-2</v>
      </c>
      <c r="C409" s="12">
        <f t="shared" si="27"/>
        <v>3.0324999999999998E-2</v>
      </c>
      <c r="G409" s="3">
        <f>DATE(1993,11,1)</f>
        <v>34274</v>
      </c>
      <c r="H409" s="4">
        <v>3.0200000000000001E-2</v>
      </c>
      <c r="I409" s="12">
        <v>3.015E-2</v>
      </c>
      <c r="J409" s="4">
        <f t="shared" si="24"/>
        <v>2.446211180124223E-2</v>
      </c>
      <c r="K409" s="9">
        <f t="shared" si="25"/>
        <v>2.5000000000001432E-9</v>
      </c>
      <c r="L409" s="10">
        <f t="shared" si="26"/>
        <v>0.1655629139072895</v>
      </c>
    </row>
    <row r="410" spans="1:12" x14ac:dyDescent="0.15">
      <c r="A410" s="3">
        <f>DATE(1993,11,1)</f>
        <v>34274</v>
      </c>
      <c r="B410" s="4">
        <v>3.0200000000000001E-2</v>
      </c>
      <c r="C410" s="12">
        <f t="shared" si="27"/>
        <v>3.015E-2</v>
      </c>
      <c r="G410" s="3">
        <f>DATE(1993,12,1)</f>
        <v>34304</v>
      </c>
      <c r="H410" s="4">
        <v>2.9600000000000001E-2</v>
      </c>
      <c r="I410" s="12">
        <v>3.005E-2</v>
      </c>
      <c r="J410" s="4">
        <f t="shared" si="24"/>
        <v>2.506211180124223E-2</v>
      </c>
      <c r="K410" s="9">
        <f t="shared" si="25"/>
        <v>2.0249999999999912E-7</v>
      </c>
      <c r="L410" s="10">
        <f t="shared" si="26"/>
        <v>1.5202702702702668</v>
      </c>
    </row>
    <row r="411" spans="1:12" x14ac:dyDescent="0.15">
      <c r="A411" s="3">
        <f>DATE(1993,12,1)</f>
        <v>34304</v>
      </c>
      <c r="B411" s="4">
        <v>2.9600000000000001E-2</v>
      </c>
      <c r="C411" s="12">
        <f t="shared" si="27"/>
        <v>3.005E-2</v>
      </c>
      <c r="G411" s="3">
        <f>DATE(1994,1,1)</f>
        <v>34335</v>
      </c>
      <c r="H411" s="4">
        <v>3.0499999999999999E-2</v>
      </c>
      <c r="I411" s="12">
        <v>3.0700000000000002E-2</v>
      </c>
      <c r="J411" s="4">
        <f t="shared" si="24"/>
        <v>2.4162111801242232E-2</v>
      </c>
      <c r="K411" s="9">
        <f t="shared" si="25"/>
        <v>4.0000000000000901E-8</v>
      </c>
      <c r="L411" s="10">
        <f t="shared" si="26"/>
        <v>0.65573770491804029</v>
      </c>
    </row>
    <row r="412" spans="1:12" x14ac:dyDescent="0.15">
      <c r="A412" s="3">
        <f>DATE(1994,1,1)</f>
        <v>34335</v>
      </c>
      <c r="B412" s="4">
        <v>3.0499999999999999E-2</v>
      </c>
      <c r="C412" s="12">
        <f t="shared" si="27"/>
        <v>3.0700000000000002E-2</v>
      </c>
      <c r="G412" s="3">
        <f>DATE(1994,2,1)</f>
        <v>34366</v>
      </c>
      <c r="H412" s="4">
        <v>3.2500000000000001E-2</v>
      </c>
      <c r="I412" s="12">
        <v>3.15E-2</v>
      </c>
      <c r="J412" s="4">
        <f t="shared" si="24"/>
        <v>2.2162111801242231E-2</v>
      </c>
      <c r="K412" s="9">
        <f t="shared" si="25"/>
        <v>1.0000000000000019E-6</v>
      </c>
      <c r="L412" s="10">
        <f t="shared" si="26"/>
        <v>3.0769230769230793</v>
      </c>
    </row>
    <row r="413" spans="1:12" x14ac:dyDescent="0.15">
      <c r="A413" s="3">
        <f>DATE(1994,2,1)</f>
        <v>34366</v>
      </c>
      <c r="B413" s="4">
        <v>3.2500000000000001E-2</v>
      </c>
      <c r="C413" s="12">
        <f t="shared" si="27"/>
        <v>3.15E-2</v>
      </c>
      <c r="G413" s="3">
        <f>DATE(1994,3,1)</f>
        <v>34394</v>
      </c>
      <c r="H413" s="4">
        <v>3.3399999999999999E-2</v>
      </c>
      <c r="I413" s="12">
        <v>3.3000000000000002E-2</v>
      </c>
      <c r="J413" s="4">
        <f t="shared" si="24"/>
        <v>2.1262111801242232E-2</v>
      </c>
      <c r="K413" s="9">
        <f t="shared" si="25"/>
        <v>1.5999999999999807E-7</v>
      </c>
      <c r="L413" s="10">
        <f t="shared" si="26"/>
        <v>1.1976047904191545</v>
      </c>
    </row>
    <row r="414" spans="1:12" x14ac:dyDescent="0.15">
      <c r="A414" s="3">
        <f>DATE(1994,3,1)</f>
        <v>34394</v>
      </c>
      <c r="B414" s="4">
        <v>3.3399999999999999E-2</v>
      </c>
      <c r="C414" s="12">
        <f t="shared" si="27"/>
        <v>3.3000000000000002E-2</v>
      </c>
      <c r="G414" s="3">
        <f>DATE(1994,4,1)</f>
        <v>34425</v>
      </c>
      <c r="H414" s="4">
        <v>3.56E-2</v>
      </c>
      <c r="I414" s="12">
        <v>3.5400000000000001E-2</v>
      </c>
      <c r="J414" s="4">
        <f t="shared" si="24"/>
        <v>1.9062111801242232E-2</v>
      </c>
      <c r="K414" s="9">
        <f t="shared" si="25"/>
        <v>3.9999999999999518E-8</v>
      </c>
      <c r="L414" s="10">
        <f t="shared" si="26"/>
        <v>0.56179775280898536</v>
      </c>
    </row>
    <row r="415" spans="1:12" x14ac:dyDescent="0.15">
      <c r="A415" s="3">
        <f>DATE(1994,4,1)</f>
        <v>34425</v>
      </c>
      <c r="B415" s="4">
        <v>3.56E-2</v>
      </c>
      <c r="C415" s="12">
        <f t="shared" si="27"/>
        <v>3.5400000000000001E-2</v>
      </c>
      <c r="G415" s="3">
        <f>DATE(1994,5,1)</f>
        <v>34455</v>
      </c>
      <c r="H415" s="4">
        <v>4.0099999999999997E-2</v>
      </c>
      <c r="I415" s="12">
        <v>3.7900000000000003E-2</v>
      </c>
      <c r="J415" s="4">
        <f t="shared" si="24"/>
        <v>1.4562111801242235E-2</v>
      </c>
      <c r="K415" s="9">
        <f t="shared" si="25"/>
        <v>4.8399999999999723E-6</v>
      </c>
      <c r="L415" s="10">
        <f t="shared" si="26"/>
        <v>5.4862842892767922</v>
      </c>
    </row>
    <row r="416" spans="1:12" x14ac:dyDescent="0.15">
      <c r="A416" s="3">
        <f>DATE(1994,5,1)</f>
        <v>34455</v>
      </c>
      <c r="B416" s="4">
        <v>4.0099999999999997E-2</v>
      </c>
      <c r="C416" s="12">
        <f t="shared" si="27"/>
        <v>3.7900000000000003E-2</v>
      </c>
      <c r="G416" s="3">
        <f>DATE(1994,6,1)</f>
        <v>34486</v>
      </c>
      <c r="H416" s="4">
        <v>4.2500000000000003E-2</v>
      </c>
      <c r="I416" s="12">
        <v>4.02E-2</v>
      </c>
      <c r="J416" s="4">
        <f t="shared" si="24"/>
        <v>1.2162111801242229E-2</v>
      </c>
      <c r="K416" s="9">
        <f t="shared" si="25"/>
        <v>5.2900000000000154E-6</v>
      </c>
      <c r="L416" s="10">
        <f t="shared" si="26"/>
        <v>5.4117647058823604</v>
      </c>
    </row>
    <row r="417" spans="1:12" x14ac:dyDescent="0.15">
      <c r="A417" s="3">
        <f>DATE(1994,6,1)</f>
        <v>34486</v>
      </c>
      <c r="B417" s="4">
        <v>4.2500000000000003E-2</v>
      </c>
      <c r="C417" s="12">
        <f t="shared" si="27"/>
        <v>4.02E-2</v>
      </c>
      <c r="G417" s="3">
        <f>DATE(1994,7,1)</f>
        <v>34516</v>
      </c>
      <c r="H417" s="4">
        <v>4.2599999999999999E-2</v>
      </c>
      <c r="I417" s="12">
        <v>4.2474999999999999E-2</v>
      </c>
      <c r="J417" s="4">
        <f t="shared" si="24"/>
        <v>1.2062111801242233E-2</v>
      </c>
      <c r="K417" s="9">
        <f t="shared" si="25"/>
        <v>1.5625000000000029E-8</v>
      </c>
      <c r="L417" s="10">
        <f t="shared" si="26"/>
        <v>0.29342723004694865</v>
      </c>
    </row>
    <row r="418" spans="1:12" x14ac:dyDescent="0.15">
      <c r="A418" s="3">
        <f>DATE(1994,7,1)</f>
        <v>34516</v>
      </c>
      <c r="B418" s="4">
        <v>4.2599999999999999E-2</v>
      </c>
      <c r="C418" s="12">
        <f t="shared" si="27"/>
        <v>4.2474999999999999E-2</v>
      </c>
      <c r="G418" s="3">
        <f>DATE(1994,8,1)</f>
        <v>34547</v>
      </c>
      <c r="H418" s="4">
        <v>4.4699999999999997E-2</v>
      </c>
      <c r="I418" s="12">
        <v>4.4275000000000002E-2</v>
      </c>
      <c r="J418" s="4">
        <f t="shared" si="24"/>
        <v>9.9621118012422349E-3</v>
      </c>
      <c r="K418" s="9">
        <f t="shared" si="25"/>
        <v>1.806249999999956E-7</v>
      </c>
      <c r="L418" s="10">
        <f t="shared" si="26"/>
        <v>0.95078299776285202</v>
      </c>
    </row>
    <row r="419" spans="1:12" x14ac:dyDescent="0.15">
      <c r="A419" s="3">
        <f>DATE(1994,8,1)</f>
        <v>34547</v>
      </c>
      <c r="B419" s="4">
        <v>4.4699999999999997E-2</v>
      </c>
      <c r="C419" s="12">
        <f t="shared" si="27"/>
        <v>4.4275000000000002E-2</v>
      </c>
      <c r="G419" s="3">
        <f>DATE(1994,9,1)</f>
        <v>34578</v>
      </c>
      <c r="H419" s="4">
        <v>4.7300000000000002E-2</v>
      </c>
      <c r="I419" s="12">
        <v>4.555E-2</v>
      </c>
      <c r="J419" s="4">
        <f t="shared" si="24"/>
        <v>7.3621118012422299E-3</v>
      </c>
      <c r="K419" s="9">
        <f t="shared" si="25"/>
        <v>3.0625000000000054E-6</v>
      </c>
      <c r="L419" s="10">
        <f t="shared" si="26"/>
        <v>3.699788583509517</v>
      </c>
    </row>
    <row r="420" spans="1:12" x14ac:dyDescent="0.15">
      <c r="A420" s="3">
        <f>DATE(1994,9,1)</f>
        <v>34578</v>
      </c>
      <c r="B420" s="4">
        <v>4.7300000000000002E-2</v>
      </c>
      <c r="C420" s="12">
        <f t="shared" si="27"/>
        <v>4.555E-2</v>
      </c>
      <c r="G420" s="3">
        <f>DATE(1994,10,1)</f>
        <v>34608</v>
      </c>
      <c r="H420" s="4">
        <v>4.7599999999999996E-2</v>
      </c>
      <c r="I420" s="12">
        <v>4.8125000000000001E-2</v>
      </c>
      <c r="J420" s="4">
        <f t="shared" si="24"/>
        <v>7.0621118012422351E-3</v>
      </c>
      <c r="K420" s="9">
        <f t="shared" si="25"/>
        <v>2.7562500000000488E-7</v>
      </c>
      <c r="L420" s="10">
        <f t="shared" si="26"/>
        <v>1.1029411764705981</v>
      </c>
    </row>
    <row r="421" spans="1:12" x14ac:dyDescent="0.15">
      <c r="A421" s="3">
        <f>DATE(1994,10,1)</f>
        <v>34608</v>
      </c>
      <c r="B421" s="4">
        <v>4.7599999999999996E-2</v>
      </c>
      <c r="C421" s="12">
        <f t="shared" si="27"/>
        <v>4.8125000000000001E-2</v>
      </c>
      <c r="G421" s="3">
        <f>DATE(1994,11,1)</f>
        <v>34639</v>
      </c>
      <c r="H421" s="4">
        <v>5.2900000000000003E-2</v>
      </c>
      <c r="I421" s="12">
        <v>5.0574999999999995E-2</v>
      </c>
      <c r="J421" s="4">
        <f t="shared" si="24"/>
        <v>1.762111801242229E-3</v>
      </c>
      <c r="K421" s="9">
        <f t="shared" si="25"/>
        <v>5.4056250000000352E-6</v>
      </c>
      <c r="L421" s="10">
        <f t="shared" si="26"/>
        <v>4.3950850661625847</v>
      </c>
    </row>
    <row r="422" spans="1:12" x14ac:dyDescent="0.15">
      <c r="A422" s="3">
        <f>DATE(1994,11,1)</f>
        <v>34639</v>
      </c>
      <c r="B422" s="4">
        <v>5.2900000000000003E-2</v>
      </c>
      <c r="C422" s="12">
        <f t="shared" si="27"/>
        <v>5.0574999999999995E-2</v>
      </c>
      <c r="G422" s="3">
        <f>DATE(1994,12,1)</f>
        <v>34669</v>
      </c>
      <c r="H422" s="4">
        <v>5.45E-2</v>
      </c>
      <c r="I422" s="12">
        <v>5.2574999999999997E-2</v>
      </c>
      <c r="J422" s="4">
        <f t="shared" si="24"/>
        <v>1.6211180124223179E-4</v>
      </c>
      <c r="K422" s="9">
        <f t="shared" si="25"/>
        <v>3.7056250000000121E-6</v>
      </c>
      <c r="L422" s="10">
        <f t="shared" si="26"/>
        <v>3.532110091743125</v>
      </c>
    </row>
    <row r="423" spans="1:12" x14ac:dyDescent="0.15">
      <c r="A423" s="3">
        <f>DATE(1994,12,1)</f>
        <v>34669</v>
      </c>
      <c r="B423" s="4">
        <v>5.45E-2</v>
      </c>
      <c r="C423" s="12">
        <f t="shared" si="27"/>
        <v>5.2574999999999997E-2</v>
      </c>
      <c r="G423" s="3">
        <f>DATE(1995,1,1)</f>
        <v>34700</v>
      </c>
      <c r="H423" s="4">
        <v>5.5300000000000002E-2</v>
      </c>
      <c r="I423" s="12">
        <v>5.5475000000000003E-2</v>
      </c>
      <c r="J423" s="4">
        <f t="shared" si="24"/>
        <v>6.3788819875777031E-4</v>
      </c>
      <c r="K423" s="9">
        <f t="shared" si="25"/>
        <v>3.0625000000000541E-8</v>
      </c>
      <c r="L423" s="10">
        <f t="shared" si="26"/>
        <v>0.31645569620253444</v>
      </c>
    </row>
    <row r="424" spans="1:12" x14ac:dyDescent="0.15">
      <c r="A424" s="3">
        <f>DATE(1995,1,1)</f>
        <v>34700</v>
      </c>
      <c r="B424" s="4">
        <v>5.5300000000000002E-2</v>
      </c>
      <c r="C424" s="12">
        <f t="shared" si="27"/>
        <v>5.5475000000000003E-2</v>
      </c>
      <c r="G424" s="3">
        <f>DATE(1995,2,1)</f>
        <v>34731</v>
      </c>
      <c r="H424" s="4">
        <v>5.9200000000000003E-2</v>
      </c>
      <c r="I424" s="12">
        <v>5.7200000000000001E-2</v>
      </c>
      <c r="J424" s="4">
        <f t="shared" si="24"/>
        <v>4.537888198757771E-3</v>
      </c>
      <c r="K424" s="9">
        <f t="shared" si="25"/>
        <v>4.0000000000000074E-6</v>
      </c>
      <c r="L424" s="10">
        <f t="shared" si="26"/>
        <v>3.3783783783783812</v>
      </c>
    </row>
    <row r="425" spans="1:12" x14ac:dyDescent="0.15">
      <c r="A425" s="3">
        <f>DATE(1995,2,1)</f>
        <v>34731</v>
      </c>
      <c r="B425" s="4">
        <v>5.9200000000000003E-2</v>
      </c>
      <c r="C425" s="12">
        <f t="shared" si="27"/>
        <v>5.7200000000000001E-2</v>
      </c>
      <c r="G425" s="3">
        <f>DATE(1995,3,1)</f>
        <v>34759</v>
      </c>
      <c r="H425" s="4">
        <v>5.9800000000000006E-2</v>
      </c>
      <c r="I425" s="12">
        <v>5.8700000000000002E-2</v>
      </c>
      <c r="J425" s="4">
        <f t="shared" si="24"/>
        <v>5.1378881987577743E-3</v>
      </c>
      <c r="K425" s="9">
        <f t="shared" si="25"/>
        <v>1.2100000000000083E-6</v>
      </c>
      <c r="L425" s="10">
        <f t="shared" si="26"/>
        <v>1.8394648829431499</v>
      </c>
    </row>
    <row r="426" spans="1:12" x14ac:dyDescent="0.15">
      <c r="A426" s="3">
        <f>DATE(1995,3,1)</f>
        <v>34759</v>
      </c>
      <c r="B426" s="4">
        <v>5.9800000000000006E-2</v>
      </c>
      <c r="C426" s="12">
        <f t="shared" si="27"/>
        <v>5.8700000000000002E-2</v>
      </c>
      <c r="G426" s="3">
        <f>DATE(1995,4,1)</f>
        <v>34790</v>
      </c>
      <c r="H426" s="4">
        <v>6.0499999999999998E-2</v>
      </c>
      <c r="I426" s="12">
        <v>5.9899999999999995E-2</v>
      </c>
      <c r="J426" s="4">
        <f t="shared" si="24"/>
        <v>5.8378881987577666E-3</v>
      </c>
      <c r="K426" s="9">
        <f t="shared" si="25"/>
        <v>3.6000000000000396E-7</v>
      </c>
      <c r="L426" s="10">
        <f t="shared" si="26"/>
        <v>0.99173553719008811</v>
      </c>
    </row>
    <row r="427" spans="1:12" x14ac:dyDescent="0.15">
      <c r="A427" s="3">
        <f>DATE(1995,4,1)</f>
        <v>34790</v>
      </c>
      <c r="B427" s="4">
        <v>6.0499999999999998E-2</v>
      </c>
      <c r="C427" s="12">
        <f t="shared" si="27"/>
        <v>5.9899999999999995E-2</v>
      </c>
      <c r="G427" s="3">
        <f>DATE(1995,5,1)</f>
        <v>34820</v>
      </c>
      <c r="H427" s="4">
        <v>6.0100000000000001E-2</v>
      </c>
      <c r="I427" s="12">
        <v>6.0100000000000001E-2</v>
      </c>
      <c r="J427" s="4">
        <f t="shared" si="24"/>
        <v>5.437888198757769E-3</v>
      </c>
      <c r="K427" s="9">
        <f t="shared" si="25"/>
        <v>0</v>
      </c>
      <c r="L427" s="10">
        <f t="shared" si="26"/>
        <v>0</v>
      </c>
    </row>
    <row r="428" spans="1:12" x14ac:dyDescent="0.15">
      <c r="A428" s="3">
        <f>DATE(1995,5,1)</f>
        <v>34820</v>
      </c>
      <c r="B428" s="4">
        <v>6.0100000000000001E-2</v>
      </c>
      <c r="C428" s="12">
        <f t="shared" si="27"/>
        <v>6.0100000000000001E-2</v>
      </c>
      <c r="G428" s="3">
        <f>DATE(1995,6,1)</f>
        <v>34851</v>
      </c>
      <c r="H428" s="4">
        <v>0.06</v>
      </c>
      <c r="I428" s="12">
        <v>5.9774999999999995E-2</v>
      </c>
      <c r="J428" s="4">
        <f t="shared" si="24"/>
        <v>5.3378881987577662E-3</v>
      </c>
      <c r="K428" s="9">
        <f t="shared" si="25"/>
        <v>5.0625000000001342E-8</v>
      </c>
      <c r="L428" s="10">
        <f t="shared" si="26"/>
        <v>0.375000000000005</v>
      </c>
    </row>
    <row r="429" spans="1:12" x14ac:dyDescent="0.15">
      <c r="A429" s="3">
        <f>DATE(1995,6,1)</f>
        <v>34851</v>
      </c>
      <c r="B429" s="4">
        <v>0.06</v>
      </c>
      <c r="C429" s="12">
        <f t="shared" si="27"/>
        <v>5.9774999999999995E-2</v>
      </c>
      <c r="G429" s="3">
        <f>DATE(1995,7,1)</f>
        <v>34881</v>
      </c>
      <c r="H429" s="4">
        <v>5.8499999999999996E-2</v>
      </c>
      <c r="I429" s="12">
        <v>5.8999999999999997E-2</v>
      </c>
      <c r="J429" s="4">
        <f t="shared" si="24"/>
        <v>3.8378881987577648E-3</v>
      </c>
      <c r="K429" s="9">
        <f t="shared" si="25"/>
        <v>2.5000000000000047E-7</v>
      </c>
      <c r="L429" s="10">
        <f t="shared" si="26"/>
        <v>0.85470085470085544</v>
      </c>
    </row>
    <row r="430" spans="1:12" x14ac:dyDescent="0.15">
      <c r="A430" s="3">
        <f>DATE(1995,7,1)</f>
        <v>34881</v>
      </c>
      <c r="B430" s="4">
        <v>5.8499999999999996E-2</v>
      </c>
      <c r="C430" s="12">
        <f t="shared" si="27"/>
        <v>5.8999999999999997E-2</v>
      </c>
      <c r="G430" s="3">
        <f>DATE(1995,8,1)</f>
        <v>34912</v>
      </c>
      <c r="H430" s="4">
        <v>5.74E-2</v>
      </c>
      <c r="I430" s="12">
        <v>5.8474999999999999E-2</v>
      </c>
      <c r="J430" s="4">
        <f t="shared" si="24"/>
        <v>2.737888198757768E-3</v>
      </c>
      <c r="K430" s="9">
        <f t="shared" si="25"/>
        <v>1.155624999999999E-6</v>
      </c>
      <c r="L430" s="10">
        <f t="shared" si="26"/>
        <v>1.8728222996515671</v>
      </c>
    </row>
    <row r="431" spans="1:12" x14ac:dyDescent="0.15">
      <c r="A431" s="3">
        <f>DATE(1995,8,1)</f>
        <v>34912</v>
      </c>
      <c r="B431" s="4">
        <v>5.74E-2</v>
      </c>
      <c r="C431" s="12">
        <f t="shared" si="27"/>
        <v>5.8474999999999999E-2</v>
      </c>
      <c r="G431" s="3">
        <f>DATE(1995,9,1)</f>
        <v>34943</v>
      </c>
      <c r="H431" s="4">
        <v>5.7999999999999996E-2</v>
      </c>
      <c r="I431" s="12">
        <v>5.7874999999999996E-2</v>
      </c>
      <c r="J431" s="4">
        <f t="shared" si="24"/>
        <v>3.3378881987577644E-3</v>
      </c>
      <c r="K431" s="9">
        <f t="shared" si="25"/>
        <v>1.5625000000000029E-8</v>
      </c>
      <c r="L431" s="10">
        <f t="shared" si="26"/>
        <v>0.21551724137931055</v>
      </c>
    </row>
    <row r="432" spans="1:12" x14ac:dyDescent="0.15">
      <c r="A432" s="3">
        <f>DATE(1995,9,1)</f>
        <v>34943</v>
      </c>
      <c r="B432" s="4">
        <v>5.7999999999999996E-2</v>
      </c>
      <c r="C432" s="12">
        <f t="shared" si="27"/>
        <v>5.7874999999999996E-2</v>
      </c>
      <c r="G432" s="3">
        <f>DATE(1995,10,1)</f>
        <v>34973</v>
      </c>
      <c r="H432" s="4">
        <v>5.7599999999999998E-2</v>
      </c>
      <c r="I432" s="12">
        <v>5.7749999999999996E-2</v>
      </c>
      <c r="J432" s="4">
        <f t="shared" si="24"/>
        <v>2.9378881987577668E-3</v>
      </c>
      <c r="K432" s="9">
        <f t="shared" si="25"/>
        <v>2.2499999999999209E-8</v>
      </c>
      <c r="L432" s="10">
        <f t="shared" si="26"/>
        <v>0.26041666666666208</v>
      </c>
    </row>
    <row r="433" spans="1:12" x14ac:dyDescent="0.15">
      <c r="A433" s="3">
        <f>DATE(1995,10,1)</f>
        <v>34973</v>
      </c>
      <c r="B433" s="4">
        <v>5.7599999999999998E-2</v>
      </c>
      <c r="C433" s="12">
        <f t="shared" si="27"/>
        <v>5.7749999999999996E-2</v>
      </c>
      <c r="G433" s="3">
        <f>DATE(1995,11,1)</f>
        <v>35004</v>
      </c>
      <c r="H433" s="4">
        <v>5.7999999999999996E-2</v>
      </c>
      <c r="I433" s="12">
        <v>5.7399999999999993E-2</v>
      </c>
      <c r="J433" s="4">
        <f t="shared" si="24"/>
        <v>3.3378881987577644E-3</v>
      </c>
      <c r="K433" s="9">
        <f t="shared" si="25"/>
        <v>3.6000000000000396E-7</v>
      </c>
      <c r="L433" s="10">
        <f t="shared" si="26"/>
        <v>1.0344827586206953</v>
      </c>
    </row>
    <row r="434" spans="1:12" x14ac:dyDescent="0.15">
      <c r="A434" s="3">
        <f>DATE(1995,11,1)</f>
        <v>35004</v>
      </c>
      <c r="B434" s="4">
        <v>5.7999999999999996E-2</v>
      </c>
      <c r="C434" s="12">
        <f t="shared" si="27"/>
        <v>5.7399999999999993E-2</v>
      </c>
      <c r="G434" s="3">
        <f>DATE(1995,12,1)</f>
        <v>35034</v>
      </c>
      <c r="H434" s="4">
        <v>5.5999999999999994E-2</v>
      </c>
      <c r="I434" s="12">
        <v>5.6799999999999989E-2</v>
      </c>
      <c r="J434" s="4">
        <f t="shared" si="24"/>
        <v>1.3378881987577626E-3</v>
      </c>
      <c r="K434" s="9">
        <f t="shared" si="25"/>
        <v>6.3999999999999228E-7</v>
      </c>
      <c r="L434" s="10">
        <f t="shared" si="26"/>
        <v>1.4285714285714199</v>
      </c>
    </row>
    <row r="435" spans="1:12" x14ac:dyDescent="0.15">
      <c r="A435" s="3">
        <f>DATE(1995,12,1)</f>
        <v>35034</v>
      </c>
      <c r="B435" s="4">
        <v>5.5999999999999994E-2</v>
      </c>
      <c r="C435" s="12">
        <f t="shared" si="27"/>
        <v>5.6799999999999989E-2</v>
      </c>
      <c r="G435" s="3">
        <f>DATE(1996,1,1)</f>
        <v>35065</v>
      </c>
      <c r="H435" s="4">
        <v>5.5599999999999997E-2</v>
      </c>
      <c r="I435" s="12">
        <v>5.5449999999999992E-2</v>
      </c>
      <c r="J435" s="4">
        <f t="shared" si="24"/>
        <v>9.3788819875776502E-4</v>
      </c>
      <c r="K435" s="9">
        <f t="shared" si="25"/>
        <v>2.250000000000129E-8</v>
      </c>
      <c r="L435" s="10">
        <f t="shared" si="26"/>
        <v>0.26978417266187826</v>
      </c>
    </row>
    <row r="436" spans="1:12" x14ac:dyDescent="0.15">
      <c r="A436" s="3">
        <f>DATE(1996,1,1)</f>
        <v>35065</v>
      </c>
      <c r="B436" s="4">
        <v>5.5599999999999997E-2</v>
      </c>
      <c r="C436" s="12">
        <f t="shared" si="27"/>
        <v>5.5449999999999992E-2</v>
      </c>
      <c r="G436" s="3">
        <f>DATE(1996,2,1)</f>
        <v>35096</v>
      </c>
      <c r="H436" s="4">
        <v>5.2199999999999996E-2</v>
      </c>
      <c r="I436" s="12">
        <v>5.4224999999999995E-2</v>
      </c>
      <c r="J436" s="4">
        <f t="shared" si="24"/>
        <v>2.4621118012422352E-3</v>
      </c>
      <c r="K436" s="9">
        <f t="shared" si="25"/>
        <v>4.100624999999996E-6</v>
      </c>
      <c r="L436" s="10">
        <f t="shared" si="26"/>
        <v>3.879310344827585</v>
      </c>
    </row>
    <row r="437" spans="1:12" x14ac:dyDescent="0.15">
      <c r="A437" s="3">
        <f>DATE(1996,2,1)</f>
        <v>35096</v>
      </c>
      <c r="B437" s="4">
        <v>5.2199999999999996E-2</v>
      </c>
      <c r="C437" s="12">
        <f t="shared" si="27"/>
        <v>5.4224999999999995E-2</v>
      </c>
      <c r="G437" s="3">
        <f>DATE(1996,3,1)</f>
        <v>35125</v>
      </c>
      <c r="H437" s="4">
        <v>5.3099999999999994E-2</v>
      </c>
      <c r="I437" s="12">
        <v>5.3274999999999996E-2</v>
      </c>
      <c r="J437" s="4">
        <f t="shared" si="24"/>
        <v>1.5621118012422372E-3</v>
      </c>
      <c r="K437" s="9">
        <f t="shared" si="25"/>
        <v>3.0625000000000541E-8</v>
      </c>
      <c r="L437" s="10">
        <f t="shared" si="26"/>
        <v>0.32956685499058674</v>
      </c>
    </row>
    <row r="438" spans="1:12" x14ac:dyDescent="0.15">
      <c r="A438" s="3">
        <f>DATE(1996,3,1)</f>
        <v>35125</v>
      </c>
      <c r="B438" s="4">
        <v>5.3099999999999994E-2</v>
      </c>
      <c r="C438" s="12">
        <f t="shared" si="27"/>
        <v>5.3274999999999996E-2</v>
      </c>
      <c r="G438" s="3">
        <f>DATE(1996,4,1)</f>
        <v>35156</v>
      </c>
      <c r="H438" s="4">
        <v>5.2199999999999996E-2</v>
      </c>
      <c r="I438" s="12">
        <v>5.2474999999999994E-2</v>
      </c>
      <c r="J438" s="4">
        <f t="shared" si="24"/>
        <v>2.4621118012422352E-3</v>
      </c>
      <c r="K438" s="9">
        <f t="shared" si="25"/>
        <v>7.5624999999998614E-8</v>
      </c>
      <c r="L438" s="10">
        <f t="shared" si="26"/>
        <v>0.52681992337164263</v>
      </c>
    </row>
    <row r="439" spans="1:12" x14ac:dyDescent="0.15">
      <c r="A439" s="3">
        <f>DATE(1996,4,1)</f>
        <v>35156</v>
      </c>
      <c r="B439" s="4">
        <v>5.2199999999999996E-2</v>
      </c>
      <c r="C439" s="12">
        <f t="shared" si="27"/>
        <v>5.2474999999999994E-2</v>
      </c>
      <c r="G439" s="3">
        <f>DATE(1996,5,1)</f>
        <v>35186</v>
      </c>
      <c r="H439" s="4">
        <v>5.2400000000000002E-2</v>
      </c>
      <c r="I439" s="12">
        <v>5.2600000000000001E-2</v>
      </c>
      <c r="J439" s="4">
        <f t="shared" si="24"/>
        <v>2.2621118012422295E-3</v>
      </c>
      <c r="K439" s="9">
        <f t="shared" si="25"/>
        <v>3.9999999999999518E-8</v>
      </c>
      <c r="L439" s="10">
        <f t="shared" si="26"/>
        <v>0.38167938931297479</v>
      </c>
    </row>
    <row r="440" spans="1:12" x14ac:dyDescent="0.15">
      <c r="A440" s="3">
        <f>DATE(1996,5,1)</f>
        <v>35186</v>
      </c>
      <c r="B440" s="4">
        <v>5.2400000000000002E-2</v>
      </c>
      <c r="C440" s="12">
        <f t="shared" si="27"/>
        <v>5.2600000000000001E-2</v>
      </c>
      <c r="G440" s="3">
        <f>DATE(1996,6,1)</f>
        <v>35217</v>
      </c>
      <c r="H440" s="4">
        <v>5.2699999999999997E-2</v>
      </c>
      <c r="I440" s="12">
        <v>5.2824999999999997E-2</v>
      </c>
      <c r="J440" s="4">
        <f t="shared" si="24"/>
        <v>1.9621118012422348E-3</v>
      </c>
      <c r="K440" s="9">
        <f t="shared" si="25"/>
        <v>1.5625000000000029E-8</v>
      </c>
      <c r="L440" s="10">
        <f t="shared" si="26"/>
        <v>0.23719165085389016</v>
      </c>
    </row>
    <row r="441" spans="1:12" x14ac:dyDescent="0.15">
      <c r="A441" s="3">
        <f>DATE(1996,6,1)</f>
        <v>35217</v>
      </c>
      <c r="B441" s="4">
        <v>5.2699999999999997E-2</v>
      </c>
      <c r="C441" s="12">
        <f t="shared" si="27"/>
        <v>5.2824999999999997E-2</v>
      </c>
      <c r="G441" s="3">
        <f>DATE(1996,7,1)</f>
        <v>35247</v>
      </c>
      <c r="H441" s="4">
        <v>5.4000000000000006E-2</v>
      </c>
      <c r="I441" s="12">
        <v>5.2825000000000004E-2</v>
      </c>
      <c r="J441" s="4">
        <f t="shared" si="24"/>
        <v>6.621118012422253E-4</v>
      </c>
      <c r="K441" s="9">
        <f t="shared" si="25"/>
        <v>1.3806250000000057E-6</v>
      </c>
      <c r="L441" s="10">
        <f t="shared" si="26"/>
        <v>2.17592592592593</v>
      </c>
    </row>
    <row r="442" spans="1:12" x14ac:dyDescent="0.15">
      <c r="A442" s="3">
        <f>DATE(1996,7,1)</f>
        <v>35247</v>
      </c>
      <c r="B442" s="4">
        <v>5.4000000000000006E-2</v>
      </c>
      <c r="C442" s="12">
        <f t="shared" si="27"/>
        <v>5.2825000000000004E-2</v>
      </c>
      <c r="G442" s="3">
        <f>DATE(1996,8,1)</f>
        <v>35278</v>
      </c>
      <c r="H442" s="4">
        <v>5.2199999999999996E-2</v>
      </c>
      <c r="I442" s="12">
        <v>5.2974999999999994E-2</v>
      </c>
      <c r="J442" s="4">
        <f t="shared" si="24"/>
        <v>2.4621118012422352E-3</v>
      </c>
      <c r="K442" s="9">
        <f t="shared" si="25"/>
        <v>6.0062499999999679E-7</v>
      </c>
      <c r="L442" s="10">
        <f t="shared" si="26"/>
        <v>1.4846743295019118</v>
      </c>
    </row>
    <row r="443" spans="1:12" x14ac:dyDescent="0.15">
      <c r="A443" s="3">
        <f>DATE(1996,8,1)</f>
        <v>35278</v>
      </c>
      <c r="B443" s="4">
        <v>5.2199999999999996E-2</v>
      </c>
      <c r="C443" s="12">
        <f t="shared" si="27"/>
        <v>5.2974999999999994E-2</v>
      </c>
      <c r="G443" s="3">
        <f>DATE(1996,9,1)</f>
        <v>35309</v>
      </c>
      <c r="H443" s="4">
        <v>5.2999999999999999E-2</v>
      </c>
      <c r="I443" s="12">
        <v>5.2900000000000003E-2</v>
      </c>
      <c r="J443" s="4">
        <f t="shared" si="24"/>
        <v>1.6621118012422331E-3</v>
      </c>
      <c r="K443" s="9">
        <f t="shared" si="25"/>
        <v>9.9999999999991846E-9</v>
      </c>
      <c r="L443" s="10">
        <f t="shared" si="26"/>
        <v>0.18867924528301119</v>
      </c>
    </row>
    <row r="444" spans="1:12" x14ac:dyDescent="0.15">
      <c r="A444" s="3">
        <f>DATE(1996,9,1)</f>
        <v>35309</v>
      </c>
      <c r="B444" s="4">
        <v>5.2999999999999999E-2</v>
      </c>
      <c r="C444" s="12">
        <f t="shared" si="27"/>
        <v>5.2900000000000003E-2</v>
      </c>
      <c r="G444" s="3">
        <f>DATE(1996,10,1)</f>
        <v>35339</v>
      </c>
      <c r="H444" s="4">
        <v>5.2400000000000002E-2</v>
      </c>
      <c r="I444" s="12">
        <v>5.2675E-2</v>
      </c>
      <c r="J444" s="4">
        <f t="shared" si="24"/>
        <v>2.2621118012422295E-3</v>
      </c>
      <c r="K444" s="9">
        <f t="shared" si="25"/>
        <v>7.5624999999998614E-8</v>
      </c>
      <c r="L444" s="10">
        <f t="shared" si="26"/>
        <v>0.52480916030533864</v>
      </c>
    </row>
    <row r="445" spans="1:12" x14ac:dyDescent="0.15">
      <c r="A445" s="3">
        <f>DATE(1996,10,1)</f>
        <v>35339</v>
      </c>
      <c r="B445" s="4">
        <v>5.2400000000000002E-2</v>
      </c>
      <c r="C445" s="12">
        <f t="shared" si="27"/>
        <v>5.2675E-2</v>
      </c>
      <c r="G445" s="3">
        <f>DATE(1996,11,1)</f>
        <v>35370</v>
      </c>
      <c r="H445" s="4">
        <v>5.3099999999999994E-2</v>
      </c>
      <c r="I445" s="12">
        <v>5.2849999999999994E-2</v>
      </c>
      <c r="J445" s="4">
        <f t="shared" si="24"/>
        <v>1.5621118012422372E-3</v>
      </c>
      <c r="K445" s="9">
        <f t="shared" si="25"/>
        <v>6.2500000000000116E-8</v>
      </c>
      <c r="L445" s="10">
        <f t="shared" si="26"/>
        <v>0.47080979284369162</v>
      </c>
    </row>
    <row r="446" spans="1:12" x14ac:dyDescent="0.15">
      <c r="A446" s="3">
        <f>DATE(1996,11,1)</f>
        <v>35370</v>
      </c>
      <c r="B446" s="4">
        <v>5.3099999999999994E-2</v>
      </c>
      <c r="C446" s="12">
        <f t="shared" si="27"/>
        <v>5.2849999999999994E-2</v>
      </c>
      <c r="G446" s="3">
        <f>DATE(1996,12,1)</f>
        <v>35400</v>
      </c>
      <c r="H446" s="4">
        <v>5.2900000000000003E-2</v>
      </c>
      <c r="I446" s="12">
        <v>5.2724999999999994E-2</v>
      </c>
      <c r="J446" s="4">
        <f t="shared" si="24"/>
        <v>1.762111801242229E-3</v>
      </c>
      <c r="K446" s="9">
        <f t="shared" si="25"/>
        <v>3.0625000000002969E-8</v>
      </c>
      <c r="L446" s="10">
        <f t="shared" si="26"/>
        <v>0.33081285444236008</v>
      </c>
    </row>
    <row r="447" spans="1:12" x14ac:dyDescent="0.15">
      <c r="A447" s="3">
        <f>DATE(1996,12,1)</f>
        <v>35400</v>
      </c>
      <c r="B447" s="4">
        <v>5.2900000000000003E-2</v>
      </c>
      <c r="C447" s="12">
        <f t="shared" si="27"/>
        <v>5.2724999999999994E-2</v>
      </c>
      <c r="G447" s="3">
        <f>DATE(1997,1,1)</f>
        <v>35431</v>
      </c>
      <c r="H447" s="4">
        <v>5.2499999999999998E-2</v>
      </c>
      <c r="I447" s="12">
        <v>5.2600000000000001E-2</v>
      </c>
      <c r="J447" s="4">
        <f t="shared" si="24"/>
        <v>2.1621118012422336E-3</v>
      </c>
      <c r="K447" s="9">
        <f t="shared" si="25"/>
        <v>1.0000000000000573E-8</v>
      </c>
      <c r="L447" s="10">
        <f t="shared" si="26"/>
        <v>0.19047619047619593</v>
      </c>
    </row>
    <row r="448" spans="1:12" x14ac:dyDescent="0.15">
      <c r="A448" s="3">
        <f>DATE(1997,1,1)</f>
        <v>35431</v>
      </c>
      <c r="B448" s="4">
        <v>5.2499999999999998E-2</v>
      </c>
      <c r="C448" s="12">
        <f t="shared" si="27"/>
        <v>5.2600000000000001E-2</v>
      </c>
      <c r="G448" s="3">
        <f>DATE(1997,2,1)</f>
        <v>35462</v>
      </c>
      <c r="H448" s="4">
        <v>5.1900000000000002E-2</v>
      </c>
      <c r="I448" s="12">
        <v>5.28E-2</v>
      </c>
      <c r="J448" s="4">
        <f t="shared" si="24"/>
        <v>2.7621118012422299E-3</v>
      </c>
      <c r="K448" s="9">
        <f t="shared" si="25"/>
        <v>8.0999999999999648E-7</v>
      </c>
      <c r="L448" s="10">
        <f t="shared" si="26"/>
        <v>1.7341040462427706</v>
      </c>
    </row>
    <row r="449" spans="1:12" x14ac:dyDescent="0.15">
      <c r="A449" s="3">
        <f>DATE(1997,2,1)</f>
        <v>35462</v>
      </c>
      <c r="B449" s="4">
        <v>5.1900000000000002E-2</v>
      </c>
      <c r="C449" s="12">
        <f t="shared" si="27"/>
        <v>5.28E-2</v>
      </c>
      <c r="G449" s="3">
        <f>DATE(1997,3,1)</f>
        <v>35490</v>
      </c>
      <c r="H449" s="4">
        <v>5.3899999999999997E-2</v>
      </c>
      <c r="I449" s="12">
        <v>5.3349999999999995E-2</v>
      </c>
      <c r="J449" s="4">
        <f t="shared" si="24"/>
        <v>7.621118012422351E-4</v>
      </c>
      <c r="K449" s="9">
        <f t="shared" si="25"/>
        <v>3.0250000000000208E-7</v>
      </c>
      <c r="L449" s="10">
        <f t="shared" si="26"/>
        <v>1.0204081632653097</v>
      </c>
    </row>
    <row r="450" spans="1:12" x14ac:dyDescent="0.15">
      <c r="A450" s="3">
        <f>DATE(1997,3,1)</f>
        <v>35490</v>
      </c>
      <c r="B450" s="4">
        <v>5.3899999999999997E-2</v>
      </c>
      <c r="C450" s="12">
        <f t="shared" si="27"/>
        <v>5.3349999999999995E-2</v>
      </c>
      <c r="G450" s="3">
        <f>DATE(1997,4,1)</f>
        <v>35521</v>
      </c>
      <c r="H450" s="4">
        <v>5.5099999999999996E-2</v>
      </c>
      <c r="I450" s="12">
        <v>5.3974999999999995E-2</v>
      </c>
      <c r="J450" s="4">
        <f t="shared" si="24"/>
        <v>4.3788819875776458E-4</v>
      </c>
      <c r="K450" s="9">
        <f t="shared" si="25"/>
        <v>1.2656250000000022E-6</v>
      </c>
      <c r="L450" s="10">
        <f t="shared" si="26"/>
        <v>2.0417422867513633</v>
      </c>
    </row>
    <row r="451" spans="1:12" x14ac:dyDescent="0.15">
      <c r="A451" s="3">
        <f>DATE(1997,4,1)</f>
        <v>35521</v>
      </c>
      <c r="B451" s="4">
        <v>5.5099999999999996E-2</v>
      </c>
      <c r="C451" s="12">
        <f t="shared" si="27"/>
        <v>5.3974999999999995E-2</v>
      </c>
      <c r="G451" s="3">
        <f>DATE(1997,5,1)</f>
        <v>35551</v>
      </c>
      <c r="H451" s="4">
        <v>5.5E-2</v>
      </c>
      <c r="I451" s="12">
        <v>5.489999999999999E-2</v>
      </c>
      <c r="J451" s="4">
        <f t="shared" si="24"/>
        <v>3.3788819875776865E-4</v>
      </c>
      <c r="K451" s="9">
        <f t="shared" si="25"/>
        <v>1.0000000000001961E-8</v>
      </c>
      <c r="L451" s="10">
        <f t="shared" si="26"/>
        <v>0.18181818181819964</v>
      </c>
    </row>
    <row r="452" spans="1:12" x14ac:dyDescent="0.15">
      <c r="A452" s="3">
        <f>DATE(1997,5,1)</f>
        <v>35551</v>
      </c>
      <c r="B452" s="4">
        <v>5.5E-2</v>
      </c>
      <c r="C452" s="12">
        <f t="shared" si="27"/>
        <v>5.489999999999999E-2</v>
      </c>
      <c r="G452" s="3">
        <f>DATE(1997,6,1)</f>
        <v>35582</v>
      </c>
      <c r="H452" s="4">
        <v>5.5599999999999997E-2</v>
      </c>
      <c r="I452" s="12">
        <v>5.5225000000000003E-2</v>
      </c>
      <c r="J452" s="4">
        <f t="shared" si="24"/>
        <v>9.3788819875776502E-4</v>
      </c>
      <c r="K452" s="9">
        <f t="shared" si="25"/>
        <v>1.4062499999999505E-7</v>
      </c>
      <c r="L452" s="10">
        <f t="shared" si="26"/>
        <v>0.67446043165466441</v>
      </c>
    </row>
    <row r="453" spans="1:12" x14ac:dyDescent="0.15">
      <c r="A453" s="3">
        <f>DATE(1997,6,1)</f>
        <v>35582</v>
      </c>
      <c r="B453" s="4">
        <v>5.5599999999999997E-2</v>
      </c>
      <c r="C453" s="12">
        <f t="shared" si="27"/>
        <v>5.5225000000000003E-2</v>
      </c>
      <c r="G453" s="3">
        <f>DATE(1997,7,1)</f>
        <v>35612</v>
      </c>
      <c r="H453" s="4">
        <v>5.5199999999999999E-2</v>
      </c>
      <c r="I453" s="12">
        <v>5.5300000000000002E-2</v>
      </c>
      <c r="J453" s="4">
        <f t="shared" si="24"/>
        <v>5.3788819875776744E-4</v>
      </c>
      <c r="K453" s="9">
        <f t="shared" si="25"/>
        <v>1.0000000000000573E-8</v>
      </c>
      <c r="L453" s="10">
        <f t="shared" si="26"/>
        <v>0.18115942028986026</v>
      </c>
    </row>
    <row r="454" spans="1:12" x14ac:dyDescent="0.15">
      <c r="A454" s="3">
        <f>DATE(1997,7,1)</f>
        <v>35612</v>
      </c>
      <c r="B454" s="4">
        <v>5.5199999999999999E-2</v>
      </c>
      <c r="C454" s="12">
        <f t="shared" si="27"/>
        <v>5.5300000000000002E-2</v>
      </c>
      <c r="G454" s="3">
        <f>DATE(1997,8,1)</f>
        <v>35643</v>
      </c>
      <c r="H454" s="4">
        <v>5.5399999999999998E-2</v>
      </c>
      <c r="I454" s="12">
        <v>5.5399999999999998E-2</v>
      </c>
      <c r="J454" s="4">
        <f t="shared" ref="J454:J517" si="28">ABS(H454-$Q$4)</f>
        <v>7.3788819875776623E-4</v>
      </c>
      <c r="K454" s="9">
        <f t="shared" ref="K454:K517" si="29">(H454-I454)^2</f>
        <v>0</v>
      </c>
      <c r="L454" s="10">
        <f t="shared" ref="L454:L517" si="30">ABS(H454-I454)/H454*100</f>
        <v>0</v>
      </c>
    </row>
    <row r="455" spans="1:12" x14ac:dyDescent="0.15">
      <c r="A455" s="3">
        <f>DATE(1997,8,1)</f>
        <v>35643</v>
      </c>
      <c r="B455" s="4">
        <v>5.5399999999999998E-2</v>
      </c>
      <c r="C455" s="12">
        <f t="shared" ref="C455:C518" si="31">(B453+B454+B455+B456)/4</f>
        <v>5.5399999999999998E-2</v>
      </c>
      <c r="G455" s="3">
        <f>DATE(1997,9,1)</f>
        <v>35674</v>
      </c>
      <c r="H455" s="4">
        <v>5.5399999999999998E-2</v>
      </c>
      <c r="I455" s="12">
        <v>5.525E-2</v>
      </c>
      <c r="J455" s="4">
        <f t="shared" si="28"/>
        <v>7.3788819875776623E-4</v>
      </c>
      <c r="K455" s="9">
        <f t="shared" si="29"/>
        <v>2.2499999999999209E-8</v>
      </c>
      <c r="L455" s="10">
        <f t="shared" si="30"/>
        <v>0.27075812274367755</v>
      </c>
    </row>
    <row r="456" spans="1:12" x14ac:dyDescent="0.15">
      <c r="A456" s="3">
        <f>DATE(1997,9,1)</f>
        <v>35674</v>
      </c>
      <c r="B456" s="4">
        <v>5.5399999999999998E-2</v>
      </c>
      <c r="C456" s="12">
        <f t="shared" si="31"/>
        <v>5.525E-2</v>
      </c>
      <c r="G456" s="3">
        <f>DATE(1997,10,1)</f>
        <v>35704</v>
      </c>
      <c r="H456" s="4">
        <v>5.5E-2</v>
      </c>
      <c r="I456" s="12">
        <v>5.525E-2</v>
      </c>
      <c r="J456" s="4">
        <f t="shared" si="28"/>
        <v>3.3788819875776865E-4</v>
      </c>
      <c r="K456" s="9">
        <f t="shared" si="29"/>
        <v>6.2500000000000116E-8</v>
      </c>
      <c r="L456" s="10">
        <f t="shared" si="30"/>
        <v>0.45454545454545497</v>
      </c>
    </row>
    <row r="457" spans="1:12" x14ac:dyDescent="0.15">
      <c r="A457" s="3">
        <f>DATE(1997,10,1)</f>
        <v>35704</v>
      </c>
      <c r="B457" s="4">
        <v>5.5E-2</v>
      </c>
      <c r="C457" s="12">
        <f t="shared" si="31"/>
        <v>5.525E-2</v>
      </c>
      <c r="G457" s="3">
        <f>DATE(1997,11,1)</f>
        <v>35735</v>
      </c>
      <c r="H457" s="4">
        <v>5.5199999999999999E-2</v>
      </c>
      <c r="I457" s="12">
        <v>5.5149999999999998E-2</v>
      </c>
      <c r="J457" s="4">
        <f t="shared" si="28"/>
        <v>5.3788819875776744E-4</v>
      </c>
      <c r="K457" s="9">
        <f t="shared" si="29"/>
        <v>2.5000000000001432E-9</v>
      </c>
      <c r="L457" s="10">
        <f t="shared" si="30"/>
        <v>9.0579710144930131E-2</v>
      </c>
    </row>
    <row r="458" spans="1:12" x14ac:dyDescent="0.15">
      <c r="A458" s="3">
        <f>DATE(1997,11,1)</f>
        <v>35735</v>
      </c>
      <c r="B458" s="4">
        <v>5.5199999999999999E-2</v>
      </c>
      <c r="C458" s="12">
        <f t="shared" si="31"/>
        <v>5.5149999999999998E-2</v>
      </c>
      <c r="G458" s="3">
        <f>DATE(1997,12,1)</f>
        <v>35765</v>
      </c>
      <c r="H458" s="4">
        <v>5.5E-2</v>
      </c>
      <c r="I458" s="12">
        <v>5.5199999999999999E-2</v>
      </c>
      <c r="J458" s="4">
        <f t="shared" si="28"/>
        <v>3.3788819875776865E-4</v>
      </c>
      <c r="K458" s="9">
        <f t="shared" si="29"/>
        <v>3.9999999999999518E-8</v>
      </c>
      <c r="L458" s="10">
        <f t="shared" si="30"/>
        <v>0.36363636363636143</v>
      </c>
    </row>
    <row r="459" spans="1:12" x14ac:dyDescent="0.15">
      <c r="A459" s="3">
        <f>DATE(1997,12,1)</f>
        <v>35765</v>
      </c>
      <c r="B459" s="4">
        <v>5.5E-2</v>
      </c>
      <c r="C459" s="12">
        <f t="shared" si="31"/>
        <v>5.5199999999999999E-2</v>
      </c>
      <c r="G459" s="3">
        <f>DATE(1998,1,1)</f>
        <v>35796</v>
      </c>
      <c r="H459" s="4">
        <v>5.5599999999999997E-2</v>
      </c>
      <c r="I459" s="12">
        <v>5.5224999999999996E-2</v>
      </c>
      <c r="J459" s="4">
        <f t="shared" si="28"/>
        <v>9.3788819875776502E-4</v>
      </c>
      <c r="K459" s="9">
        <f t="shared" si="29"/>
        <v>1.4062500000000024E-7</v>
      </c>
      <c r="L459" s="10">
        <f t="shared" si="30"/>
        <v>0.67446043165467695</v>
      </c>
    </row>
    <row r="460" spans="1:12" x14ac:dyDescent="0.15">
      <c r="A460" s="3">
        <f>DATE(1998,1,1)</f>
        <v>35796</v>
      </c>
      <c r="B460" s="4">
        <v>5.5599999999999997E-2</v>
      </c>
      <c r="C460" s="12">
        <f t="shared" si="31"/>
        <v>5.5224999999999996E-2</v>
      </c>
      <c r="G460" s="3">
        <f>DATE(1998,2,1)</f>
        <v>35827</v>
      </c>
      <c r="H460" s="4">
        <v>5.5099999999999996E-2</v>
      </c>
      <c r="I460" s="12">
        <v>5.5150000000000005E-2</v>
      </c>
      <c r="J460" s="4">
        <f t="shared" si="28"/>
        <v>4.3788819875776458E-4</v>
      </c>
      <c r="K460" s="9">
        <f t="shared" si="29"/>
        <v>2.5000000000008372E-9</v>
      </c>
      <c r="L460" s="10">
        <f t="shared" si="30"/>
        <v>9.0744101633409027E-2</v>
      </c>
    </row>
    <row r="461" spans="1:12" x14ac:dyDescent="0.15">
      <c r="A461" s="3">
        <f>DATE(1998,2,1)</f>
        <v>35827</v>
      </c>
      <c r="B461" s="4">
        <v>5.5099999999999996E-2</v>
      </c>
      <c r="C461" s="12">
        <f t="shared" si="31"/>
        <v>5.5150000000000005E-2</v>
      </c>
      <c r="G461" s="3">
        <f>DATE(1998,3,1)</f>
        <v>35855</v>
      </c>
      <c r="H461" s="4">
        <v>5.4900000000000004E-2</v>
      </c>
      <c r="I461" s="12">
        <v>5.5024999999999998E-2</v>
      </c>
      <c r="J461" s="4">
        <f t="shared" si="28"/>
        <v>2.3788819875777273E-4</v>
      </c>
      <c r="K461" s="9">
        <f t="shared" si="29"/>
        <v>1.5624999999998292E-8</v>
      </c>
      <c r="L461" s="10">
        <f t="shared" si="30"/>
        <v>0.22768670309652669</v>
      </c>
    </row>
    <row r="462" spans="1:12" x14ac:dyDescent="0.15">
      <c r="A462" s="3">
        <f>DATE(1998,3,1)</f>
        <v>35855</v>
      </c>
      <c r="B462" s="4">
        <v>5.4900000000000004E-2</v>
      </c>
      <c r="C462" s="12">
        <f t="shared" si="31"/>
        <v>5.5024999999999998E-2</v>
      </c>
      <c r="G462" s="3">
        <f>DATE(1998,4,1)</f>
        <v>35886</v>
      </c>
      <c r="H462" s="4">
        <v>5.45E-2</v>
      </c>
      <c r="I462" s="12">
        <v>5.4850000000000003E-2</v>
      </c>
      <c r="J462" s="4">
        <f t="shared" si="28"/>
        <v>1.6211180124223179E-4</v>
      </c>
      <c r="K462" s="9">
        <f t="shared" si="29"/>
        <v>1.2250000000000216E-7</v>
      </c>
      <c r="L462" s="10">
        <f t="shared" si="30"/>
        <v>0.64220183486239102</v>
      </c>
    </row>
    <row r="463" spans="1:12" x14ac:dyDescent="0.15">
      <c r="A463" s="3">
        <f>DATE(1998,4,1)</f>
        <v>35886</v>
      </c>
      <c r="B463" s="4">
        <v>5.45E-2</v>
      </c>
      <c r="C463" s="12">
        <f t="shared" si="31"/>
        <v>5.4850000000000003E-2</v>
      </c>
      <c r="G463" s="3">
        <f>DATE(1998,5,1)</f>
        <v>35916</v>
      </c>
      <c r="H463" s="4">
        <v>5.4900000000000004E-2</v>
      </c>
      <c r="I463" s="12">
        <v>5.4974999999999996E-2</v>
      </c>
      <c r="J463" s="4">
        <f t="shared" si="28"/>
        <v>2.3788819875777273E-4</v>
      </c>
      <c r="K463" s="9">
        <f t="shared" si="29"/>
        <v>5.6249999999987608E-9</v>
      </c>
      <c r="L463" s="10">
        <f t="shared" si="30"/>
        <v>0.13661202185790844</v>
      </c>
    </row>
    <row r="464" spans="1:12" x14ac:dyDescent="0.15">
      <c r="A464" s="3">
        <f>DATE(1998,5,1)</f>
        <v>35916</v>
      </c>
      <c r="B464" s="4">
        <v>5.4900000000000004E-2</v>
      </c>
      <c r="C464" s="12">
        <f t="shared" si="31"/>
        <v>5.4974999999999996E-2</v>
      </c>
      <c r="G464" s="3">
        <f>DATE(1998,6,1)</f>
        <v>35947</v>
      </c>
      <c r="H464" s="4">
        <v>5.5599999999999997E-2</v>
      </c>
      <c r="I464" s="12">
        <v>5.5099999999999996E-2</v>
      </c>
      <c r="J464" s="4">
        <f t="shared" si="28"/>
        <v>9.3788819875776502E-4</v>
      </c>
      <c r="K464" s="9">
        <f t="shared" si="29"/>
        <v>2.5000000000000047E-7</v>
      </c>
      <c r="L464" s="10">
        <f t="shared" si="30"/>
        <v>0.89928057553956919</v>
      </c>
    </row>
    <row r="465" spans="1:12" x14ac:dyDescent="0.15">
      <c r="A465" s="3">
        <f>DATE(1998,6,1)</f>
        <v>35947</v>
      </c>
      <c r="B465" s="4">
        <v>5.5599999999999997E-2</v>
      </c>
      <c r="C465" s="12">
        <f t="shared" si="31"/>
        <v>5.5099999999999996E-2</v>
      </c>
      <c r="G465" s="3">
        <f>DATE(1998,7,1)</f>
        <v>35977</v>
      </c>
      <c r="H465" s="4">
        <v>5.5399999999999998E-2</v>
      </c>
      <c r="I465" s="12">
        <v>5.5349999999999996E-2</v>
      </c>
      <c r="J465" s="4">
        <f t="shared" si="28"/>
        <v>7.3788819875776623E-4</v>
      </c>
      <c r="K465" s="9">
        <f t="shared" si="29"/>
        <v>2.5000000000001432E-9</v>
      </c>
      <c r="L465" s="10">
        <f t="shared" si="30"/>
        <v>9.0252707581230024E-2</v>
      </c>
    </row>
    <row r="466" spans="1:12" x14ac:dyDescent="0.15">
      <c r="A466" s="3">
        <f>DATE(1998,7,1)</f>
        <v>35977</v>
      </c>
      <c r="B466" s="4">
        <v>5.5399999999999998E-2</v>
      </c>
      <c r="C466" s="12">
        <f t="shared" si="31"/>
        <v>5.5349999999999996E-2</v>
      </c>
      <c r="G466" s="3">
        <f>DATE(1998,8,1)</f>
        <v>36008</v>
      </c>
      <c r="H466" s="4">
        <v>5.5500000000000001E-2</v>
      </c>
      <c r="I466" s="12">
        <v>5.5399999999999991E-2</v>
      </c>
      <c r="J466" s="4">
        <f t="shared" si="28"/>
        <v>8.378881987577691E-4</v>
      </c>
      <c r="K466" s="9">
        <f t="shared" si="29"/>
        <v>1.0000000000001961E-8</v>
      </c>
      <c r="L466" s="10">
        <f t="shared" si="30"/>
        <v>0.18018018018019782</v>
      </c>
    </row>
    <row r="467" spans="1:12" x14ac:dyDescent="0.15">
      <c r="A467" s="3">
        <f>DATE(1998,8,1)</f>
        <v>36008</v>
      </c>
      <c r="B467" s="4">
        <v>5.5500000000000001E-2</v>
      </c>
      <c r="C467" s="12">
        <f t="shared" si="31"/>
        <v>5.5399999999999991E-2</v>
      </c>
      <c r="G467" s="3">
        <f>DATE(1998,9,1)</f>
        <v>36039</v>
      </c>
      <c r="H467" s="4">
        <v>5.5099999999999996E-2</v>
      </c>
      <c r="I467" s="12">
        <v>5.4174999999999994E-2</v>
      </c>
      <c r="J467" s="4">
        <f t="shared" si="28"/>
        <v>4.3788819875776458E-4</v>
      </c>
      <c r="K467" s="9">
        <f t="shared" si="29"/>
        <v>8.5562500000000409E-7</v>
      </c>
      <c r="L467" s="10">
        <f t="shared" si="30"/>
        <v>1.6787658802177901</v>
      </c>
    </row>
    <row r="468" spans="1:12" x14ac:dyDescent="0.15">
      <c r="A468" s="3">
        <f>DATE(1998,9,1)</f>
        <v>36039</v>
      </c>
      <c r="B468" s="4">
        <v>5.5099999999999996E-2</v>
      </c>
      <c r="C468" s="12">
        <f t="shared" si="31"/>
        <v>5.4174999999999994E-2</v>
      </c>
      <c r="G468" s="3">
        <f>DATE(1998,10,1)</f>
        <v>36069</v>
      </c>
      <c r="H468" s="4">
        <v>5.0700000000000002E-2</v>
      </c>
      <c r="I468" s="12">
        <v>5.2400000000000002E-2</v>
      </c>
      <c r="J468" s="4">
        <f t="shared" si="28"/>
        <v>3.9621118012422296E-3</v>
      </c>
      <c r="K468" s="9">
        <f t="shared" si="29"/>
        <v>2.8900000000000003E-6</v>
      </c>
      <c r="L468" s="10">
        <f t="shared" si="30"/>
        <v>3.3530571992110452</v>
      </c>
    </row>
    <row r="469" spans="1:12" x14ac:dyDescent="0.15">
      <c r="A469" s="3">
        <f>DATE(1998,10,1)</f>
        <v>36069</v>
      </c>
      <c r="B469" s="4">
        <v>5.0700000000000002E-2</v>
      </c>
      <c r="C469" s="12">
        <f t="shared" si="31"/>
        <v>5.2400000000000002E-2</v>
      </c>
      <c r="G469" s="3">
        <f>DATE(1998,11,1)</f>
        <v>36100</v>
      </c>
      <c r="H469" s="4">
        <v>4.8300000000000003E-2</v>
      </c>
      <c r="I469" s="12">
        <v>5.0225000000000006E-2</v>
      </c>
      <c r="J469" s="4">
        <f t="shared" si="28"/>
        <v>6.362111801242229E-3</v>
      </c>
      <c r="K469" s="9">
        <f t="shared" si="29"/>
        <v>3.7056250000000121E-6</v>
      </c>
      <c r="L469" s="10">
        <f t="shared" si="30"/>
        <v>3.9855072463768173</v>
      </c>
    </row>
    <row r="470" spans="1:12" x14ac:dyDescent="0.15">
      <c r="A470" s="3">
        <f>DATE(1998,11,1)</f>
        <v>36100</v>
      </c>
      <c r="B470" s="4">
        <v>4.8300000000000003E-2</v>
      </c>
      <c r="C470" s="12">
        <f t="shared" si="31"/>
        <v>5.0225000000000006E-2</v>
      </c>
      <c r="G470" s="3">
        <f>DATE(1998,12,1)</f>
        <v>36130</v>
      </c>
      <c r="H470" s="4">
        <v>4.6799999999999994E-2</v>
      </c>
      <c r="I470" s="12">
        <v>4.8024999999999998E-2</v>
      </c>
      <c r="J470" s="4">
        <f t="shared" si="28"/>
        <v>7.8621118012422372E-3</v>
      </c>
      <c r="K470" s="9">
        <f t="shared" si="29"/>
        <v>1.5006250000000095E-6</v>
      </c>
      <c r="L470" s="10">
        <f t="shared" si="30"/>
        <v>2.6175213675213764</v>
      </c>
    </row>
    <row r="471" spans="1:12" x14ac:dyDescent="0.15">
      <c r="A471" s="3">
        <f>DATE(1998,12,1)</f>
        <v>36130</v>
      </c>
      <c r="B471" s="4">
        <v>4.6799999999999994E-2</v>
      </c>
      <c r="C471" s="12">
        <f t="shared" si="31"/>
        <v>4.8024999999999998E-2</v>
      </c>
      <c r="G471" s="3">
        <f>DATE(1999,1,1)</f>
        <v>36161</v>
      </c>
      <c r="H471" s="4">
        <v>4.6300000000000001E-2</v>
      </c>
      <c r="I471" s="12">
        <v>4.725E-2</v>
      </c>
      <c r="J471" s="4">
        <f t="shared" si="28"/>
        <v>8.3621118012422307E-3</v>
      </c>
      <c r="K471" s="9">
        <f t="shared" si="29"/>
        <v>9.0249999999999898E-7</v>
      </c>
      <c r="L471" s="10">
        <f t="shared" si="30"/>
        <v>2.0518358531317484</v>
      </c>
    </row>
    <row r="472" spans="1:12" x14ac:dyDescent="0.15">
      <c r="A472" s="3">
        <f>DATE(1999,1,1)</f>
        <v>36161</v>
      </c>
      <c r="B472" s="4">
        <v>4.6300000000000001E-2</v>
      </c>
      <c r="C472" s="12">
        <f t="shared" si="31"/>
        <v>4.725E-2</v>
      </c>
      <c r="G472" s="3">
        <f>DATE(1999,2,1)</f>
        <v>36192</v>
      </c>
      <c r="H472" s="4">
        <v>4.7599999999999996E-2</v>
      </c>
      <c r="I472" s="12">
        <v>4.7199999999999999E-2</v>
      </c>
      <c r="J472" s="4">
        <f t="shared" si="28"/>
        <v>7.0621118012422351E-3</v>
      </c>
      <c r="K472" s="9">
        <f t="shared" si="29"/>
        <v>1.5999999999999807E-7</v>
      </c>
      <c r="L472" s="10">
        <f t="shared" si="30"/>
        <v>0.84033613445377642</v>
      </c>
    </row>
    <row r="473" spans="1:12" x14ac:dyDescent="0.15">
      <c r="A473" s="3">
        <f>DATE(1999,2,1)</f>
        <v>36192</v>
      </c>
      <c r="B473" s="4">
        <v>4.7599999999999996E-2</v>
      </c>
      <c r="C473" s="12">
        <f t="shared" si="31"/>
        <v>4.7199999999999999E-2</v>
      </c>
      <c r="G473" s="3">
        <f>DATE(1999,3,1)</f>
        <v>36220</v>
      </c>
      <c r="H473" s="4">
        <v>4.8099999999999997E-2</v>
      </c>
      <c r="I473" s="12">
        <v>4.7349999999999996E-2</v>
      </c>
      <c r="J473" s="4">
        <f t="shared" si="28"/>
        <v>6.5621118012422347E-3</v>
      </c>
      <c r="K473" s="9">
        <f t="shared" si="29"/>
        <v>5.6250000000000097E-7</v>
      </c>
      <c r="L473" s="10">
        <f t="shared" si="30"/>
        <v>1.5592515592515608</v>
      </c>
    </row>
    <row r="474" spans="1:12" x14ac:dyDescent="0.15">
      <c r="A474" s="3">
        <f>DATE(1999,3,1)</f>
        <v>36220</v>
      </c>
      <c r="B474" s="4">
        <v>4.8099999999999997E-2</v>
      </c>
      <c r="C474" s="12">
        <f t="shared" si="31"/>
        <v>4.7349999999999996E-2</v>
      </c>
      <c r="G474" s="3">
        <f>DATE(1999,4,1)</f>
        <v>36251</v>
      </c>
      <c r="H474" s="4">
        <v>4.7400000000000005E-2</v>
      </c>
      <c r="I474" s="12">
        <v>4.7625000000000001E-2</v>
      </c>
      <c r="J474" s="4">
        <f t="shared" si="28"/>
        <v>7.262111801242227E-3</v>
      </c>
      <c r="K474" s="9">
        <f t="shared" si="29"/>
        <v>5.0624999999998218E-8</v>
      </c>
      <c r="L474" s="10">
        <f t="shared" si="30"/>
        <v>0.47468354430378906</v>
      </c>
    </row>
    <row r="475" spans="1:12" x14ac:dyDescent="0.15">
      <c r="A475" s="3">
        <f>DATE(1999,4,1)</f>
        <v>36251</v>
      </c>
      <c r="B475" s="4">
        <v>4.7400000000000005E-2</v>
      </c>
      <c r="C475" s="12">
        <f t="shared" si="31"/>
        <v>4.7625000000000001E-2</v>
      </c>
      <c r="G475" s="3">
        <f>DATE(1999,5,1)</f>
        <v>36281</v>
      </c>
      <c r="H475" s="4">
        <v>4.7400000000000005E-2</v>
      </c>
      <c r="I475" s="12">
        <v>4.7625000000000001E-2</v>
      </c>
      <c r="J475" s="4">
        <f t="shared" si="28"/>
        <v>7.262111801242227E-3</v>
      </c>
      <c r="K475" s="9">
        <f t="shared" si="29"/>
        <v>5.0624999999998218E-8</v>
      </c>
      <c r="L475" s="10">
        <f t="shared" si="30"/>
        <v>0.47468354430378906</v>
      </c>
    </row>
    <row r="476" spans="1:12" x14ac:dyDescent="0.15">
      <c r="A476" s="3">
        <f>DATE(1999,5,1)</f>
        <v>36281</v>
      </c>
      <c r="B476" s="4">
        <v>4.7400000000000005E-2</v>
      </c>
      <c r="C476" s="12">
        <f t="shared" si="31"/>
        <v>4.7625000000000001E-2</v>
      </c>
      <c r="G476" s="3">
        <f>DATE(1999,6,1)</f>
        <v>36312</v>
      </c>
      <c r="H476" s="4">
        <v>4.7599999999999996E-2</v>
      </c>
      <c r="I476" s="12">
        <v>4.8075E-2</v>
      </c>
      <c r="J476" s="4">
        <f t="shared" si="28"/>
        <v>7.0621118012422351E-3</v>
      </c>
      <c r="K476" s="9">
        <f t="shared" si="29"/>
        <v>2.2562500000000303E-7</v>
      </c>
      <c r="L476" s="10">
        <f t="shared" si="30"/>
        <v>0.99789915966387244</v>
      </c>
    </row>
    <row r="477" spans="1:12" x14ac:dyDescent="0.15">
      <c r="A477" s="3">
        <f>DATE(1999,6,1)</f>
        <v>36312</v>
      </c>
      <c r="B477" s="4">
        <v>4.7599999999999996E-2</v>
      </c>
      <c r="C477" s="12">
        <f t="shared" si="31"/>
        <v>4.8075E-2</v>
      </c>
      <c r="G477" s="3">
        <f>DATE(1999,7,1)</f>
        <v>36342</v>
      </c>
      <c r="H477" s="4">
        <v>4.99E-2</v>
      </c>
      <c r="I477" s="12">
        <v>4.8899999999999999E-2</v>
      </c>
      <c r="J477" s="4">
        <f t="shared" si="28"/>
        <v>4.7621118012422317E-3</v>
      </c>
      <c r="K477" s="9">
        <f t="shared" si="29"/>
        <v>1.0000000000000019E-6</v>
      </c>
      <c r="L477" s="10">
        <f t="shared" si="30"/>
        <v>2.0040080160320657</v>
      </c>
    </row>
    <row r="478" spans="1:12" x14ac:dyDescent="0.15">
      <c r="A478" s="3">
        <f>DATE(1999,7,1)</f>
        <v>36342</v>
      </c>
      <c r="B478" s="4">
        <v>4.99E-2</v>
      </c>
      <c r="C478" s="12">
        <f t="shared" si="31"/>
        <v>4.8899999999999999E-2</v>
      </c>
      <c r="G478" s="3">
        <f>DATE(1999,8,1)</f>
        <v>36373</v>
      </c>
      <c r="H478" s="4">
        <v>5.0700000000000002E-2</v>
      </c>
      <c r="I478" s="12">
        <v>5.0099999999999999E-2</v>
      </c>
      <c r="J478" s="4">
        <f t="shared" si="28"/>
        <v>3.9621118012422296E-3</v>
      </c>
      <c r="K478" s="9">
        <f t="shared" si="29"/>
        <v>3.6000000000000396E-7</v>
      </c>
      <c r="L478" s="10">
        <f t="shared" si="30"/>
        <v>1.1834319526627284</v>
      </c>
    </row>
    <row r="479" spans="1:12" x14ac:dyDescent="0.15">
      <c r="A479" s="3">
        <f>DATE(1999,8,1)</f>
        <v>36373</v>
      </c>
      <c r="B479" s="4">
        <v>5.0700000000000002E-2</v>
      </c>
      <c r="C479" s="12">
        <f t="shared" si="31"/>
        <v>5.0099999999999999E-2</v>
      </c>
      <c r="G479" s="3">
        <f>DATE(1999,9,1)</f>
        <v>36404</v>
      </c>
      <c r="H479" s="4">
        <v>5.2199999999999996E-2</v>
      </c>
      <c r="I479" s="12">
        <v>5.1199999999999996E-2</v>
      </c>
      <c r="J479" s="4">
        <f t="shared" si="28"/>
        <v>2.4621118012422352E-3</v>
      </c>
      <c r="K479" s="9">
        <f t="shared" si="29"/>
        <v>1.0000000000000019E-6</v>
      </c>
      <c r="L479" s="10">
        <f t="shared" si="30"/>
        <v>1.9157088122605384</v>
      </c>
    </row>
    <row r="480" spans="1:12" x14ac:dyDescent="0.15">
      <c r="A480" s="3">
        <f>DATE(1999,9,1)</f>
        <v>36404</v>
      </c>
      <c r="B480" s="4">
        <v>5.2199999999999996E-2</v>
      </c>
      <c r="C480" s="12">
        <f t="shared" si="31"/>
        <v>5.1199999999999996E-2</v>
      </c>
      <c r="G480" s="3">
        <f>DATE(1999,10,1)</f>
        <v>36434</v>
      </c>
      <c r="H480" s="4">
        <v>5.2000000000000005E-2</v>
      </c>
      <c r="I480" s="12">
        <v>5.2274999999999995E-2</v>
      </c>
      <c r="J480" s="4">
        <f t="shared" si="28"/>
        <v>2.6621118012422271E-3</v>
      </c>
      <c r="K480" s="9">
        <f t="shared" si="29"/>
        <v>7.5624999999994789E-8</v>
      </c>
      <c r="L480" s="10">
        <f t="shared" si="30"/>
        <v>0.52884615384613554</v>
      </c>
    </row>
    <row r="481" spans="1:12" x14ac:dyDescent="0.15">
      <c r="A481" s="3">
        <f>DATE(1999,10,1)</f>
        <v>36434</v>
      </c>
      <c r="B481" s="4">
        <v>5.2000000000000005E-2</v>
      </c>
      <c r="C481" s="12">
        <f t="shared" si="31"/>
        <v>5.2274999999999995E-2</v>
      </c>
      <c r="G481" s="3">
        <f>DATE(1999,11,1)</f>
        <v>36465</v>
      </c>
      <c r="H481" s="4">
        <v>5.4199999999999998E-2</v>
      </c>
      <c r="I481" s="12">
        <v>5.2849999999999994E-2</v>
      </c>
      <c r="J481" s="4">
        <f t="shared" si="28"/>
        <v>4.6211180124223344E-4</v>
      </c>
      <c r="K481" s="9">
        <f t="shared" si="29"/>
        <v>1.8225000000000107E-6</v>
      </c>
      <c r="L481" s="10">
        <f t="shared" si="30"/>
        <v>2.4907749077490848</v>
      </c>
    </row>
    <row r="482" spans="1:12" x14ac:dyDescent="0.15">
      <c r="A482" s="3">
        <f>DATE(1999,11,1)</f>
        <v>36465</v>
      </c>
      <c r="B482" s="4">
        <v>5.4199999999999998E-2</v>
      </c>
      <c r="C482" s="12">
        <f t="shared" si="31"/>
        <v>5.2849999999999994E-2</v>
      </c>
      <c r="G482" s="3">
        <f>DATE(1999,12,1)</f>
        <v>36495</v>
      </c>
      <c r="H482" s="4">
        <v>5.2999999999999999E-2</v>
      </c>
      <c r="I482" s="12">
        <v>5.3425E-2</v>
      </c>
      <c r="J482" s="4">
        <f t="shared" si="28"/>
        <v>1.6621118012422331E-3</v>
      </c>
      <c r="K482" s="9">
        <f t="shared" si="29"/>
        <v>1.806250000000015E-7</v>
      </c>
      <c r="L482" s="10">
        <f t="shared" si="30"/>
        <v>0.80188679245283345</v>
      </c>
    </row>
    <row r="483" spans="1:12" x14ac:dyDescent="0.15">
      <c r="A483" s="3">
        <f>DATE(1999,12,1)</f>
        <v>36495</v>
      </c>
      <c r="B483" s="4">
        <v>5.2999999999999999E-2</v>
      </c>
      <c r="C483" s="12">
        <f t="shared" si="31"/>
        <v>5.3425E-2</v>
      </c>
      <c r="G483" s="3">
        <f>DATE(2000,1,1)</f>
        <v>36526</v>
      </c>
      <c r="H483" s="4">
        <v>5.45E-2</v>
      </c>
      <c r="I483" s="12">
        <v>5.4749999999999993E-2</v>
      </c>
      <c r="J483" s="4">
        <f t="shared" si="28"/>
        <v>1.6211180124223179E-4</v>
      </c>
      <c r="K483" s="9">
        <f t="shared" si="29"/>
        <v>6.2499999999996636E-8</v>
      </c>
      <c r="L483" s="10">
        <f t="shared" si="30"/>
        <v>0.45871559633026293</v>
      </c>
    </row>
    <row r="484" spans="1:12" x14ac:dyDescent="0.15">
      <c r="A484" s="3">
        <f>DATE(2000,1,1)</f>
        <v>36526</v>
      </c>
      <c r="B484" s="4">
        <v>5.45E-2</v>
      </c>
      <c r="C484" s="12">
        <f t="shared" si="31"/>
        <v>5.4749999999999993E-2</v>
      </c>
      <c r="G484" s="3">
        <f>DATE(2000,2,1)</f>
        <v>36557</v>
      </c>
      <c r="H484" s="4">
        <v>5.7300000000000004E-2</v>
      </c>
      <c r="I484" s="12">
        <v>5.5825E-2</v>
      </c>
      <c r="J484" s="4">
        <f t="shared" si="28"/>
        <v>2.6378881987577721E-3</v>
      </c>
      <c r="K484" s="9">
        <f t="shared" si="29"/>
        <v>2.1756250000000119E-6</v>
      </c>
      <c r="L484" s="10">
        <f t="shared" si="30"/>
        <v>2.574171029668419</v>
      </c>
    </row>
    <row r="485" spans="1:12" x14ac:dyDescent="0.15">
      <c r="A485" s="3">
        <f>DATE(2000,2,1)</f>
        <v>36557</v>
      </c>
      <c r="B485" s="4">
        <v>5.7300000000000004E-2</v>
      </c>
      <c r="C485" s="12">
        <f t="shared" si="31"/>
        <v>5.5825E-2</v>
      </c>
      <c r="G485" s="3">
        <f>DATE(2000,3,1)</f>
        <v>36586</v>
      </c>
      <c r="H485" s="4">
        <v>5.8499999999999996E-2</v>
      </c>
      <c r="I485" s="12">
        <v>5.7625000000000003E-2</v>
      </c>
      <c r="J485" s="4">
        <f t="shared" si="28"/>
        <v>3.8378881987577648E-3</v>
      </c>
      <c r="K485" s="9">
        <f t="shared" si="29"/>
        <v>7.6562499999998918E-7</v>
      </c>
      <c r="L485" s="10">
        <f t="shared" si="30"/>
        <v>1.4957264957264853</v>
      </c>
    </row>
    <row r="486" spans="1:12" x14ac:dyDescent="0.15">
      <c r="A486" s="3">
        <f>DATE(2000,3,1)</f>
        <v>36586</v>
      </c>
      <c r="B486" s="4">
        <v>5.8499999999999996E-2</v>
      </c>
      <c r="C486" s="12">
        <f t="shared" si="31"/>
        <v>5.7625000000000003E-2</v>
      </c>
      <c r="G486" s="3">
        <f>DATE(2000,4,1)</f>
        <v>36617</v>
      </c>
      <c r="H486" s="4">
        <v>6.0199999999999997E-2</v>
      </c>
      <c r="I486" s="12">
        <v>5.9674999999999992E-2</v>
      </c>
      <c r="J486" s="4">
        <f t="shared" si="28"/>
        <v>5.5378881987577649E-3</v>
      </c>
      <c r="K486" s="9">
        <f t="shared" si="29"/>
        <v>2.7562500000000488E-7</v>
      </c>
      <c r="L486" s="10">
        <f t="shared" si="30"/>
        <v>0.87209302325582172</v>
      </c>
    </row>
    <row r="487" spans="1:12" x14ac:dyDescent="0.15">
      <c r="A487" s="3">
        <f>DATE(2000,4,1)</f>
        <v>36617</v>
      </c>
      <c r="B487" s="4">
        <v>6.0199999999999997E-2</v>
      </c>
      <c r="C487" s="12">
        <f t="shared" si="31"/>
        <v>5.9674999999999992E-2</v>
      </c>
      <c r="G487" s="3">
        <f>DATE(2000,5,1)</f>
        <v>36647</v>
      </c>
      <c r="H487" s="4">
        <v>6.2699999999999992E-2</v>
      </c>
      <c r="I487" s="12">
        <v>6.1675000000000001E-2</v>
      </c>
      <c r="J487" s="4">
        <f t="shared" si="28"/>
        <v>8.0378881987577602E-3</v>
      </c>
      <c r="K487" s="9">
        <f t="shared" si="29"/>
        <v>1.050624999999982E-6</v>
      </c>
      <c r="L487" s="10">
        <f t="shared" si="30"/>
        <v>1.634768740031884</v>
      </c>
    </row>
    <row r="488" spans="1:12" x14ac:dyDescent="0.15">
      <c r="A488" s="3">
        <f>DATE(2000,5,1)</f>
        <v>36647</v>
      </c>
      <c r="B488" s="4">
        <v>6.2699999999999992E-2</v>
      </c>
      <c r="C488" s="12">
        <f t="shared" si="31"/>
        <v>6.1675000000000001E-2</v>
      </c>
      <c r="G488" s="3">
        <f>DATE(2000,6,1)</f>
        <v>36678</v>
      </c>
      <c r="H488" s="4">
        <v>6.5299999999999997E-2</v>
      </c>
      <c r="I488" s="12">
        <v>6.3399999999999998E-2</v>
      </c>
      <c r="J488" s="4">
        <f t="shared" si="28"/>
        <v>1.0637888198757765E-2</v>
      </c>
      <c r="K488" s="9">
        <f t="shared" si="29"/>
        <v>3.6099999999999959E-6</v>
      </c>
      <c r="L488" s="10">
        <f t="shared" si="30"/>
        <v>2.9096477794793247</v>
      </c>
    </row>
    <row r="489" spans="1:12" x14ac:dyDescent="0.15">
      <c r="A489" s="3">
        <f>DATE(2000,6,1)</f>
        <v>36678</v>
      </c>
      <c r="B489" s="4">
        <v>6.5299999999999997E-2</v>
      </c>
      <c r="C489" s="12">
        <f t="shared" si="31"/>
        <v>6.3399999999999998E-2</v>
      </c>
      <c r="G489" s="3">
        <f>DATE(2000,7,1)</f>
        <v>36708</v>
      </c>
      <c r="H489" s="4">
        <v>6.54E-2</v>
      </c>
      <c r="I489" s="12">
        <v>6.4600000000000005E-2</v>
      </c>
      <c r="J489" s="4">
        <f t="shared" si="28"/>
        <v>1.0737888198757768E-2</v>
      </c>
      <c r="K489" s="9">
        <f t="shared" si="29"/>
        <v>6.3999999999999228E-7</v>
      </c>
      <c r="L489" s="10">
        <f t="shared" si="30"/>
        <v>1.2232415902140599</v>
      </c>
    </row>
    <row r="490" spans="1:12" x14ac:dyDescent="0.15">
      <c r="A490" s="3">
        <f>DATE(2000,7,1)</f>
        <v>36708</v>
      </c>
      <c r="B490" s="4">
        <v>6.54E-2</v>
      </c>
      <c r="C490" s="12">
        <f t="shared" si="31"/>
        <v>6.4600000000000005E-2</v>
      </c>
      <c r="G490" s="3">
        <f>DATE(2000,8,1)</f>
        <v>36739</v>
      </c>
      <c r="H490" s="4">
        <v>6.5000000000000002E-2</v>
      </c>
      <c r="I490" s="12">
        <v>6.5224999999999991E-2</v>
      </c>
      <c r="J490" s="4">
        <f t="shared" si="28"/>
        <v>1.0337888198757771E-2</v>
      </c>
      <c r="K490" s="9">
        <f t="shared" si="29"/>
        <v>5.0624999999995095E-8</v>
      </c>
      <c r="L490" s="10">
        <f t="shared" si="30"/>
        <v>0.34615384615382938</v>
      </c>
    </row>
    <row r="491" spans="1:12" x14ac:dyDescent="0.15">
      <c r="A491" s="3">
        <f>DATE(2000,8,1)</f>
        <v>36739</v>
      </c>
      <c r="B491" s="4">
        <v>6.5000000000000002E-2</v>
      </c>
      <c r="C491" s="12">
        <f t="shared" si="31"/>
        <v>6.5224999999999991E-2</v>
      </c>
      <c r="G491" s="3">
        <f>DATE(2000,9,1)</f>
        <v>36770</v>
      </c>
      <c r="H491" s="4">
        <v>6.5199999999999994E-2</v>
      </c>
      <c r="I491" s="12">
        <v>6.5174999999999997E-2</v>
      </c>
      <c r="J491" s="4">
        <f t="shared" si="28"/>
        <v>1.0537888198757762E-2</v>
      </c>
      <c r="K491" s="9">
        <f t="shared" si="29"/>
        <v>6.2499999999986229E-10</v>
      </c>
      <c r="L491" s="10">
        <f t="shared" si="30"/>
        <v>3.8343558282204364E-2</v>
      </c>
    </row>
    <row r="492" spans="1:12" x14ac:dyDescent="0.15">
      <c r="A492" s="3">
        <f>DATE(2000,9,1)</f>
        <v>36770</v>
      </c>
      <c r="B492" s="4">
        <v>6.5199999999999994E-2</v>
      </c>
      <c r="C492" s="12">
        <f t="shared" si="31"/>
        <v>6.5174999999999997E-2</v>
      </c>
      <c r="G492" s="3">
        <f>DATE(2000,10,1)</f>
        <v>36800</v>
      </c>
      <c r="H492" s="4">
        <v>6.5099999999999991E-2</v>
      </c>
      <c r="I492" s="12">
        <v>6.5099999999999991E-2</v>
      </c>
      <c r="J492" s="4">
        <f t="shared" si="28"/>
        <v>1.043788819875776E-2</v>
      </c>
      <c r="K492" s="9">
        <f t="shared" si="29"/>
        <v>0</v>
      </c>
      <c r="L492" s="10">
        <f t="shared" si="30"/>
        <v>0</v>
      </c>
    </row>
    <row r="493" spans="1:12" x14ac:dyDescent="0.15">
      <c r="A493" s="3">
        <f>DATE(2000,10,1)</f>
        <v>36800</v>
      </c>
      <c r="B493" s="4">
        <v>6.5099999999999991E-2</v>
      </c>
      <c r="C493" s="12">
        <f t="shared" si="31"/>
        <v>6.5099999999999991E-2</v>
      </c>
      <c r="G493" s="3">
        <f>DATE(2000,11,1)</f>
        <v>36831</v>
      </c>
      <c r="H493" s="4">
        <v>6.5099999999999991E-2</v>
      </c>
      <c r="I493" s="12">
        <v>6.4849999999999991E-2</v>
      </c>
      <c r="J493" s="4">
        <f t="shared" si="28"/>
        <v>1.043788819875776E-2</v>
      </c>
      <c r="K493" s="9">
        <f t="shared" si="29"/>
        <v>6.2500000000000116E-8</v>
      </c>
      <c r="L493" s="10">
        <f t="shared" si="30"/>
        <v>0.38402457757296504</v>
      </c>
    </row>
    <row r="494" spans="1:12" x14ac:dyDescent="0.15">
      <c r="A494" s="3">
        <f>DATE(2000,11,1)</f>
        <v>36831</v>
      </c>
      <c r="B494" s="4">
        <v>6.5099999999999991E-2</v>
      </c>
      <c r="C494" s="12">
        <f t="shared" si="31"/>
        <v>6.4849999999999991E-2</v>
      </c>
      <c r="G494" s="3">
        <f>DATE(2000,12,1)</f>
        <v>36861</v>
      </c>
      <c r="H494" s="4">
        <v>6.4000000000000001E-2</v>
      </c>
      <c r="I494" s="12">
        <v>6.3500000000000001E-2</v>
      </c>
      <c r="J494" s="4">
        <f t="shared" si="28"/>
        <v>9.3378881987577697E-3</v>
      </c>
      <c r="K494" s="9">
        <f t="shared" si="29"/>
        <v>2.5000000000000047E-7</v>
      </c>
      <c r="L494" s="10">
        <f t="shared" si="30"/>
        <v>0.78125000000000067</v>
      </c>
    </row>
    <row r="495" spans="1:12" x14ac:dyDescent="0.15">
      <c r="A495" s="3">
        <f>DATE(2000,12,1)</f>
        <v>36861</v>
      </c>
      <c r="B495" s="4">
        <v>6.4000000000000001E-2</v>
      </c>
      <c r="C495" s="12">
        <f t="shared" si="31"/>
        <v>6.3500000000000001E-2</v>
      </c>
      <c r="G495" s="3">
        <f>DATE(2001,1,1)</f>
        <v>36892</v>
      </c>
      <c r="H495" s="4">
        <v>5.9800000000000006E-2</v>
      </c>
      <c r="I495" s="12">
        <v>6.0950000000000004E-2</v>
      </c>
      <c r="J495" s="4">
        <f t="shared" si="28"/>
        <v>5.1378881987577743E-3</v>
      </c>
      <c r="K495" s="9">
        <f t="shared" si="29"/>
        <v>1.322499999999996E-6</v>
      </c>
      <c r="L495" s="10">
        <f t="shared" si="30"/>
        <v>1.92307692307692</v>
      </c>
    </row>
    <row r="496" spans="1:12" x14ac:dyDescent="0.15">
      <c r="A496" s="3">
        <f>DATE(2001,1,1)</f>
        <v>36892</v>
      </c>
      <c r="B496" s="4">
        <v>5.9800000000000006E-2</v>
      </c>
      <c r="C496" s="12">
        <f t="shared" si="31"/>
        <v>6.0950000000000004E-2</v>
      </c>
      <c r="G496" s="3">
        <f>DATE(2001,2,1)</f>
        <v>36923</v>
      </c>
      <c r="H496" s="4">
        <v>5.4900000000000004E-2</v>
      </c>
      <c r="I496" s="12">
        <v>5.7950000000000002E-2</v>
      </c>
      <c r="J496" s="4">
        <f t="shared" si="28"/>
        <v>2.3788819875777273E-4</v>
      </c>
      <c r="K496" s="9">
        <f t="shared" si="29"/>
        <v>9.3024999999999825E-6</v>
      </c>
      <c r="L496" s="10">
        <f t="shared" si="30"/>
        <v>5.55555555555555</v>
      </c>
    </row>
    <row r="497" spans="1:12" x14ac:dyDescent="0.15">
      <c r="A497" s="3">
        <f>DATE(2001,2,1)</f>
        <v>36923</v>
      </c>
      <c r="B497" s="4">
        <v>5.4900000000000004E-2</v>
      </c>
      <c r="C497" s="12">
        <f t="shared" si="31"/>
        <v>5.7950000000000002E-2</v>
      </c>
      <c r="G497" s="3">
        <f>DATE(2001,3,1)</f>
        <v>36951</v>
      </c>
      <c r="H497" s="4">
        <v>5.3099999999999994E-2</v>
      </c>
      <c r="I497" s="12">
        <v>5.3949999999999998E-2</v>
      </c>
      <c r="J497" s="4">
        <f t="shared" si="28"/>
        <v>1.5621118012422372E-3</v>
      </c>
      <c r="K497" s="9">
        <f t="shared" si="29"/>
        <v>7.22500000000006E-7</v>
      </c>
      <c r="L497" s="10">
        <f t="shared" si="30"/>
        <v>1.6007532956685566</v>
      </c>
    </row>
    <row r="498" spans="1:12" x14ac:dyDescent="0.15">
      <c r="A498" s="3">
        <f>DATE(2001,3,1)</f>
        <v>36951</v>
      </c>
      <c r="B498" s="4">
        <v>5.3099999999999994E-2</v>
      </c>
      <c r="C498" s="12">
        <f t="shared" si="31"/>
        <v>5.3949999999999998E-2</v>
      </c>
      <c r="G498" s="3">
        <f>DATE(2001,4,1)</f>
        <v>36982</v>
      </c>
      <c r="H498" s="4">
        <v>4.8000000000000001E-2</v>
      </c>
      <c r="I498" s="12">
        <v>4.9525E-2</v>
      </c>
      <c r="J498" s="4">
        <f t="shared" si="28"/>
        <v>6.6621118012422306E-3</v>
      </c>
      <c r="K498" s="9">
        <f t="shared" si="29"/>
        <v>2.3256249999999956E-6</v>
      </c>
      <c r="L498" s="10">
        <f t="shared" si="30"/>
        <v>3.1770833333333304</v>
      </c>
    </row>
    <row r="499" spans="1:12" x14ac:dyDescent="0.15">
      <c r="A499" s="3">
        <f>DATE(2001,4,1)</f>
        <v>36982</v>
      </c>
      <c r="B499" s="4">
        <v>4.8000000000000001E-2</v>
      </c>
      <c r="C499" s="12">
        <f t="shared" si="31"/>
        <v>4.9525E-2</v>
      </c>
      <c r="G499" s="3">
        <f>DATE(2001,5,1)</f>
        <v>37012</v>
      </c>
      <c r="H499" s="4">
        <v>4.2099999999999999E-2</v>
      </c>
      <c r="I499" s="12">
        <v>4.5725000000000002E-2</v>
      </c>
      <c r="J499" s="4">
        <f t="shared" si="28"/>
        <v>1.2562111801242233E-2</v>
      </c>
      <c r="K499" s="9">
        <f t="shared" si="29"/>
        <v>1.3140625000000023E-5</v>
      </c>
      <c r="L499" s="10">
        <f t="shared" si="30"/>
        <v>8.6104513064133101</v>
      </c>
    </row>
    <row r="500" spans="1:12" x14ac:dyDescent="0.15">
      <c r="A500" s="3">
        <f>DATE(2001,5,1)</f>
        <v>37012</v>
      </c>
      <c r="B500" s="4">
        <v>4.2099999999999999E-2</v>
      </c>
      <c r="C500" s="12">
        <f t="shared" si="31"/>
        <v>4.5725000000000002E-2</v>
      </c>
      <c r="G500" s="3">
        <f>DATE(2001,6,1)</f>
        <v>37043</v>
      </c>
      <c r="H500" s="4">
        <v>3.9699999999999999E-2</v>
      </c>
      <c r="I500" s="12">
        <v>4.1874999999999996E-2</v>
      </c>
      <c r="J500" s="4">
        <f t="shared" si="28"/>
        <v>1.4962111801242232E-2</v>
      </c>
      <c r="K500" s="9">
        <f t="shared" si="29"/>
        <v>4.730624999999984E-6</v>
      </c>
      <c r="L500" s="10">
        <f t="shared" si="30"/>
        <v>5.4785894206549033</v>
      </c>
    </row>
    <row r="501" spans="1:12" x14ac:dyDescent="0.15">
      <c r="A501" s="3">
        <f>DATE(2001,6,1)</f>
        <v>37043</v>
      </c>
      <c r="B501" s="4">
        <v>3.9699999999999999E-2</v>
      </c>
      <c r="C501" s="12">
        <f t="shared" si="31"/>
        <v>4.1874999999999996E-2</v>
      </c>
      <c r="G501" s="3">
        <f>DATE(2001,7,1)</f>
        <v>37073</v>
      </c>
      <c r="H501" s="4">
        <v>3.7699999999999997E-2</v>
      </c>
      <c r="I501" s="12">
        <v>3.9E-2</v>
      </c>
      <c r="J501" s="4">
        <f t="shared" si="28"/>
        <v>1.6962111801242234E-2</v>
      </c>
      <c r="K501" s="9">
        <f t="shared" si="29"/>
        <v>1.6900000000000067E-6</v>
      </c>
      <c r="L501" s="10">
        <f t="shared" si="30"/>
        <v>3.4482758620689724</v>
      </c>
    </row>
    <row r="502" spans="1:12" x14ac:dyDescent="0.15">
      <c r="A502" s="3">
        <f>DATE(2001,7,1)</f>
        <v>37073</v>
      </c>
      <c r="B502" s="4">
        <v>3.7699999999999997E-2</v>
      </c>
      <c r="C502" s="12">
        <f t="shared" si="31"/>
        <v>3.9E-2</v>
      </c>
      <c r="G502" s="3">
        <f>DATE(2001,8,1)</f>
        <v>37104</v>
      </c>
      <c r="H502" s="4">
        <v>3.6499999999999998E-2</v>
      </c>
      <c r="I502" s="12">
        <v>3.6150000000000002E-2</v>
      </c>
      <c r="J502" s="4">
        <f t="shared" si="28"/>
        <v>1.8162111801242234E-2</v>
      </c>
      <c r="K502" s="9">
        <f t="shared" si="29"/>
        <v>1.2249999999999729E-7</v>
      </c>
      <c r="L502" s="10">
        <f t="shared" si="30"/>
        <v>0.95890410958903061</v>
      </c>
    </row>
    <row r="503" spans="1:12" x14ac:dyDescent="0.15">
      <c r="A503" s="3">
        <f>DATE(2001,8,1)</f>
        <v>37104</v>
      </c>
      <c r="B503" s="4">
        <v>3.6499999999999998E-2</v>
      </c>
      <c r="C503" s="12">
        <f t="shared" si="31"/>
        <v>3.6150000000000002E-2</v>
      </c>
      <c r="G503" s="3">
        <f>DATE(2001,9,1)</f>
        <v>37135</v>
      </c>
      <c r="H503" s="4">
        <v>3.0699999999999998E-2</v>
      </c>
      <c r="I503" s="12">
        <v>3.245E-2</v>
      </c>
      <c r="J503" s="4">
        <f t="shared" si="28"/>
        <v>2.3962111801242233E-2</v>
      </c>
      <c r="K503" s="9">
        <f t="shared" si="29"/>
        <v>3.0625000000000054E-6</v>
      </c>
      <c r="L503" s="10">
        <f t="shared" si="30"/>
        <v>5.700325732899028</v>
      </c>
    </row>
    <row r="504" spans="1:12" x14ac:dyDescent="0.15">
      <c r="A504" s="3">
        <f>DATE(2001,9,1)</f>
        <v>37135</v>
      </c>
      <c r="B504" s="4">
        <v>3.0699999999999998E-2</v>
      </c>
      <c r="C504" s="12">
        <f t="shared" si="31"/>
        <v>3.245E-2</v>
      </c>
      <c r="G504" s="3">
        <f>DATE(2001,10,1)</f>
        <v>37165</v>
      </c>
      <c r="H504" s="4">
        <v>2.4900000000000002E-2</v>
      </c>
      <c r="I504" s="12">
        <v>2.8250000000000001E-2</v>
      </c>
      <c r="J504" s="4">
        <f t="shared" si="28"/>
        <v>2.976211180124223E-2</v>
      </c>
      <c r="K504" s="9">
        <f t="shared" si="29"/>
        <v>1.1222499999999991E-5</v>
      </c>
      <c r="L504" s="10">
        <f t="shared" si="30"/>
        <v>13.453815261044172</v>
      </c>
    </row>
    <row r="505" spans="1:12" x14ac:dyDescent="0.15">
      <c r="A505" s="3">
        <f>DATE(2001,10,1)</f>
        <v>37165</v>
      </c>
      <c r="B505" s="4">
        <v>2.4900000000000002E-2</v>
      </c>
      <c r="C505" s="12">
        <f t="shared" si="31"/>
        <v>2.8250000000000001E-2</v>
      </c>
      <c r="G505" s="3">
        <f>DATE(2001,11,1)</f>
        <v>37196</v>
      </c>
      <c r="H505" s="4">
        <v>2.0899999999999998E-2</v>
      </c>
      <c r="I505" s="12">
        <v>2.3675000000000002E-2</v>
      </c>
      <c r="J505" s="4">
        <f t="shared" si="28"/>
        <v>3.3762111801242237E-2</v>
      </c>
      <c r="K505" s="9">
        <f t="shared" si="29"/>
        <v>7.7006250000000174E-6</v>
      </c>
      <c r="L505" s="10">
        <f t="shared" si="30"/>
        <v>13.277511961722505</v>
      </c>
    </row>
    <row r="506" spans="1:12" x14ac:dyDescent="0.15">
      <c r="A506" s="3">
        <f>DATE(2001,11,1)</f>
        <v>37196</v>
      </c>
      <c r="B506" s="4">
        <v>2.0899999999999998E-2</v>
      </c>
      <c r="C506" s="12">
        <f t="shared" si="31"/>
        <v>2.3675000000000002E-2</v>
      </c>
      <c r="G506" s="3">
        <f>DATE(2001,12,1)</f>
        <v>37226</v>
      </c>
      <c r="H506" s="4">
        <v>1.8200000000000001E-2</v>
      </c>
      <c r="I506" s="12">
        <v>2.0324999999999999E-2</v>
      </c>
      <c r="J506" s="4">
        <f t="shared" si="28"/>
        <v>3.6462111801242231E-2</v>
      </c>
      <c r="K506" s="9">
        <f t="shared" si="29"/>
        <v>4.5156249999999929E-6</v>
      </c>
      <c r="L506" s="10">
        <f t="shared" si="30"/>
        <v>11.675824175824166</v>
      </c>
    </row>
    <row r="507" spans="1:12" x14ac:dyDescent="0.15">
      <c r="A507" s="3">
        <f>DATE(2001,12,1)</f>
        <v>37226</v>
      </c>
      <c r="B507" s="4">
        <v>1.8200000000000001E-2</v>
      </c>
      <c r="C507" s="12">
        <f t="shared" si="31"/>
        <v>2.0324999999999999E-2</v>
      </c>
      <c r="G507" s="3">
        <f>DATE(2002,1,1)</f>
        <v>37257</v>
      </c>
      <c r="H507" s="4">
        <v>1.7299999999999999E-2</v>
      </c>
      <c r="I507" s="12">
        <v>1.8449999999999998E-2</v>
      </c>
      <c r="J507" s="4">
        <f t="shared" si="28"/>
        <v>3.7362111801242229E-2</v>
      </c>
      <c r="K507" s="9">
        <f t="shared" si="29"/>
        <v>1.322499999999996E-6</v>
      </c>
      <c r="L507" s="10">
        <f t="shared" si="30"/>
        <v>6.6473988439306257</v>
      </c>
    </row>
    <row r="508" spans="1:12" x14ac:dyDescent="0.15">
      <c r="A508" s="3">
        <f>DATE(2002,1,1)</f>
        <v>37257</v>
      </c>
      <c r="B508" s="4">
        <v>1.7299999999999999E-2</v>
      </c>
      <c r="C508" s="12">
        <f t="shared" si="31"/>
        <v>1.8449999999999998E-2</v>
      </c>
      <c r="G508" s="3">
        <f>DATE(2002,2,1)</f>
        <v>37288</v>
      </c>
      <c r="H508" s="4">
        <v>1.7399999999999999E-2</v>
      </c>
      <c r="I508" s="12">
        <v>1.755E-2</v>
      </c>
      <c r="J508" s="4">
        <f t="shared" si="28"/>
        <v>3.7262111801242233E-2</v>
      </c>
      <c r="K508" s="9">
        <f t="shared" si="29"/>
        <v>2.2500000000000248E-8</v>
      </c>
      <c r="L508" s="10">
        <f t="shared" si="30"/>
        <v>0.86206896551724621</v>
      </c>
    </row>
    <row r="509" spans="1:12" x14ac:dyDescent="0.15">
      <c r="A509" s="3">
        <f>DATE(2002,2,1)</f>
        <v>37288</v>
      </c>
      <c r="B509" s="4">
        <v>1.7399999999999999E-2</v>
      </c>
      <c r="C509" s="12">
        <f t="shared" si="31"/>
        <v>1.755E-2</v>
      </c>
      <c r="G509" s="3">
        <f>DATE(2002,3,1)</f>
        <v>37316</v>
      </c>
      <c r="H509" s="4">
        <v>1.7299999999999999E-2</v>
      </c>
      <c r="I509" s="12">
        <v>1.7374999999999998E-2</v>
      </c>
      <c r="J509" s="4">
        <f t="shared" si="28"/>
        <v>3.7362111801242229E-2</v>
      </c>
      <c r="K509" s="9">
        <f t="shared" si="29"/>
        <v>5.6249999999998022E-9</v>
      </c>
      <c r="L509" s="10">
        <f t="shared" si="30"/>
        <v>0.43352601156068604</v>
      </c>
    </row>
    <row r="510" spans="1:12" x14ac:dyDescent="0.15">
      <c r="A510" s="3">
        <f>DATE(2002,3,1)</f>
        <v>37316</v>
      </c>
      <c r="B510" s="4">
        <v>1.7299999999999999E-2</v>
      </c>
      <c r="C510" s="12">
        <f t="shared" si="31"/>
        <v>1.7374999999999998E-2</v>
      </c>
      <c r="G510" s="3">
        <f>DATE(2002,4,1)</f>
        <v>37347</v>
      </c>
      <c r="H510" s="4">
        <v>1.7500000000000002E-2</v>
      </c>
      <c r="I510" s="12">
        <v>1.7425E-2</v>
      </c>
      <c r="J510" s="4">
        <f t="shared" si="28"/>
        <v>3.716211180124223E-2</v>
      </c>
      <c r="K510" s="9">
        <f t="shared" si="29"/>
        <v>5.6250000000003225E-9</v>
      </c>
      <c r="L510" s="10">
        <f t="shared" si="30"/>
        <v>0.42857142857144082</v>
      </c>
    </row>
    <row r="511" spans="1:12" x14ac:dyDescent="0.15">
      <c r="A511" s="3">
        <f>DATE(2002,4,1)</f>
        <v>37347</v>
      </c>
      <c r="B511" s="4">
        <v>1.7500000000000002E-2</v>
      </c>
      <c r="C511" s="12">
        <f t="shared" si="31"/>
        <v>1.7425E-2</v>
      </c>
      <c r="G511" s="3">
        <f>DATE(2002,5,1)</f>
        <v>37377</v>
      </c>
      <c r="H511" s="4">
        <v>1.7500000000000002E-2</v>
      </c>
      <c r="I511" s="12">
        <v>1.745E-2</v>
      </c>
      <c r="J511" s="4">
        <f t="shared" si="28"/>
        <v>3.716211180124223E-2</v>
      </c>
      <c r="K511" s="9">
        <f t="shared" si="29"/>
        <v>2.5000000000001432E-9</v>
      </c>
      <c r="L511" s="10">
        <f t="shared" si="30"/>
        <v>0.28571428571429386</v>
      </c>
    </row>
    <row r="512" spans="1:12" x14ac:dyDescent="0.15">
      <c r="A512" s="3">
        <f>DATE(2002,5,1)</f>
        <v>37377</v>
      </c>
      <c r="B512" s="4">
        <v>1.7500000000000002E-2</v>
      </c>
      <c r="C512" s="12">
        <f t="shared" si="31"/>
        <v>1.745E-2</v>
      </c>
      <c r="G512" s="3">
        <f>DATE(2002,6,1)</f>
        <v>37408</v>
      </c>
      <c r="H512" s="4">
        <v>1.7500000000000002E-2</v>
      </c>
      <c r="I512" s="12">
        <v>1.745E-2</v>
      </c>
      <c r="J512" s="4">
        <f t="shared" si="28"/>
        <v>3.716211180124223E-2</v>
      </c>
      <c r="K512" s="9">
        <f t="shared" si="29"/>
        <v>2.5000000000001432E-9</v>
      </c>
      <c r="L512" s="10">
        <f t="shared" si="30"/>
        <v>0.28571428571429386</v>
      </c>
    </row>
    <row r="513" spans="1:12" x14ac:dyDescent="0.15">
      <c r="A513" s="3">
        <f>DATE(2002,6,1)</f>
        <v>37408</v>
      </c>
      <c r="B513" s="4">
        <v>1.7500000000000002E-2</v>
      </c>
      <c r="C513" s="12">
        <f t="shared" si="31"/>
        <v>1.745E-2</v>
      </c>
      <c r="G513" s="3">
        <f>DATE(2002,7,1)</f>
        <v>37438</v>
      </c>
      <c r="H513" s="4">
        <v>1.7299999999999999E-2</v>
      </c>
      <c r="I513" s="12">
        <v>1.7425E-2</v>
      </c>
      <c r="J513" s="4">
        <f t="shared" si="28"/>
        <v>3.7362111801242229E-2</v>
      </c>
      <c r="K513" s="9">
        <f t="shared" si="29"/>
        <v>1.5625000000000029E-8</v>
      </c>
      <c r="L513" s="10">
        <f t="shared" si="30"/>
        <v>0.72254335260115676</v>
      </c>
    </row>
    <row r="514" spans="1:12" x14ac:dyDescent="0.15">
      <c r="A514" s="3">
        <f>DATE(2002,7,1)</f>
        <v>37438</v>
      </c>
      <c r="B514" s="4">
        <v>1.7299999999999999E-2</v>
      </c>
      <c r="C514" s="12">
        <f t="shared" si="31"/>
        <v>1.7425E-2</v>
      </c>
      <c r="G514" s="3">
        <f>DATE(2002,8,1)</f>
        <v>37469</v>
      </c>
      <c r="H514" s="4">
        <v>1.7399999999999999E-2</v>
      </c>
      <c r="I514" s="12">
        <v>1.7425E-2</v>
      </c>
      <c r="J514" s="4">
        <f t="shared" si="28"/>
        <v>3.7262111801242233E-2</v>
      </c>
      <c r="K514" s="9">
        <f t="shared" si="29"/>
        <v>6.2500000000003579E-10</v>
      </c>
      <c r="L514" s="10">
        <f t="shared" si="30"/>
        <v>0.14367816091954436</v>
      </c>
    </row>
    <row r="515" spans="1:12" x14ac:dyDescent="0.15">
      <c r="A515" s="3">
        <f>DATE(2002,8,1)</f>
        <v>37469</v>
      </c>
      <c r="B515" s="4">
        <v>1.7399999999999999E-2</v>
      </c>
      <c r="C515" s="12">
        <f t="shared" si="31"/>
        <v>1.7425E-2</v>
      </c>
      <c r="G515" s="3">
        <f>DATE(2002,9,1)</f>
        <v>37500</v>
      </c>
      <c r="H515" s="4">
        <v>1.7500000000000002E-2</v>
      </c>
      <c r="I515" s="12">
        <v>1.7425E-2</v>
      </c>
      <c r="J515" s="4">
        <f t="shared" si="28"/>
        <v>3.716211180124223E-2</v>
      </c>
      <c r="K515" s="9">
        <f t="shared" si="29"/>
        <v>5.6250000000003225E-9</v>
      </c>
      <c r="L515" s="10">
        <f t="shared" si="30"/>
        <v>0.42857142857144082</v>
      </c>
    </row>
    <row r="516" spans="1:12" x14ac:dyDescent="0.15">
      <c r="A516" s="3">
        <f>DATE(2002,9,1)</f>
        <v>37500</v>
      </c>
      <c r="B516" s="4">
        <v>1.7500000000000002E-2</v>
      </c>
      <c r="C516" s="12">
        <f t="shared" si="31"/>
        <v>1.7425E-2</v>
      </c>
      <c r="G516" s="3">
        <f>DATE(2002,10,1)</f>
        <v>37530</v>
      </c>
      <c r="H516" s="4">
        <v>1.7500000000000002E-2</v>
      </c>
      <c r="I516" s="12">
        <v>1.6449999999999999E-2</v>
      </c>
      <c r="J516" s="4">
        <f t="shared" si="28"/>
        <v>3.716211180124223E-2</v>
      </c>
      <c r="K516" s="9">
        <f t="shared" si="29"/>
        <v>1.1025000000000049E-6</v>
      </c>
      <c r="L516" s="10">
        <f t="shared" si="30"/>
        <v>6.0000000000000133</v>
      </c>
    </row>
    <row r="517" spans="1:12" x14ac:dyDescent="0.15">
      <c r="A517" s="3">
        <f>DATE(2002,10,1)</f>
        <v>37530</v>
      </c>
      <c r="B517" s="4">
        <v>1.7500000000000002E-2</v>
      </c>
      <c r="C517" s="12">
        <f t="shared" si="31"/>
        <v>1.6449999999999999E-2</v>
      </c>
      <c r="G517" s="3">
        <f>DATE(2002,11,1)</f>
        <v>37561</v>
      </c>
      <c r="H517" s="4">
        <v>1.34E-2</v>
      </c>
      <c r="I517" s="12">
        <v>1.5200000000000002E-2</v>
      </c>
      <c r="J517" s="4">
        <f t="shared" si="28"/>
        <v>4.1262111801242229E-2</v>
      </c>
      <c r="K517" s="9">
        <f t="shared" si="29"/>
        <v>3.2400000000000046E-6</v>
      </c>
      <c r="L517" s="10">
        <f t="shared" si="30"/>
        <v>13.43283582089553</v>
      </c>
    </row>
    <row r="518" spans="1:12" x14ac:dyDescent="0.15">
      <c r="A518" s="3">
        <f>DATE(2002,11,1)</f>
        <v>37561</v>
      </c>
      <c r="B518" s="4">
        <v>1.34E-2</v>
      </c>
      <c r="C518" s="12">
        <f t="shared" si="31"/>
        <v>1.5200000000000002E-2</v>
      </c>
      <c r="G518" s="3">
        <f>DATE(2002,12,1)</f>
        <v>37591</v>
      </c>
      <c r="H518" s="4">
        <v>1.24E-2</v>
      </c>
      <c r="I518" s="12">
        <v>1.3925000000000002E-2</v>
      </c>
      <c r="J518" s="4">
        <f t="shared" ref="J518:J581" si="32">ABS(H518-$Q$4)</f>
        <v>4.226211180124223E-2</v>
      </c>
      <c r="K518" s="9">
        <f t="shared" ref="K518:K581" si="33">(H518-I518)^2</f>
        <v>2.3256250000000062E-6</v>
      </c>
      <c r="L518" s="10">
        <f t="shared" ref="L518:L581" si="34">ABS(H518-I518)/H518*100</f>
        <v>12.29838709677421</v>
      </c>
    </row>
    <row r="519" spans="1:12" x14ac:dyDescent="0.15">
      <c r="A519" s="3">
        <f>DATE(2002,12,1)</f>
        <v>37591</v>
      </c>
      <c r="B519" s="4">
        <v>1.24E-2</v>
      </c>
      <c r="C519" s="12">
        <f t="shared" ref="C519:C582" si="35">(B517+B518+B519+B520)/4</f>
        <v>1.3925000000000002E-2</v>
      </c>
      <c r="G519" s="3">
        <f>DATE(2003,1,1)</f>
        <v>37622</v>
      </c>
      <c r="H519" s="4">
        <v>1.24E-2</v>
      </c>
      <c r="I519" s="12">
        <v>1.2699999999999999E-2</v>
      </c>
      <c r="J519" s="4">
        <f t="shared" si="32"/>
        <v>4.226211180124223E-2</v>
      </c>
      <c r="K519" s="9">
        <f t="shared" si="33"/>
        <v>8.9999999999999946E-8</v>
      </c>
      <c r="L519" s="10">
        <f t="shared" si="34"/>
        <v>2.419354838709677</v>
      </c>
    </row>
    <row r="520" spans="1:12" x14ac:dyDescent="0.15">
      <c r="A520" s="3">
        <f>DATE(2003,1,1)</f>
        <v>37622</v>
      </c>
      <c r="B520" s="4">
        <v>1.24E-2</v>
      </c>
      <c r="C520" s="12">
        <f t="shared" si="35"/>
        <v>1.2699999999999999E-2</v>
      </c>
      <c r="G520" s="3">
        <f>DATE(2003,2,1)</f>
        <v>37653</v>
      </c>
      <c r="H520" s="4">
        <v>1.26E-2</v>
      </c>
      <c r="I520" s="12">
        <v>1.2475E-2</v>
      </c>
      <c r="J520" s="4">
        <f t="shared" si="32"/>
        <v>4.2062111801242232E-2</v>
      </c>
      <c r="K520" s="9">
        <f t="shared" si="33"/>
        <v>1.5625000000000029E-8</v>
      </c>
      <c r="L520" s="10">
        <f t="shared" si="34"/>
        <v>0.99206349206349287</v>
      </c>
    </row>
    <row r="521" spans="1:12" x14ac:dyDescent="0.15">
      <c r="A521" s="3">
        <f>DATE(2003,2,1)</f>
        <v>37653</v>
      </c>
      <c r="B521" s="4">
        <v>1.26E-2</v>
      </c>
      <c r="C521" s="12">
        <f t="shared" si="35"/>
        <v>1.2475E-2</v>
      </c>
      <c r="G521" s="3">
        <f>DATE(2003,3,1)</f>
        <v>37681</v>
      </c>
      <c r="H521" s="4">
        <v>1.2500000000000001E-2</v>
      </c>
      <c r="I521" s="12">
        <v>1.2525000000000001E-2</v>
      </c>
      <c r="J521" s="4">
        <f t="shared" si="32"/>
        <v>4.2162111801242227E-2</v>
      </c>
      <c r="K521" s="9">
        <f t="shared" si="33"/>
        <v>6.2500000000003579E-10</v>
      </c>
      <c r="L521" s="10">
        <f t="shared" si="34"/>
        <v>0.20000000000000573</v>
      </c>
    </row>
    <row r="522" spans="1:12" x14ac:dyDescent="0.15">
      <c r="A522" s="3">
        <f>DATE(2003,3,1)</f>
        <v>37681</v>
      </c>
      <c r="B522" s="4">
        <v>1.2500000000000001E-2</v>
      </c>
      <c r="C522" s="12">
        <f t="shared" si="35"/>
        <v>1.2525000000000001E-2</v>
      </c>
      <c r="G522" s="3">
        <f>DATE(2003,4,1)</f>
        <v>37712</v>
      </c>
      <c r="H522" s="4">
        <v>1.26E-2</v>
      </c>
      <c r="I522" s="12">
        <v>1.2574999999999999E-2</v>
      </c>
      <c r="J522" s="4">
        <f t="shared" si="32"/>
        <v>4.2062111801242232E-2</v>
      </c>
      <c r="K522" s="9">
        <f t="shared" si="33"/>
        <v>6.2500000000003579E-10</v>
      </c>
      <c r="L522" s="10">
        <f t="shared" si="34"/>
        <v>0.19841269841270409</v>
      </c>
    </row>
    <row r="523" spans="1:12" x14ac:dyDescent="0.15">
      <c r="A523" s="3">
        <f>DATE(2003,4,1)</f>
        <v>37712</v>
      </c>
      <c r="B523" s="4">
        <v>1.26E-2</v>
      </c>
      <c r="C523" s="12">
        <f t="shared" si="35"/>
        <v>1.2574999999999999E-2</v>
      </c>
      <c r="G523" s="3">
        <f>DATE(2003,5,1)</f>
        <v>37742</v>
      </c>
      <c r="H523" s="4">
        <v>1.26E-2</v>
      </c>
      <c r="I523" s="12">
        <v>1.2475E-2</v>
      </c>
      <c r="J523" s="4">
        <f t="shared" si="32"/>
        <v>4.2062111801242232E-2</v>
      </c>
      <c r="K523" s="9">
        <f t="shared" si="33"/>
        <v>1.5625000000000029E-8</v>
      </c>
      <c r="L523" s="10">
        <f t="shared" si="34"/>
        <v>0.99206349206349287</v>
      </c>
    </row>
    <row r="524" spans="1:12" x14ac:dyDescent="0.15">
      <c r="A524" s="3">
        <f>DATE(2003,5,1)</f>
        <v>37742</v>
      </c>
      <c r="B524" s="4">
        <v>1.26E-2</v>
      </c>
      <c r="C524" s="12">
        <f t="shared" si="35"/>
        <v>1.2475E-2</v>
      </c>
      <c r="G524" s="3">
        <f>DATE(2003,6,1)</f>
        <v>37773</v>
      </c>
      <c r="H524" s="4">
        <v>1.2199999999999999E-2</v>
      </c>
      <c r="I524" s="12">
        <v>1.1875E-2</v>
      </c>
      <c r="J524" s="4">
        <f t="shared" si="32"/>
        <v>4.2462111801242236E-2</v>
      </c>
      <c r="K524" s="9">
        <f t="shared" si="33"/>
        <v>1.0562499999999928E-7</v>
      </c>
      <c r="L524" s="10">
        <f t="shared" si="34"/>
        <v>2.6639344262294995</v>
      </c>
    </row>
    <row r="525" spans="1:12" x14ac:dyDescent="0.15">
      <c r="A525" s="3">
        <f>DATE(2003,6,1)</f>
        <v>37773</v>
      </c>
      <c r="B525" s="4">
        <v>1.2199999999999999E-2</v>
      </c>
      <c r="C525" s="12">
        <f t="shared" si="35"/>
        <v>1.1875E-2</v>
      </c>
      <c r="G525" s="3">
        <f>DATE(2003,7,1)</f>
        <v>37803</v>
      </c>
      <c r="H525" s="4">
        <v>1.01E-2</v>
      </c>
      <c r="I525" s="12">
        <v>1.1300000000000001E-2</v>
      </c>
      <c r="J525" s="4">
        <f t="shared" si="32"/>
        <v>4.4562111801242234E-2</v>
      </c>
      <c r="K525" s="9">
        <f t="shared" si="33"/>
        <v>1.4400000000000034E-6</v>
      </c>
      <c r="L525" s="10">
        <f t="shared" si="34"/>
        <v>11.881188118811895</v>
      </c>
    </row>
    <row r="526" spans="1:12" x14ac:dyDescent="0.15">
      <c r="A526" s="3">
        <f>DATE(2003,7,1)</f>
        <v>37803</v>
      </c>
      <c r="B526" s="4">
        <v>1.01E-2</v>
      </c>
      <c r="C526" s="12">
        <f t="shared" si="35"/>
        <v>1.1300000000000001E-2</v>
      </c>
      <c r="G526" s="3">
        <f>DATE(2003,8,1)</f>
        <v>37834</v>
      </c>
      <c r="H526" s="4">
        <v>1.03E-2</v>
      </c>
      <c r="I526" s="12">
        <v>1.0675E-2</v>
      </c>
      <c r="J526" s="4">
        <f t="shared" si="32"/>
        <v>4.4362111801242235E-2</v>
      </c>
      <c r="K526" s="9">
        <f t="shared" si="33"/>
        <v>1.4062500000000024E-7</v>
      </c>
      <c r="L526" s="10">
        <f t="shared" si="34"/>
        <v>3.6407766990291295</v>
      </c>
    </row>
    <row r="527" spans="1:12" x14ac:dyDescent="0.15">
      <c r="A527" s="3">
        <f>DATE(2003,8,1)</f>
        <v>37834</v>
      </c>
      <c r="B527" s="4">
        <v>1.03E-2</v>
      </c>
      <c r="C527" s="12">
        <f t="shared" si="35"/>
        <v>1.0675E-2</v>
      </c>
      <c r="G527" s="3">
        <f>DATE(2003,9,1)</f>
        <v>37865</v>
      </c>
      <c r="H527" s="4">
        <v>1.01E-2</v>
      </c>
      <c r="I527" s="12">
        <v>1.0149999999999999E-2</v>
      </c>
      <c r="J527" s="4">
        <f t="shared" si="32"/>
        <v>4.4562111801242234E-2</v>
      </c>
      <c r="K527" s="9">
        <f t="shared" si="33"/>
        <v>2.4999999999999699E-9</v>
      </c>
      <c r="L527" s="10">
        <f t="shared" si="34"/>
        <v>0.4950495049504921</v>
      </c>
    </row>
    <row r="528" spans="1:12" x14ac:dyDescent="0.15">
      <c r="A528" s="3">
        <f>DATE(2003,9,1)</f>
        <v>37865</v>
      </c>
      <c r="B528" s="4">
        <v>1.01E-2</v>
      </c>
      <c r="C528" s="12">
        <f t="shared" si="35"/>
        <v>1.0149999999999999E-2</v>
      </c>
      <c r="G528" s="3">
        <f>DATE(2003,10,1)</f>
        <v>37895</v>
      </c>
      <c r="H528" s="4">
        <v>1.01E-2</v>
      </c>
      <c r="I528" s="12">
        <v>1.0125E-2</v>
      </c>
      <c r="J528" s="4">
        <f t="shared" si="32"/>
        <v>4.4562111801242234E-2</v>
      </c>
      <c r="K528" s="9">
        <f t="shared" si="33"/>
        <v>6.2500000000003579E-10</v>
      </c>
      <c r="L528" s="10">
        <f t="shared" si="34"/>
        <v>0.24752475247525463</v>
      </c>
    </row>
    <row r="529" spans="1:12" x14ac:dyDescent="0.15">
      <c r="A529" s="3">
        <f>DATE(2003,10,1)</f>
        <v>37895</v>
      </c>
      <c r="B529" s="4">
        <v>1.01E-2</v>
      </c>
      <c r="C529" s="12">
        <f t="shared" si="35"/>
        <v>1.0125E-2</v>
      </c>
      <c r="G529" s="3">
        <f>DATE(2003,11,1)</f>
        <v>37926</v>
      </c>
      <c r="H529" s="4">
        <v>0.01</v>
      </c>
      <c r="I529" s="12">
        <v>9.9999999999999985E-3</v>
      </c>
      <c r="J529" s="4">
        <f t="shared" si="32"/>
        <v>4.466211180124223E-2</v>
      </c>
      <c r="K529" s="9">
        <f t="shared" si="33"/>
        <v>3.009265538105056E-36</v>
      </c>
      <c r="L529" s="10">
        <f t="shared" si="34"/>
        <v>1.7347234759768071E-14</v>
      </c>
    </row>
    <row r="530" spans="1:12" x14ac:dyDescent="0.15">
      <c r="A530" s="3">
        <f>DATE(2003,11,1)</f>
        <v>37926</v>
      </c>
      <c r="B530" s="4">
        <v>0.01</v>
      </c>
      <c r="C530" s="12">
        <f t="shared" si="35"/>
        <v>9.9999999999999985E-3</v>
      </c>
      <c r="G530" s="3">
        <f>DATE(2003,12,1)</f>
        <v>37956</v>
      </c>
      <c r="H530" s="4">
        <v>9.7999999999999997E-3</v>
      </c>
      <c r="I530" s="12">
        <v>9.9749999999999995E-3</v>
      </c>
      <c r="J530" s="4">
        <f t="shared" si="32"/>
        <v>4.4862111801242235E-2</v>
      </c>
      <c r="K530" s="9">
        <f t="shared" si="33"/>
        <v>3.0624999999999932E-8</v>
      </c>
      <c r="L530" s="10">
        <f t="shared" si="34"/>
        <v>1.7857142857142838</v>
      </c>
    </row>
    <row r="531" spans="1:12" x14ac:dyDescent="0.15">
      <c r="A531" s="3">
        <f>DATE(2003,12,1)</f>
        <v>37956</v>
      </c>
      <c r="B531" s="4">
        <v>9.7999999999999997E-3</v>
      </c>
      <c r="C531" s="12">
        <f t="shared" si="35"/>
        <v>9.9749999999999995E-3</v>
      </c>
      <c r="G531" s="3">
        <f>DATE(2004,1,1)</f>
        <v>37987</v>
      </c>
      <c r="H531" s="4">
        <v>0.01</v>
      </c>
      <c r="I531" s="12">
        <v>9.9749999999999995E-3</v>
      </c>
      <c r="J531" s="4">
        <f t="shared" si="32"/>
        <v>4.466211180124223E-2</v>
      </c>
      <c r="K531" s="9">
        <f t="shared" si="33"/>
        <v>6.2500000000003579E-10</v>
      </c>
      <c r="L531" s="10">
        <f t="shared" si="34"/>
        <v>0.25000000000000716</v>
      </c>
    </row>
    <row r="532" spans="1:12" x14ac:dyDescent="0.15">
      <c r="A532" s="3">
        <f>DATE(2004,1,1)</f>
        <v>37987</v>
      </c>
      <c r="B532" s="4">
        <v>0.01</v>
      </c>
      <c r="C532" s="12">
        <f t="shared" si="35"/>
        <v>9.9749999999999995E-3</v>
      </c>
      <c r="G532" s="3">
        <f>DATE(2004,2,1)</f>
        <v>38018</v>
      </c>
      <c r="H532" s="4">
        <v>1.01E-2</v>
      </c>
      <c r="I532" s="12">
        <v>9.9749999999999995E-3</v>
      </c>
      <c r="J532" s="4">
        <f t="shared" si="32"/>
        <v>4.4562111801242234E-2</v>
      </c>
      <c r="K532" s="9">
        <f t="shared" si="33"/>
        <v>1.5625000000000029E-8</v>
      </c>
      <c r="L532" s="10">
        <f t="shared" si="34"/>
        <v>1.2376237623762387</v>
      </c>
    </row>
    <row r="533" spans="1:12" x14ac:dyDescent="0.15">
      <c r="A533" s="3">
        <f>DATE(2004,2,1)</f>
        <v>38018</v>
      </c>
      <c r="B533" s="4">
        <v>1.01E-2</v>
      </c>
      <c r="C533" s="12">
        <f t="shared" si="35"/>
        <v>9.9749999999999995E-3</v>
      </c>
      <c r="G533" s="3">
        <f>DATE(2004,3,1)</f>
        <v>38047</v>
      </c>
      <c r="H533" s="4">
        <v>0.01</v>
      </c>
      <c r="I533" s="12">
        <v>1.0025000000000001E-2</v>
      </c>
      <c r="J533" s="4">
        <f t="shared" si="32"/>
        <v>4.466211180124223E-2</v>
      </c>
      <c r="K533" s="9">
        <f t="shared" si="33"/>
        <v>6.2500000000003579E-10</v>
      </c>
      <c r="L533" s="10">
        <f t="shared" si="34"/>
        <v>0.25000000000000716</v>
      </c>
    </row>
    <row r="534" spans="1:12" x14ac:dyDescent="0.15">
      <c r="A534" s="3">
        <f>DATE(2004,3,1)</f>
        <v>38047</v>
      </c>
      <c r="B534" s="4">
        <v>0.01</v>
      </c>
      <c r="C534" s="12">
        <f t="shared" si="35"/>
        <v>1.0025000000000001E-2</v>
      </c>
      <c r="G534" s="3">
        <f>DATE(2004,4,1)</f>
        <v>38078</v>
      </c>
      <c r="H534" s="4">
        <v>0.01</v>
      </c>
      <c r="I534" s="12">
        <v>1.0025000000000001E-2</v>
      </c>
      <c r="J534" s="4">
        <f t="shared" si="32"/>
        <v>4.466211180124223E-2</v>
      </c>
      <c r="K534" s="9">
        <f t="shared" si="33"/>
        <v>6.2500000000003579E-10</v>
      </c>
      <c r="L534" s="10">
        <f t="shared" si="34"/>
        <v>0.25000000000000716</v>
      </c>
    </row>
    <row r="535" spans="1:12" x14ac:dyDescent="0.15">
      <c r="A535" s="3">
        <f>DATE(2004,4,1)</f>
        <v>38078</v>
      </c>
      <c r="B535" s="4">
        <v>0.01</v>
      </c>
      <c r="C535" s="12">
        <f t="shared" si="35"/>
        <v>1.0025000000000001E-2</v>
      </c>
      <c r="G535" s="3">
        <f>DATE(2004,5,1)</f>
        <v>38108</v>
      </c>
      <c r="H535" s="4">
        <v>0.01</v>
      </c>
      <c r="I535" s="12">
        <v>1.0075000000000001E-2</v>
      </c>
      <c r="J535" s="4">
        <f t="shared" si="32"/>
        <v>4.466211180124223E-2</v>
      </c>
      <c r="K535" s="9">
        <f t="shared" si="33"/>
        <v>5.6250000000000619E-9</v>
      </c>
      <c r="L535" s="10">
        <f t="shared" si="34"/>
        <v>0.75000000000000411</v>
      </c>
    </row>
    <row r="536" spans="1:12" x14ac:dyDescent="0.15">
      <c r="A536" s="3">
        <f>DATE(2004,5,1)</f>
        <v>38108</v>
      </c>
      <c r="B536" s="4">
        <v>0.01</v>
      </c>
      <c r="C536" s="12">
        <f t="shared" si="35"/>
        <v>1.0075000000000001E-2</v>
      </c>
      <c r="G536" s="3">
        <f>DATE(2004,6,1)</f>
        <v>38139</v>
      </c>
      <c r="H536" s="4">
        <v>1.03E-2</v>
      </c>
      <c r="I536" s="12">
        <v>1.0725E-2</v>
      </c>
      <c r="J536" s="4">
        <f t="shared" si="32"/>
        <v>4.4362111801242235E-2</v>
      </c>
      <c r="K536" s="9">
        <f t="shared" si="33"/>
        <v>1.8062500000000002E-7</v>
      </c>
      <c r="L536" s="10">
        <f t="shared" si="34"/>
        <v>4.1262135922330101</v>
      </c>
    </row>
    <row r="537" spans="1:12" x14ac:dyDescent="0.15">
      <c r="A537" s="3">
        <f>DATE(2004,6,1)</f>
        <v>38139</v>
      </c>
      <c r="B537" s="4">
        <v>1.03E-2</v>
      </c>
      <c r="C537" s="12">
        <f t="shared" si="35"/>
        <v>1.0725E-2</v>
      </c>
      <c r="G537" s="3">
        <f>DATE(2004,7,1)</f>
        <v>38169</v>
      </c>
      <c r="H537" s="4">
        <v>1.26E-2</v>
      </c>
      <c r="I537" s="12">
        <v>1.18E-2</v>
      </c>
      <c r="J537" s="4">
        <f t="shared" si="32"/>
        <v>4.2062111801242232E-2</v>
      </c>
      <c r="K537" s="9">
        <f t="shared" si="33"/>
        <v>6.4000000000000054E-7</v>
      </c>
      <c r="L537" s="10">
        <f t="shared" si="34"/>
        <v>6.3492063492063515</v>
      </c>
    </row>
    <row r="538" spans="1:12" x14ac:dyDescent="0.15">
      <c r="A538" s="3">
        <f>DATE(2004,7,1)</f>
        <v>38169</v>
      </c>
      <c r="B538" s="4">
        <v>1.26E-2</v>
      </c>
      <c r="C538" s="12">
        <f t="shared" si="35"/>
        <v>1.18E-2</v>
      </c>
      <c r="G538" s="3">
        <f>DATE(2004,8,1)</f>
        <v>38200</v>
      </c>
      <c r="H538" s="4">
        <v>1.43E-2</v>
      </c>
      <c r="I538" s="12">
        <v>1.3325E-2</v>
      </c>
      <c r="J538" s="4">
        <f t="shared" si="32"/>
        <v>4.0362111801242231E-2</v>
      </c>
      <c r="K538" s="9">
        <f t="shared" si="33"/>
        <v>9.5062500000000032E-7</v>
      </c>
      <c r="L538" s="10">
        <f t="shared" si="34"/>
        <v>6.8181818181818192</v>
      </c>
    </row>
    <row r="539" spans="1:12" x14ac:dyDescent="0.15">
      <c r="A539" s="3">
        <f>DATE(2004,8,1)</f>
        <v>38200</v>
      </c>
      <c r="B539" s="4">
        <v>1.43E-2</v>
      </c>
      <c r="C539" s="12">
        <f t="shared" si="35"/>
        <v>1.3325E-2</v>
      </c>
      <c r="G539" s="3">
        <f>DATE(2004,9,1)</f>
        <v>38231</v>
      </c>
      <c r="H539" s="4">
        <v>1.61E-2</v>
      </c>
      <c r="I539" s="12">
        <v>1.515E-2</v>
      </c>
      <c r="J539" s="4">
        <f t="shared" si="32"/>
        <v>3.8562111801242235E-2</v>
      </c>
      <c r="K539" s="9">
        <f t="shared" si="33"/>
        <v>9.0249999999999898E-7</v>
      </c>
      <c r="L539" s="10">
        <f t="shared" si="34"/>
        <v>5.9006211180124186</v>
      </c>
    </row>
    <row r="540" spans="1:12" x14ac:dyDescent="0.15">
      <c r="A540" s="3">
        <f>DATE(2004,9,1)</f>
        <v>38231</v>
      </c>
      <c r="B540" s="4">
        <v>1.61E-2</v>
      </c>
      <c r="C540" s="12">
        <f t="shared" si="35"/>
        <v>1.515E-2</v>
      </c>
      <c r="G540" s="3">
        <f>DATE(2004,10,1)</f>
        <v>38261</v>
      </c>
      <c r="H540" s="4">
        <v>1.7600000000000001E-2</v>
      </c>
      <c r="I540" s="12">
        <v>1.6825E-2</v>
      </c>
      <c r="J540" s="4">
        <f t="shared" si="32"/>
        <v>3.7062111801242234E-2</v>
      </c>
      <c r="K540" s="9">
        <f t="shared" si="33"/>
        <v>6.0062500000000219E-7</v>
      </c>
      <c r="L540" s="10">
        <f t="shared" si="34"/>
        <v>4.4034090909090988</v>
      </c>
    </row>
    <row r="541" spans="1:12" x14ac:dyDescent="0.15">
      <c r="A541" s="3">
        <f>DATE(2004,10,1)</f>
        <v>38261</v>
      </c>
      <c r="B541" s="4">
        <v>1.7600000000000001E-2</v>
      </c>
      <c r="C541" s="12">
        <f t="shared" si="35"/>
        <v>1.6825E-2</v>
      </c>
      <c r="G541" s="3">
        <f>DATE(2004,11,1)</f>
        <v>38292</v>
      </c>
      <c r="H541" s="4">
        <v>1.9299999999999998E-2</v>
      </c>
      <c r="I541" s="12">
        <v>1.865E-2</v>
      </c>
      <c r="J541" s="4">
        <f t="shared" si="32"/>
        <v>3.5362111801242234E-2</v>
      </c>
      <c r="K541" s="9">
        <f t="shared" si="33"/>
        <v>4.2249999999999712E-7</v>
      </c>
      <c r="L541" s="10">
        <f t="shared" si="34"/>
        <v>3.3678756476683827</v>
      </c>
    </row>
    <row r="542" spans="1:12" x14ac:dyDescent="0.15">
      <c r="A542" s="3">
        <f>DATE(2004,11,1)</f>
        <v>38292</v>
      </c>
      <c r="B542" s="4">
        <v>1.9299999999999998E-2</v>
      </c>
      <c r="C542" s="12">
        <f t="shared" si="35"/>
        <v>1.865E-2</v>
      </c>
      <c r="G542" s="3">
        <f>DATE(2004,12,1)</f>
        <v>38322</v>
      </c>
      <c r="H542" s="4">
        <v>2.1600000000000001E-2</v>
      </c>
      <c r="I542" s="12">
        <v>2.0324999999999999E-2</v>
      </c>
      <c r="J542" s="4">
        <f t="shared" si="32"/>
        <v>3.306211180124223E-2</v>
      </c>
      <c r="K542" s="9">
        <f t="shared" si="33"/>
        <v>1.6256250000000047E-6</v>
      </c>
      <c r="L542" s="10">
        <f t="shared" si="34"/>
        <v>5.9027777777777857</v>
      </c>
    </row>
    <row r="543" spans="1:12" x14ac:dyDescent="0.15">
      <c r="A543" s="3">
        <f>DATE(2004,12,1)</f>
        <v>38322</v>
      </c>
      <c r="B543" s="4">
        <v>2.1600000000000001E-2</v>
      </c>
      <c r="C543" s="12">
        <f t="shared" si="35"/>
        <v>2.0324999999999999E-2</v>
      </c>
      <c r="G543" s="3">
        <f>DATE(2005,1,1)</f>
        <v>38353</v>
      </c>
      <c r="H543" s="4">
        <v>2.2799999999999997E-2</v>
      </c>
      <c r="I543" s="12">
        <v>2.2175E-2</v>
      </c>
      <c r="J543" s="4">
        <f t="shared" si="32"/>
        <v>3.1862111801242238E-2</v>
      </c>
      <c r="K543" s="9">
        <f t="shared" si="33"/>
        <v>3.9062499999999637E-7</v>
      </c>
      <c r="L543" s="10">
        <f t="shared" si="34"/>
        <v>2.7412280701754264</v>
      </c>
    </row>
    <row r="544" spans="1:12" x14ac:dyDescent="0.15">
      <c r="A544" s="3">
        <f>DATE(2005,1,1)</f>
        <v>38353</v>
      </c>
      <c r="B544" s="4">
        <v>2.2799999999999997E-2</v>
      </c>
      <c r="C544" s="12">
        <f t="shared" si="35"/>
        <v>2.2175E-2</v>
      </c>
      <c r="G544" s="3">
        <f>DATE(2005,2,1)</f>
        <v>38384</v>
      </c>
      <c r="H544" s="4">
        <v>2.5000000000000001E-2</v>
      </c>
      <c r="I544" s="12">
        <v>2.3924999999999998E-2</v>
      </c>
      <c r="J544" s="4">
        <f t="shared" si="32"/>
        <v>2.966211180124223E-2</v>
      </c>
      <c r="K544" s="9">
        <f t="shared" si="33"/>
        <v>1.1556250000000066E-6</v>
      </c>
      <c r="L544" s="10">
        <f t="shared" si="34"/>
        <v>4.3000000000000123</v>
      </c>
    </row>
    <row r="545" spans="1:12" x14ac:dyDescent="0.15">
      <c r="A545" s="3">
        <f>DATE(2005,2,1)</f>
        <v>38384</v>
      </c>
      <c r="B545" s="4">
        <v>2.5000000000000001E-2</v>
      </c>
      <c r="C545" s="12">
        <f t="shared" si="35"/>
        <v>2.3924999999999998E-2</v>
      </c>
      <c r="G545" s="3">
        <f>DATE(2005,3,1)</f>
        <v>38412</v>
      </c>
      <c r="H545" s="4">
        <v>2.63E-2</v>
      </c>
      <c r="I545" s="12">
        <v>2.5500000000000002E-2</v>
      </c>
      <c r="J545" s="4">
        <f t="shared" si="32"/>
        <v>2.8362111801242231E-2</v>
      </c>
      <c r="K545" s="9">
        <f t="shared" si="33"/>
        <v>6.3999999999999779E-7</v>
      </c>
      <c r="L545" s="10">
        <f t="shared" si="34"/>
        <v>3.0418250950570291</v>
      </c>
    </row>
    <row r="546" spans="1:12" x14ac:dyDescent="0.15">
      <c r="A546" s="3">
        <f>DATE(2005,3,1)</f>
        <v>38412</v>
      </c>
      <c r="B546" s="4">
        <v>2.63E-2</v>
      </c>
      <c r="C546" s="12">
        <f t="shared" si="35"/>
        <v>2.5500000000000002E-2</v>
      </c>
      <c r="G546" s="3">
        <f>DATE(2005,4,1)</f>
        <v>38443</v>
      </c>
      <c r="H546" s="4">
        <v>2.7900000000000001E-2</v>
      </c>
      <c r="I546" s="12">
        <v>2.7299999999999998E-2</v>
      </c>
      <c r="J546" s="4">
        <f t="shared" si="32"/>
        <v>2.676211180124223E-2</v>
      </c>
      <c r="K546" s="9">
        <f t="shared" si="33"/>
        <v>3.6000000000000396E-7</v>
      </c>
      <c r="L546" s="10">
        <f t="shared" si="34"/>
        <v>2.1505376344086136</v>
      </c>
    </row>
    <row r="547" spans="1:12" x14ac:dyDescent="0.15">
      <c r="A547" s="3">
        <f>DATE(2005,4,1)</f>
        <v>38443</v>
      </c>
      <c r="B547" s="4">
        <v>2.7900000000000001E-2</v>
      </c>
      <c r="C547" s="12">
        <f t="shared" si="35"/>
        <v>2.7299999999999998E-2</v>
      </c>
      <c r="G547" s="3">
        <f>DATE(2005,5,1)</f>
        <v>38473</v>
      </c>
      <c r="H547" s="4">
        <v>0.03</v>
      </c>
      <c r="I547" s="12">
        <v>2.8649999999999998E-2</v>
      </c>
      <c r="J547" s="4">
        <f t="shared" si="32"/>
        <v>2.4662111801242233E-2</v>
      </c>
      <c r="K547" s="9">
        <f t="shared" si="33"/>
        <v>1.8225000000000014E-6</v>
      </c>
      <c r="L547" s="10">
        <f t="shared" si="34"/>
        <v>4.5000000000000018</v>
      </c>
    </row>
    <row r="548" spans="1:12" x14ac:dyDescent="0.15">
      <c r="A548" s="3">
        <f>DATE(2005,5,1)</f>
        <v>38473</v>
      </c>
      <c r="B548" s="4">
        <v>0.03</v>
      </c>
      <c r="C548" s="12">
        <f t="shared" si="35"/>
        <v>2.8649999999999998E-2</v>
      </c>
      <c r="G548" s="3">
        <f>DATE(2005,6,1)</f>
        <v>38504</v>
      </c>
      <c r="H548" s="4">
        <v>3.04E-2</v>
      </c>
      <c r="I548" s="12">
        <v>3.0225000000000002E-2</v>
      </c>
      <c r="J548" s="4">
        <f t="shared" si="32"/>
        <v>2.4262111801242232E-2</v>
      </c>
      <c r="K548" s="9">
        <f t="shared" si="33"/>
        <v>3.0624999999999323E-8</v>
      </c>
      <c r="L548" s="10">
        <f t="shared" si="34"/>
        <v>0.57565789473683571</v>
      </c>
    </row>
    <row r="549" spans="1:12" x14ac:dyDescent="0.15">
      <c r="A549" s="3">
        <f>DATE(2005,6,1)</f>
        <v>38504</v>
      </c>
      <c r="B549" s="4">
        <v>3.04E-2</v>
      </c>
      <c r="C549" s="12">
        <f t="shared" si="35"/>
        <v>3.0225000000000002E-2</v>
      </c>
      <c r="G549" s="3">
        <f>DATE(2005,7,1)</f>
        <v>38534</v>
      </c>
      <c r="H549" s="4">
        <v>3.2599999999999997E-2</v>
      </c>
      <c r="I549" s="12">
        <v>3.2000000000000001E-2</v>
      </c>
      <c r="J549" s="4">
        <f t="shared" si="32"/>
        <v>2.2062111801242235E-2</v>
      </c>
      <c r="K549" s="9">
        <f t="shared" si="33"/>
        <v>3.5999999999999565E-7</v>
      </c>
      <c r="L549" s="10">
        <f t="shared" si="34"/>
        <v>1.8404907975460012</v>
      </c>
    </row>
    <row r="550" spans="1:12" x14ac:dyDescent="0.15">
      <c r="A550" s="3">
        <f>DATE(2005,7,1)</f>
        <v>38534</v>
      </c>
      <c r="B550" s="4">
        <v>3.2599999999999997E-2</v>
      </c>
      <c r="C550" s="12">
        <f t="shared" si="35"/>
        <v>3.2000000000000001E-2</v>
      </c>
      <c r="G550" s="3">
        <f>DATE(2005,8,1)</f>
        <v>38565</v>
      </c>
      <c r="H550" s="4">
        <v>3.5000000000000003E-2</v>
      </c>
      <c r="I550" s="12">
        <v>3.3550000000000003E-2</v>
      </c>
      <c r="J550" s="4">
        <f t="shared" si="32"/>
        <v>1.9662111801242228E-2</v>
      </c>
      <c r="K550" s="9">
        <f t="shared" si="33"/>
        <v>2.1024999999999998E-6</v>
      </c>
      <c r="L550" s="10">
        <f t="shared" si="34"/>
        <v>4.1428571428571415</v>
      </c>
    </row>
    <row r="551" spans="1:12" x14ac:dyDescent="0.15">
      <c r="A551" s="3">
        <f>DATE(2005,8,1)</f>
        <v>38565</v>
      </c>
      <c r="B551" s="4">
        <v>3.5000000000000003E-2</v>
      </c>
      <c r="C551" s="12">
        <f t="shared" si="35"/>
        <v>3.3550000000000003E-2</v>
      </c>
      <c r="G551" s="3">
        <f>DATE(2005,9,1)</f>
        <v>38596</v>
      </c>
      <c r="H551" s="4">
        <v>3.6200000000000003E-2</v>
      </c>
      <c r="I551" s="12">
        <v>3.5400000000000001E-2</v>
      </c>
      <c r="J551" s="4">
        <f t="shared" si="32"/>
        <v>1.8462111801242229E-2</v>
      </c>
      <c r="K551" s="9">
        <f t="shared" si="33"/>
        <v>6.400000000000034E-7</v>
      </c>
      <c r="L551" s="10">
        <f t="shared" si="34"/>
        <v>2.2099447513812209</v>
      </c>
    </row>
    <row r="552" spans="1:12" x14ac:dyDescent="0.15">
      <c r="A552" s="3">
        <f>DATE(2005,9,1)</f>
        <v>38596</v>
      </c>
      <c r="B552" s="4">
        <v>3.6200000000000003E-2</v>
      </c>
      <c r="C552" s="12">
        <f t="shared" si="35"/>
        <v>3.5400000000000001E-2</v>
      </c>
      <c r="G552" s="3">
        <f>DATE(2005,10,1)</f>
        <v>38626</v>
      </c>
      <c r="H552" s="4">
        <v>3.78E-2</v>
      </c>
      <c r="I552" s="12">
        <v>3.7250000000000005E-2</v>
      </c>
      <c r="J552" s="4">
        <f t="shared" si="32"/>
        <v>1.6862111801242231E-2</v>
      </c>
      <c r="K552" s="9">
        <f t="shared" si="33"/>
        <v>3.0249999999999446E-7</v>
      </c>
      <c r="L552" s="10">
        <f t="shared" si="34"/>
        <v>1.4550264550264416</v>
      </c>
    </row>
    <row r="553" spans="1:12" x14ac:dyDescent="0.15">
      <c r="A553" s="3">
        <f>DATE(2005,10,1)</f>
        <v>38626</v>
      </c>
      <c r="B553" s="4">
        <v>3.78E-2</v>
      </c>
      <c r="C553" s="12">
        <f t="shared" si="35"/>
        <v>3.7250000000000005E-2</v>
      </c>
      <c r="G553" s="3">
        <f>DATE(2005,11,1)</f>
        <v>38657</v>
      </c>
      <c r="H553" s="4">
        <v>0.04</v>
      </c>
      <c r="I553" s="12">
        <v>3.8900000000000004E-2</v>
      </c>
      <c r="J553" s="4">
        <f t="shared" si="32"/>
        <v>1.4662111801242231E-2</v>
      </c>
      <c r="K553" s="9">
        <f t="shared" si="33"/>
        <v>1.2099999999999931E-6</v>
      </c>
      <c r="L553" s="10">
        <f t="shared" si="34"/>
        <v>2.749999999999992</v>
      </c>
    </row>
    <row r="554" spans="1:12" x14ac:dyDescent="0.15">
      <c r="A554" s="3">
        <f>DATE(2005,11,1)</f>
        <v>38657</v>
      </c>
      <c r="B554" s="4">
        <v>0.04</v>
      </c>
      <c r="C554" s="12">
        <f t="shared" si="35"/>
        <v>3.8900000000000004E-2</v>
      </c>
      <c r="G554" s="3">
        <f>DATE(2005,12,1)</f>
        <v>38687</v>
      </c>
      <c r="H554" s="4">
        <v>4.1599999999999998E-2</v>
      </c>
      <c r="I554" s="12">
        <v>4.0575E-2</v>
      </c>
      <c r="J554" s="4">
        <f t="shared" si="32"/>
        <v>1.3062111801242234E-2</v>
      </c>
      <c r="K554" s="9">
        <f t="shared" si="33"/>
        <v>1.0506249999999962E-6</v>
      </c>
      <c r="L554" s="10">
        <f t="shared" si="34"/>
        <v>2.4639423076923035</v>
      </c>
    </row>
    <row r="555" spans="1:12" x14ac:dyDescent="0.15">
      <c r="A555" s="3">
        <f>DATE(2005,12,1)</f>
        <v>38687</v>
      </c>
      <c r="B555" s="4">
        <v>4.1599999999999998E-2</v>
      </c>
      <c r="C555" s="12">
        <f t="shared" si="35"/>
        <v>4.0575E-2</v>
      </c>
      <c r="G555" s="3">
        <f>DATE(2006,1,1)</f>
        <v>38718</v>
      </c>
      <c r="H555" s="4">
        <v>4.2900000000000001E-2</v>
      </c>
      <c r="I555" s="12">
        <v>4.2349999999999999E-2</v>
      </c>
      <c r="J555" s="4">
        <f t="shared" si="32"/>
        <v>1.1762111801242231E-2</v>
      </c>
      <c r="K555" s="9">
        <f t="shared" si="33"/>
        <v>3.0250000000000208E-7</v>
      </c>
      <c r="L555" s="10">
        <f t="shared" si="34"/>
        <v>1.2820512820512864</v>
      </c>
    </row>
    <row r="556" spans="1:12" x14ac:dyDescent="0.15">
      <c r="A556" s="3">
        <f>DATE(2006,1,1)</f>
        <v>38718</v>
      </c>
      <c r="B556" s="4">
        <v>4.2900000000000001E-2</v>
      </c>
      <c r="C556" s="12">
        <f t="shared" si="35"/>
        <v>4.2349999999999999E-2</v>
      </c>
      <c r="G556" s="3">
        <f>DATE(2006,2,1)</f>
        <v>38749</v>
      </c>
      <c r="H556" s="4">
        <v>4.4900000000000002E-2</v>
      </c>
      <c r="I556" s="12">
        <v>4.3824999999999996E-2</v>
      </c>
      <c r="J556" s="4">
        <f t="shared" si="32"/>
        <v>9.7621118012422292E-3</v>
      </c>
      <c r="K556" s="9">
        <f t="shared" si="33"/>
        <v>1.155625000000014E-6</v>
      </c>
      <c r="L556" s="10">
        <f t="shared" si="34"/>
        <v>2.3942093541202816</v>
      </c>
    </row>
    <row r="557" spans="1:12" x14ac:dyDescent="0.15">
      <c r="A557" s="3">
        <f>DATE(2006,2,1)</f>
        <v>38749</v>
      </c>
      <c r="B557" s="4">
        <v>4.4900000000000002E-2</v>
      </c>
      <c r="C557" s="12">
        <f t="shared" si="35"/>
        <v>4.3824999999999996E-2</v>
      </c>
      <c r="G557" s="3">
        <f>DATE(2006,3,1)</f>
        <v>38777</v>
      </c>
      <c r="H557" s="4">
        <v>4.5899999999999996E-2</v>
      </c>
      <c r="I557" s="12">
        <v>4.5399999999999996E-2</v>
      </c>
      <c r="J557" s="4">
        <f t="shared" si="32"/>
        <v>8.7621118012422353E-3</v>
      </c>
      <c r="K557" s="9">
        <f t="shared" si="33"/>
        <v>2.5000000000000047E-7</v>
      </c>
      <c r="L557" s="10">
        <f t="shared" si="34"/>
        <v>1.0893246187363845</v>
      </c>
    </row>
    <row r="558" spans="1:12" x14ac:dyDescent="0.15">
      <c r="A558" s="3">
        <f>DATE(2006,3,1)</f>
        <v>38777</v>
      </c>
      <c r="B558" s="4">
        <v>4.5899999999999996E-2</v>
      </c>
      <c r="C558" s="12">
        <f t="shared" si="35"/>
        <v>4.5399999999999996E-2</v>
      </c>
      <c r="G558" s="3">
        <f>DATE(2006,4,1)</f>
        <v>38808</v>
      </c>
      <c r="H558" s="4">
        <v>4.7899999999999998E-2</v>
      </c>
      <c r="I558" s="12">
        <v>4.7024999999999997E-2</v>
      </c>
      <c r="J558" s="4">
        <f t="shared" si="32"/>
        <v>6.7621118012422335E-3</v>
      </c>
      <c r="K558" s="9">
        <f t="shared" si="33"/>
        <v>7.6562500000000135E-7</v>
      </c>
      <c r="L558" s="10">
        <f t="shared" si="34"/>
        <v>1.8267223382045945</v>
      </c>
    </row>
    <row r="559" spans="1:12" x14ac:dyDescent="0.15">
      <c r="A559" s="3">
        <f>DATE(2006,4,1)</f>
        <v>38808</v>
      </c>
      <c r="B559" s="4">
        <v>4.7899999999999998E-2</v>
      </c>
      <c r="C559" s="12">
        <f t="shared" si="35"/>
        <v>4.7024999999999997E-2</v>
      </c>
      <c r="G559" s="3">
        <f>DATE(2006,5,1)</f>
        <v>38838</v>
      </c>
      <c r="H559" s="4">
        <v>4.9400000000000006E-2</v>
      </c>
      <c r="I559" s="12">
        <v>4.8274999999999998E-2</v>
      </c>
      <c r="J559" s="4">
        <f t="shared" si="32"/>
        <v>5.2621118012422252E-3</v>
      </c>
      <c r="K559" s="9">
        <f t="shared" si="33"/>
        <v>1.2656250000000178E-6</v>
      </c>
      <c r="L559" s="10">
        <f t="shared" si="34"/>
        <v>2.2773279352226878</v>
      </c>
    </row>
    <row r="560" spans="1:12" x14ac:dyDescent="0.15">
      <c r="A560" s="3">
        <f>DATE(2006,5,1)</f>
        <v>38838</v>
      </c>
      <c r="B560" s="4">
        <v>4.9400000000000006E-2</v>
      </c>
      <c r="C560" s="12">
        <f t="shared" si="35"/>
        <v>4.8274999999999998E-2</v>
      </c>
      <c r="G560" s="3">
        <f>DATE(2006,6,1)</f>
        <v>38869</v>
      </c>
      <c r="H560" s="4">
        <v>4.99E-2</v>
      </c>
      <c r="I560" s="12">
        <v>4.99E-2</v>
      </c>
      <c r="J560" s="4">
        <f t="shared" si="32"/>
        <v>4.7621118012422317E-3</v>
      </c>
      <c r="K560" s="9">
        <f t="shared" si="33"/>
        <v>0</v>
      </c>
      <c r="L560" s="10">
        <f t="shared" si="34"/>
        <v>0</v>
      </c>
    </row>
    <row r="561" spans="1:12" x14ac:dyDescent="0.15">
      <c r="A561" s="3">
        <f>DATE(2006,6,1)</f>
        <v>38869</v>
      </c>
      <c r="B561" s="4">
        <v>4.99E-2</v>
      </c>
      <c r="C561" s="12">
        <f t="shared" si="35"/>
        <v>4.99E-2</v>
      </c>
      <c r="G561" s="3">
        <f>DATE(2006,7,1)</f>
        <v>38899</v>
      </c>
      <c r="H561" s="4">
        <v>5.2400000000000002E-2</v>
      </c>
      <c r="I561" s="12">
        <v>5.1049999999999998E-2</v>
      </c>
      <c r="J561" s="4">
        <f t="shared" si="32"/>
        <v>2.2621118012422295E-3</v>
      </c>
      <c r="K561" s="9">
        <f t="shared" si="33"/>
        <v>1.8225000000000107E-6</v>
      </c>
      <c r="L561" s="10">
        <f t="shared" si="34"/>
        <v>2.5763358778626029</v>
      </c>
    </row>
    <row r="562" spans="1:12" x14ac:dyDescent="0.15">
      <c r="A562" s="3">
        <f>DATE(2006,7,1)</f>
        <v>38899</v>
      </c>
      <c r="B562" s="4">
        <v>5.2400000000000002E-2</v>
      </c>
      <c r="C562" s="12">
        <f t="shared" si="35"/>
        <v>5.1049999999999998E-2</v>
      </c>
      <c r="G562" s="3">
        <f>DATE(2006,8,1)</f>
        <v>38930</v>
      </c>
      <c r="H562" s="4">
        <v>5.2499999999999998E-2</v>
      </c>
      <c r="I562" s="12">
        <v>5.1824999999999996E-2</v>
      </c>
      <c r="J562" s="4">
        <f t="shared" si="32"/>
        <v>2.1621118012422336E-3</v>
      </c>
      <c r="K562" s="9">
        <f t="shared" si="33"/>
        <v>4.5562500000000268E-7</v>
      </c>
      <c r="L562" s="10">
        <f t="shared" si="34"/>
        <v>1.2857142857142896</v>
      </c>
    </row>
    <row r="563" spans="1:12" x14ac:dyDescent="0.15">
      <c r="A563" s="3">
        <f>DATE(2006,8,1)</f>
        <v>38930</v>
      </c>
      <c r="B563" s="4">
        <v>5.2499999999999998E-2</v>
      </c>
      <c r="C563" s="12">
        <f t="shared" si="35"/>
        <v>5.1824999999999996E-2</v>
      </c>
      <c r="G563" s="3">
        <f>DATE(2006,9,1)</f>
        <v>38961</v>
      </c>
      <c r="H563" s="4">
        <v>5.2499999999999998E-2</v>
      </c>
      <c r="I563" s="12">
        <v>5.2474999999999994E-2</v>
      </c>
      <c r="J563" s="4">
        <f t="shared" si="32"/>
        <v>2.1621118012422336E-3</v>
      </c>
      <c r="K563" s="9">
        <f t="shared" si="33"/>
        <v>6.2500000000020929E-10</v>
      </c>
      <c r="L563" s="10">
        <f t="shared" si="34"/>
        <v>4.7619047619055596E-2</v>
      </c>
    </row>
    <row r="564" spans="1:12" x14ac:dyDescent="0.15">
      <c r="A564" s="3">
        <f>DATE(2006,9,1)</f>
        <v>38961</v>
      </c>
      <c r="B564" s="4">
        <v>5.2499999999999998E-2</v>
      </c>
      <c r="C564" s="12">
        <f t="shared" si="35"/>
        <v>5.2474999999999994E-2</v>
      </c>
      <c r="G564" s="3">
        <f>DATE(2006,10,1)</f>
        <v>38991</v>
      </c>
      <c r="H564" s="4">
        <v>5.2499999999999998E-2</v>
      </c>
      <c r="I564" s="12">
        <v>5.2499999999999998E-2</v>
      </c>
      <c r="J564" s="4">
        <f t="shared" si="32"/>
        <v>2.1621118012422336E-3</v>
      </c>
      <c r="K564" s="9">
        <f t="shared" si="33"/>
        <v>0</v>
      </c>
      <c r="L564" s="10">
        <f t="shared" si="34"/>
        <v>0</v>
      </c>
    </row>
    <row r="565" spans="1:12" x14ac:dyDescent="0.15">
      <c r="A565" s="3">
        <f>DATE(2006,10,1)</f>
        <v>38991</v>
      </c>
      <c r="B565" s="4">
        <v>5.2499999999999998E-2</v>
      </c>
      <c r="C565" s="12">
        <f t="shared" si="35"/>
        <v>5.2499999999999998E-2</v>
      </c>
      <c r="G565" s="3">
        <f>DATE(2006,11,1)</f>
        <v>39022</v>
      </c>
      <c r="H565" s="4">
        <v>5.2499999999999998E-2</v>
      </c>
      <c r="I565" s="12">
        <v>5.2475000000000001E-2</v>
      </c>
      <c r="J565" s="4">
        <f t="shared" si="32"/>
        <v>2.1621118012422336E-3</v>
      </c>
      <c r="K565" s="9">
        <f t="shared" si="33"/>
        <v>6.2499999999986229E-10</v>
      </c>
      <c r="L565" s="10">
        <f t="shared" si="34"/>
        <v>4.7619047619042378E-2</v>
      </c>
    </row>
    <row r="566" spans="1:12" x14ac:dyDescent="0.15">
      <c r="A566" s="3">
        <f>DATE(2006,11,1)</f>
        <v>39022</v>
      </c>
      <c r="B566" s="4">
        <v>5.2499999999999998E-2</v>
      </c>
      <c r="C566" s="12">
        <f t="shared" si="35"/>
        <v>5.2475000000000001E-2</v>
      </c>
      <c r="G566" s="3">
        <f>DATE(2006,12,1)</f>
        <v>39052</v>
      </c>
      <c r="H566" s="4">
        <v>5.2400000000000002E-2</v>
      </c>
      <c r="I566" s="12">
        <v>5.2474999999999994E-2</v>
      </c>
      <c r="J566" s="4">
        <f t="shared" si="32"/>
        <v>2.2621118012422295E-3</v>
      </c>
      <c r="K566" s="9">
        <f t="shared" si="33"/>
        <v>5.6249999999987608E-9</v>
      </c>
      <c r="L566" s="10">
        <f t="shared" si="34"/>
        <v>0.14312977099235064</v>
      </c>
    </row>
    <row r="567" spans="1:12" x14ac:dyDescent="0.15">
      <c r="A567" s="3">
        <f>DATE(2006,12,1)</f>
        <v>39052</v>
      </c>
      <c r="B567" s="4">
        <v>5.2400000000000002E-2</v>
      </c>
      <c r="C567" s="12">
        <f t="shared" si="35"/>
        <v>5.2474999999999994E-2</v>
      </c>
      <c r="G567" s="3">
        <f>DATE(2007,1,1)</f>
        <v>39083</v>
      </c>
      <c r="H567" s="4">
        <v>5.2499999999999998E-2</v>
      </c>
      <c r="I567" s="12">
        <v>5.2499999999999998E-2</v>
      </c>
      <c r="J567" s="4">
        <f t="shared" si="32"/>
        <v>2.1621118012422336E-3</v>
      </c>
      <c r="K567" s="9">
        <f t="shared" si="33"/>
        <v>0</v>
      </c>
      <c r="L567" s="10">
        <f t="shared" si="34"/>
        <v>0</v>
      </c>
    </row>
    <row r="568" spans="1:12" x14ac:dyDescent="0.15">
      <c r="A568" s="3">
        <f>DATE(2007,1,1)</f>
        <v>39083</v>
      </c>
      <c r="B568" s="4">
        <v>5.2499999999999998E-2</v>
      </c>
      <c r="C568" s="12">
        <f t="shared" si="35"/>
        <v>5.2499999999999998E-2</v>
      </c>
      <c r="G568" s="3">
        <f>DATE(2007,2,1)</f>
        <v>39114</v>
      </c>
      <c r="H568" s="4">
        <v>5.2600000000000001E-2</v>
      </c>
      <c r="I568" s="12">
        <v>5.2525000000000002E-2</v>
      </c>
      <c r="J568" s="4">
        <f t="shared" si="32"/>
        <v>2.0621118012422307E-3</v>
      </c>
      <c r="K568" s="9">
        <f t="shared" si="33"/>
        <v>5.6249999999998022E-9</v>
      </c>
      <c r="L568" s="10">
        <f t="shared" si="34"/>
        <v>0.14258555133079598</v>
      </c>
    </row>
    <row r="569" spans="1:12" x14ac:dyDescent="0.15">
      <c r="A569" s="3">
        <f>DATE(2007,2,1)</f>
        <v>39114</v>
      </c>
      <c r="B569" s="4">
        <v>5.2600000000000001E-2</v>
      </c>
      <c r="C569" s="12">
        <f t="shared" si="35"/>
        <v>5.2525000000000002E-2</v>
      </c>
      <c r="G569" s="3">
        <f>DATE(2007,3,1)</f>
        <v>39142</v>
      </c>
      <c r="H569" s="4">
        <v>5.2600000000000001E-2</v>
      </c>
      <c r="I569" s="12">
        <v>5.2549999999999999E-2</v>
      </c>
      <c r="J569" s="4">
        <f t="shared" si="32"/>
        <v>2.0621118012422307E-3</v>
      </c>
      <c r="K569" s="9">
        <f t="shared" si="33"/>
        <v>2.5000000000001432E-9</v>
      </c>
      <c r="L569" s="10">
        <f t="shared" si="34"/>
        <v>9.5057034220535047E-2</v>
      </c>
    </row>
    <row r="570" spans="1:12" x14ac:dyDescent="0.15">
      <c r="A570" s="3">
        <f>DATE(2007,3,1)</f>
        <v>39142</v>
      </c>
      <c r="B570" s="4">
        <v>5.2600000000000001E-2</v>
      </c>
      <c r="C570" s="12">
        <f t="shared" si="35"/>
        <v>5.2549999999999999E-2</v>
      </c>
      <c r="G570" s="3">
        <f>DATE(2007,4,1)</f>
        <v>39173</v>
      </c>
      <c r="H570" s="4">
        <v>5.2499999999999998E-2</v>
      </c>
      <c r="I570" s="12">
        <v>5.2549999999999999E-2</v>
      </c>
      <c r="J570" s="4">
        <f t="shared" si="32"/>
        <v>2.1621118012422336E-3</v>
      </c>
      <c r="K570" s="9">
        <f t="shared" si="33"/>
        <v>2.5000000000001432E-9</v>
      </c>
      <c r="L570" s="10">
        <f t="shared" si="34"/>
        <v>9.5238095238097967E-2</v>
      </c>
    </row>
    <row r="571" spans="1:12" x14ac:dyDescent="0.15">
      <c r="A571" s="3">
        <f>DATE(2007,4,1)</f>
        <v>39173</v>
      </c>
      <c r="B571" s="4">
        <v>5.2499999999999998E-2</v>
      </c>
      <c r="C571" s="12">
        <f t="shared" si="35"/>
        <v>5.2549999999999999E-2</v>
      </c>
      <c r="G571" s="3">
        <f>DATE(2007,5,1)</f>
        <v>39203</v>
      </c>
      <c r="H571" s="4">
        <v>5.2499999999999998E-2</v>
      </c>
      <c r="I571" s="12">
        <v>5.2524999999999995E-2</v>
      </c>
      <c r="J571" s="4">
        <f t="shared" si="32"/>
        <v>2.1621118012422336E-3</v>
      </c>
      <c r="K571" s="9">
        <f t="shared" si="33"/>
        <v>6.2499999999986229E-10</v>
      </c>
      <c r="L571" s="10">
        <f t="shared" si="34"/>
        <v>4.7619047619042378E-2</v>
      </c>
    </row>
    <row r="572" spans="1:12" x14ac:dyDescent="0.15">
      <c r="A572" s="3">
        <f>DATE(2007,5,1)</f>
        <v>39203</v>
      </c>
      <c r="B572" s="4">
        <v>5.2499999999999998E-2</v>
      </c>
      <c r="C572" s="12">
        <f t="shared" si="35"/>
        <v>5.2524999999999995E-2</v>
      </c>
      <c r="G572" s="3">
        <v>39234</v>
      </c>
      <c r="H572" s="4">
        <v>5.2499999999999998E-2</v>
      </c>
      <c r="I572" s="12">
        <v>5.2525000000000002E-2</v>
      </c>
      <c r="J572" s="4">
        <f t="shared" si="32"/>
        <v>2.1621118012422336E-3</v>
      </c>
      <c r="K572" s="9">
        <f t="shared" si="33"/>
        <v>6.2500000000020929E-10</v>
      </c>
      <c r="L572" s="10">
        <f t="shared" si="34"/>
        <v>4.7619047619055596E-2</v>
      </c>
    </row>
    <row r="573" spans="1:12" x14ac:dyDescent="0.15">
      <c r="A573" s="3">
        <v>39234</v>
      </c>
      <c r="B573" s="4">
        <v>5.2499999999999998E-2</v>
      </c>
      <c r="C573" s="12">
        <f t="shared" si="35"/>
        <v>5.2525000000000002E-2</v>
      </c>
      <c r="G573" s="3">
        <v>39264</v>
      </c>
      <c r="H573" s="4">
        <v>5.2600000000000001E-2</v>
      </c>
      <c r="I573" s="12">
        <v>5.1949999999999996E-2</v>
      </c>
      <c r="J573" s="4">
        <f t="shared" si="32"/>
        <v>2.0621118012422307E-3</v>
      </c>
      <c r="K573" s="9">
        <f t="shared" si="33"/>
        <v>4.2250000000000617E-7</v>
      </c>
      <c r="L573" s="10">
        <f t="shared" si="34"/>
        <v>1.2357414448669291</v>
      </c>
    </row>
    <row r="574" spans="1:12" x14ac:dyDescent="0.15">
      <c r="A574" s="3">
        <v>39264</v>
      </c>
      <c r="B574" s="4">
        <v>5.2600000000000001E-2</v>
      </c>
      <c r="C574" s="12">
        <f t="shared" si="35"/>
        <v>5.1949999999999996E-2</v>
      </c>
      <c r="G574" s="3">
        <v>39295</v>
      </c>
      <c r="H574" s="4">
        <v>5.0199999999999995E-2</v>
      </c>
      <c r="I574" s="12">
        <v>5.1174999999999998E-2</v>
      </c>
      <c r="J574" s="4">
        <f t="shared" si="32"/>
        <v>4.462111801242237E-3</v>
      </c>
      <c r="K574" s="9">
        <f t="shared" si="33"/>
        <v>9.506250000000071E-7</v>
      </c>
      <c r="L574" s="10">
        <f t="shared" si="34"/>
        <v>1.9422310756972185</v>
      </c>
    </row>
    <row r="575" spans="1:12" x14ac:dyDescent="0.15">
      <c r="A575" s="3">
        <v>39295</v>
      </c>
      <c r="B575" s="4">
        <v>5.0199999999999995E-2</v>
      </c>
      <c r="C575" s="12">
        <f t="shared" si="35"/>
        <v>5.1174999999999998E-2</v>
      </c>
      <c r="G575" s="3">
        <v>39326</v>
      </c>
      <c r="H575" s="4">
        <v>4.9400000000000006E-2</v>
      </c>
      <c r="I575" s="12">
        <v>4.9950000000000001E-2</v>
      </c>
      <c r="J575" s="4">
        <f t="shared" si="32"/>
        <v>5.2621118012422252E-3</v>
      </c>
      <c r="K575" s="9">
        <f t="shared" si="33"/>
        <v>3.0249999999999446E-7</v>
      </c>
      <c r="L575" s="10">
        <f t="shared" si="34"/>
        <v>1.1133603238866294</v>
      </c>
    </row>
    <row r="576" spans="1:12" x14ac:dyDescent="0.15">
      <c r="A576" s="3">
        <v>39326</v>
      </c>
      <c r="B576" s="4">
        <v>4.9400000000000006E-2</v>
      </c>
      <c r="C576" s="12">
        <f t="shared" si="35"/>
        <v>4.9950000000000001E-2</v>
      </c>
      <c r="G576" s="3">
        <v>39356</v>
      </c>
      <c r="H576" s="4">
        <v>4.7599999999999996E-2</v>
      </c>
      <c r="I576" s="12">
        <v>4.8024999999999998E-2</v>
      </c>
      <c r="J576" s="4">
        <f t="shared" si="32"/>
        <v>7.0621118012422351E-3</v>
      </c>
      <c r="K576" s="9">
        <f t="shared" si="33"/>
        <v>1.806250000000015E-7</v>
      </c>
      <c r="L576" s="10">
        <f t="shared" si="34"/>
        <v>0.89285714285714657</v>
      </c>
    </row>
    <row r="577" spans="1:12" x14ac:dyDescent="0.15">
      <c r="A577" s="3">
        <v>39356</v>
      </c>
      <c r="B577" s="4">
        <v>4.7599999999999996E-2</v>
      </c>
      <c r="C577" s="12">
        <f t="shared" si="35"/>
        <v>4.8024999999999998E-2</v>
      </c>
      <c r="G577" s="3">
        <v>39387</v>
      </c>
      <c r="H577" s="4">
        <v>4.4900000000000002E-2</v>
      </c>
      <c r="I577" s="12">
        <v>4.6074999999999998E-2</v>
      </c>
      <c r="J577" s="4">
        <f t="shared" si="32"/>
        <v>9.7621118012422292E-3</v>
      </c>
      <c r="K577" s="9">
        <f t="shared" si="33"/>
        <v>1.3806249999999894E-6</v>
      </c>
      <c r="L577" s="10">
        <f t="shared" si="34"/>
        <v>2.6169265033407472</v>
      </c>
    </row>
    <row r="578" spans="1:12" x14ac:dyDescent="0.15">
      <c r="A578" s="3">
        <v>39387</v>
      </c>
      <c r="B578" s="4">
        <v>4.4900000000000002E-2</v>
      </c>
      <c r="C578" s="12">
        <f t="shared" si="35"/>
        <v>4.6074999999999998E-2</v>
      </c>
      <c r="G578" s="3">
        <v>39417</v>
      </c>
      <c r="H578" s="4">
        <v>4.24E-2</v>
      </c>
      <c r="I578" s="12">
        <v>4.3574999999999996E-2</v>
      </c>
      <c r="J578" s="4">
        <f t="shared" si="32"/>
        <v>1.2262111801242231E-2</v>
      </c>
      <c r="K578" s="9">
        <f t="shared" si="33"/>
        <v>1.3806249999999894E-6</v>
      </c>
      <c r="L578" s="10">
        <f t="shared" si="34"/>
        <v>2.7712264150943291</v>
      </c>
    </row>
    <row r="579" spans="1:12" x14ac:dyDescent="0.15">
      <c r="A579" s="3">
        <v>39417</v>
      </c>
      <c r="B579" s="4">
        <v>4.24E-2</v>
      </c>
      <c r="C579" s="12">
        <f t="shared" si="35"/>
        <v>4.3574999999999996E-2</v>
      </c>
      <c r="G579" s="3">
        <v>39448</v>
      </c>
      <c r="H579" s="4">
        <v>3.9399999999999998E-2</v>
      </c>
      <c r="I579" s="12">
        <v>3.9125E-2</v>
      </c>
      <c r="J579" s="4">
        <f t="shared" si="32"/>
        <v>1.5262111801242234E-2</v>
      </c>
      <c r="K579" s="9">
        <f t="shared" si="33"/>
        <v>7.5624999999998614E-8</v>
      </c>
      <c r="L579" s="10">
        <f t="shared" si="34"/>
        <v>0.69796954314720172</v>
      </c>
    </row>
    <row r="580" spans="1:12" x14ac:dyDescent="0.15">
      <c r="A580" s="3">
        <v>39448</v>
      </c>
      <c r="B580" s="4">
        <v>3.9399999999999998E-2</v>
      </c>
      <c r="C580" s="12">
        <f t="shared" si="35"/>
        <v>3.9125E-2</v>
      </c>
      <c r="G580" s="3">
        <v>39479</v>
      </c>
      <c r="H580" s="4">
        <v>2.98E-2</v>
      </c>
      <c r="I580" s="12">
        <v>3.4424999999999997E-2</v>
      </c>
      <c r="J580" s="4">
        <f t="shared" si="32"/>
        <v>2.4862111801242232E-2</v>
      </c>
      <c r="K580" s="9">
        <f t="shared" si="33"/>
        <v>2.1390624999999973E-5</v>
      </c>
      <c r="L580" s="10">
        <f t="shared" si="34"/>
        <v>15.52013422818791</v>
      </c>
    </row>
    <row r="581" spans="1:12" x14ac:dyDescent="0.15">
      <c r="A581" s="3">
        <v>39479</v>
      </c>
      <c r="B581" s="4">
        <v>2.98E-2</v>
      </c>
      <c r="C581" s="12">
        <f t="shared" si="35"/>
        <v>3.4424999999999997E-2</v>
      </c>
      <c r="G581" s="3">
        <v>39508</v>
      </c>
      <c r="H581" s="4">
        <v>2.6099999999999998E-2</v>
      </c>
      <c r="I581" s="12">
        <v>2.9524999999999999E-2</v>
      </c>
      <c r="J581" s="4">
        <f t="shared" si="32"/>
        <v>2.8562111801242233E-2</v>
      </c>
      <c r="K581" s="9">
        <f t="shared" si="33"/>
        <v>1.1730625000000006E-5</v>
      </c>
      <c r="L581" s="10">
        <f t="shared" si="34"/>
        <v>13.122605363984679</v>
      </c>
    </row>
    <row r="582" spans="1:12" x14ac:dyDescent="0.15">
      <c r="A582" s="3">
        <v>39508</v>
      </c>
      <c r="B582" s="4">
        <v>2.6099999999999998E-2</v>
      </c>
      <c r="C582" s="12">
        <f t="shared" si="35"/>
        <v>2.9524999999999999E-2</v>
      </c>
      <c r="G582" s="3">
        <v>39539</v>
      </c>
      <c r="H582" s="4">
        <v>2.2799999999999997E-2</v>
      </c>
      <c r="I582" s="12">
        <v>2.4624999999999998E-2</v>
      </c>
      <c r="J582" s="4">
        <f t="shared" ref="J582:J645" si="36">ABS(H582-$Q$4)</f>
        <v>3.1862111801242238E-2</v>
      </c>
      <c r="K582" s="9">
        <f t="shared" ref="K582:K645" si="37">(H582-I582)^2</f>
        <v>3.3306250000000008E-6</v>
      </c>
      <c r="L582" s="10">
        <f t="shared" ref="L582:L645" si="38">ABS(H582-I582)/H582*100</f>
        <v>8.0043859649122826</v>
      </c>
    </row>
    <row r="583" spans="1:12" x14ac:dyDescent="0.15">
      <c r="A583" s="3">
        <v>39539</v>
      </c>
      <c r="B583" s="4">
        <v>2.2799999999999997E-2</v>
      </c>
      <c r="C583" s="12">
        <f t="shared" ref="C583:C646" si="39">(B581+B582+B583+B584)/4</f>
        <v>2.4624999999999998E-2</v>
      </c>
      <c r="G583" s="3">
        <v>39569</v>
      </c>
      <c r="H583" s="4">
        <v>1.9799999999999998E-2</v>
      </c>
      <c r="I583" s="12">
        <v>2.2175E-2</v>
      </c>
      <c r="J583" s="4">
        <f t="shared" si="36"/>
        <v>3.4862111801242233E-2</v>
      </c>
      <c r="K583" s="9">
        <f t="shared" si="37"/>
        <v>5.6406250000000101E-6</v>
      </c>
      <c r="L583" s="10">
        <f t="shared" si="38"/>
        <v>11.994949494949507</v>
      </c>
    </row>
    <row r="584" spans="1:12" x14ac:dyDescent="0.15">
      <c r="A584" s="3">
        <v>39569</v>
      </c>
      <c r="B584" s="4">
        <v>1.9799999999999998E-2</v>
      </c>
      <c r="C584" s="12">
        <f t="shared" si="39"/>
        <v>2.2175E-2</v>
      </c>
      <c r="G584" s="3">
        <v>39600</v>
      </c>
      <c r="H584" s="4">
        <v>0.02</v>
      </c>
      <c r="I584" s="12">
        <v>2.0674999999999999E-2</v>
      </c>
      <c r="J584" s="4">
        <f t="shared" si="36"/>
        <v>3.4662111801242235E-2</v>
      </c>
      <c r="K584" s="9">
        <f t="shared" si="37"/>
        <v>4.5562499999999802E-7</v>
      </c>
      <c r="L584" s="10">
        <f t="shared" si="38"/>
        <v>3.3749999999999925</v>
      </c>
    </row>
    <row r="585" spans="1:12" x14ac:dyDescent="0.15">
      <c r="A585" s="3">
        <v>39600</v>
      </c>
      <c r="B585" s="4">
        <v>0.02</v>
      </c>
      <c r="C585" s="12">
        <f t="shared" si="39"/>
        <v>2.0674999999999999E-2</v>
      </c>
      <c r="G585" s="3">
        <v>39630</v>
      </c>
      <c r="H585" s="4">
        <v>2.0099999999999996E-2</v>
      </c>
      <c r="I585" s="12">
        <v>1.9975E-2</v>
      </c>
      <c r="J585" s="4">
        <f t="shared" si="36"/>
        <v>3.4562111801242232E-2</v>
      </c>
      <c r="K585" s="9">
        <f t="shared" si="37"/>
        <v>1.5624999999999159E-8</v>
      </c>
      <c r="L585" s="10">
        <f t="shared" si="38"/>
        <v>0.62189054726366499</v>
      </c>
    </row>
    <row r="586" spans="1:12" x14ac:dyDescent="0.15">
      <c r="A586" s="3">
        <v>39630</v>
      </c>
      <c r="B586" s="4">
        <v>2.0099999999999996E-2</v>
      </c>
      <c r="C586" s="12">
        <f t="shared" si="39"/>
        <v>1.9975E-2</v>
      </c>
      <c r="G586" s="3">
        <v>39661</v>
      </c>
      <c r="H586" s="4">
        <v>0.02</v>
      </c>
      <c r="I586" s="12">
        <v>1.9550000000000001E-2</v>
      </c>
      <c r="J586" s="4">
        <f t="shared" si="36"/>
        <v>3.4662111801242235E-2</v>
      </c>
      <c r="K586" s="9">
        <f t="shared" si="37"/>
        <v>2.0249999999999912E-7</v>
      </c>
      <c r="L586" s="10">
        <f t="shared" si="38"/>
        <v>2.2499999999999951</v>
      </c>
    </row>
    <row r="587" spans="1:12" x14ac:dyDescent="0.15">
      <c r="A587" s="3">
        <v>39661</v>
      </c>
      <c r="B587" s="4">
        <v>0.02</v>
      </c>
      <c r="C587" s="12">
        <f t="shared" si="39"/>
        <v>1.9550000000000001E-2</v>
      </c>
      <c r="G587" s="3">
        <v>39692</v>
      </c>
      <c r="H587" s="4">
        <v>1.8100000000000002E-2</v>
      </c>
      <c r="I587" s="12">
        <v>1.6975000000000001E-2</v>
      </c>
      <c r="J587" s="4">
        <f t="shared" si="36"/>
        <v>3.6562111801242234E-2</v>
      </c>
      <c r="K587" s="9">
        <f t="shared" si="37"/>
        <v>1.2656250000000022E-6</v>
      </c>
      <c r="L587" s="10">
        <f t="shared" si="38"/>
        <v>6.2154696132596738</v>
      </c>
    </row>
    <row r="588" spans="1:12" x14ac:dyDescent="0.15">
      <c r="A588" s="3">
        <v>39692</v>
      </c>
      <c r="B588" s="4">
        <v>1.8100000000000002E-2</v>
      </c>
      <c r="C588" s="12">
        <f t="shared" si="39"/>
        <v>1.6975000000000001E-2</v>
      </c>
      <c r="G588" s="3">
        <v>39722</v>
      </c>
      <c r="H588" s="4">
        <v>9.7000000000000003E-3</v>
      </c>
      <c r="I588" s="12">
        <v>1.2925000000000001E-2</v>
      </c>
      <c r="J588" s="4">
        <f t="shared" si="36"/>
        <v>4.4962111801242231E-2</v>
      </c>
      <c r="K588" s="9">
        <f t="shared" si="37"/>
        <v>1.0400625000000003E-5</v>
      </c>
      <c r="L588" s="10">
        <f t="shared" si="38"/>
        <v>33.247422680412377</v>
      </c>
    </row>
    <row r="589" spans="1:12" x14ac:dyDescent="0.15">
      <c r="A589" s="3">
        <v>39722</v>
      </c>
      <c r="B589" s="4">
        <v>9.7000000000000003E-3</v>
      </c>
      <c r="C589" s="12">
        <f t="shared" si="39"/>
        <v>1.2925000000000001E-2</v>
      </c>
      <c r="G589" s="3">
        <v>39753</v>
      </c>
      <c r="H589" s="4">
        <v>3.8999999999999998E-3</v>
      </c>
      <c r="I589" s="12">
        <v>8.3249999999999991E-3</v>
      </c>
      <c r="J589" s="4">
        <f t="shared" si="36"/>
        <v>5.0762111801242231E-2</v>
      </c>
      <c r="K589" s="9">
        <f t="shared" si="37"/>
        <v>1.9580624999999992E-5</v>
      </c>
      <c r="L589" s="10">
        <f t="shared" si="38"/>
        <v>113.46153846153845</v>
      </c>
    </row>
    <row r="590" spans="1:12" x14ac:dyDescent="0.15">
      <c r="A590" s="3">
        <v>39753</v>
      </c>
      <c r="B590" s="4">
        <v>3.8999999999999998E-3</v>
      </c>
      <c r="C590" s="12">
        <f t="shared" si="39"/>
        <v>8.3249999999999991E-3</v>
      </c>
      <c r="G590" s="3">
        <v>39783</v>
      </c>
      <c r="H590" s="4">
        <v>1.6000000000000001E-3</v>
      </c>
      <c r="I590" s="12">
        <v>4.1750000000000008E-3</v>
      </c>
      <c r="J590" s="4">
        <f t="shared" si="36"/>
        <v>5.3062111801242234E-2</v>
      </c>
      <c r="K590" s="9">
        <f t="shared" si="37"/>
        <v>6.6306250000000048E-6</v>
      </c>
      <c r="L590" s="10">
        <f t="shared" si="38"/>
        <v>160.93750000000006</v>
      </c>
    </row>
    <row r="591" spans="1:12" x14ac:dyDescent="0.15">
      <c r="A591" s="3">
        <v>39783</v>
      </c>
      <c r="B591" s="4">
        <v>1.6000000000000001E-3</v>
      </c>
      <c r="C591" s="12">
        <f t="shared" si="39"/>
        <v>4.1750000000000008E-3</v>
      </c>
      <c r="G591" s="3">
        <v>39814</v>
      </c>
      <c r="H591" s="4">
        <v>1.5E-3</v>
      </c>
      <c r="I591" s="12">
        <v>2.3E-3</v>
      </c>
      <c r="J591" s="4">
        <f t="shared" si="36"/>
        <v>5.316211180124223E-2</v>
      </c>
      <c r="K591" s="9">
        <f t="shared" si="37"/>
        <v>6.3999999999999991E-7</v>
      </c>
      <c r="L591" s="10">
        <f t="shared" si="38"/>
        <v>53.333333333333336</v>
      </c>
    </row>
    <row r="592" spans="1:12" x14ac:dyDescent="0.15">
      <c r="A592" s="3">
        <v>39814</v>
      </c>
      <c r="B592" s="4">
        <v>1.5E-3</v>
      </c>
      <c r="C592" s="12">
        <f t="shared" si="39"/>
        <v>2.3E-3</v>
      </c>
      <c r="G592" s="3">
        <v>39845</v>
      </c>
      <c r="H592" s="4">
        <v>2.2000000000000001E-3</v>
      </c>
      <c r="I592" s="12">
        <v>1.7750000000000001E-3</v>
      </c>
      <c r="J592" s="4">
        <f t="shared" si="36"/>
        <v>5.2462111801242231E-2</v>
      </c>
      <c r="K592" s="9">
        <f t="shared" si="37"/>
        <v>1.8062500000000002E-7</v>
      </c>
      <c r="L592" s="10">
        <f t="shared" si="38"/>
        <v>19.318181818181817</v>
      </c>
    </row>
    <row r="593" spans="1:12" x14ac:dyDescent="0.15">
      <c r="A593" s="3">
        <v>39845</v>
      </c>
      <c r="B593" s="4">
        <v>2.2000000000000001E-3</v>
      </c>
      <c r="C593" s="12">
        <f t="shared" si="39"/>
        <v>1.7750000000000001E-3</v>
      </c>
      <c r="G593" s="3">
        <v>39873</v>
      </c>
      <c r="H593" s="4">
        <v>1.8E-3</v>
      </c>
      <c r="I593" s="12">
        <v>1.7499999999999998E-3</v>
      </c>
      <c r="J593" s="4">
        <f t="shared" si="36"/>
        <v>5.2862111801242229E-2</v>
      </c>
      <c r="K593" s="9">
        <f t="shared" si="37"/>
        <v>2.5000000000000133E-9</v>
      </c>
      <c r="L593" s="10">
        <f t="shared" si="38"/>
        <v>2.7777777777777852</v>
      </c>
    </row>
    <row r="594" spans="1:12" x14ac:dyDescent="0.15">
      <c r="A594" s="3">
        <v>39873</v>
      </c>
      <c r="B594" s="4">
        <v>1.8E-3</v>
      </c>
      <c r="C594" s="12">
        <f t="shared" si="39"/>
        <v>1.7499999999999998E-3</v>
      </c>
      <c r="G594" s="3">
        <v>39904</v>
      </c>
      <c r="H594" s="4">
        <v>1.5E-3</v>
      </c>
      <c r="I594" s="12">
        <v>1.8249999999999998E-3</v>
      </c>
      <c r="J594" s="4">
        <f t="shared" si="36"/>
        <v>5.316211180124223E-2</v>
      </c>
      <c r="K594" s="9">
        <f t="shared" si="37"/>
        <v>1.0562499999999985E-7</v>
      </c>
      <c r="L594" s="10">
        <f t="shared" si="38"/>
        <v>21.66666666666665</v>
      </c>
    </row>
    <row r="595" spans="1:12" x14ac:dyDescent="0.15">
      <c r="A595" s="3">
        <v>39904</v>
      </c>
      <c r="B595" s="4">
        <v>1.5E-3</v>
      </c>
      <c r="C595" s="12">
        <f t="shared" si="39"/>
        <v>1.8249999999999998E-3</v>
      </c>
      <c r="G595" s="3">
        <v>39934</v>
      </c>
      <c r="H595" s="4">
        <v>1.8E-3</v>
      </c>
      <c r="I595" s="12">
        <v>1.8E-3</v>
      </c>
      <c r="J595" s="4">
        <f t="shared" si="36"/>
        <v>5.2862111801242229E-2</v>
      </c>
      <c r="K595" s="9">
        <f t="shared" si="37"/>
        <v>0</v>
      </c>
      <c r="L595" s="10">
        <f t="shared" si="38"/>
        <v>0</v>
      </c>
    </row>
    <row r="596" spans="1:12" x14ac:dyDescent="0.15">
      <c r="A596" s="3">
        <v>39934</v>
      </c>
      <c r="B596" s="4">
        <v>1.8E-3</v>
      </c>
      <c r="C596" s="12">
        <f t="shared" si="39"/>
        <v>1.8E-3</v>
      </c>
      <c r="G596" s="3">
        <v>39965</v>
      </c>
      <c r="H596" s="4">
        <v>2.0999999999999999E-3</v>
      </c>
      <c r="I596" s="12">
        <v>1.75E-3</v>
      </c>
      <c r="J596" s="4">
        <f t="shared" si="36"/>
        <v>5.2562111801242234E-2</v>
      </c>
      <c r="K596" s="9">
        <f t="shared" si="37"/>
        <v>1.2249999999999989E-7</v>
      </c>
      <c r="L596" s="10">
        <f t="shared" si="38"/>
        <v>16.666666666666661</v>
      </c>
    </row>
    <row r="597" spans="1:12" x14ac:dyDescent="0.15">
      <c r="A597" s="3">
        <v>39965</v>
      </c>
      <c r="B597" s="4">
        <v>2.0999999999999999E-3</v>
      </c>
      <c r="C597" s="12">
        <f t="shared" si="39"/>
        <v>1.75E-3</v>
      </c>
      <c r="G597" s="3">
        <v>39995</v>
      </c>
      <c r="H597" s="4">
        <v>1.6000000000000001E-3</v>
      </c>
      <c r="I597" s="12">
        <v>1.7749999999999999E-3</v>
      </c>
      <c r="J597" s="4">
        <f t="shared" si="36"/>
        <v>5.3062111801242234E-2</v>
      </c>
      <c r="K597" s="9">
        <f t="shared" si="37"/>
        <v>3.0624999999999932E-8</v>
      </c>
      <c r="L597" s="10">
        <f t="shared" si="38"/>
        <v>10.937499999999988</v>
      </c>
    </row>
    <row r="598" spans="1:12" x14ac:dyDescent="0.15">
      <c r="A598" s="3">
        <v>39995</v>
      </c>
      <c r="B598" s="4">
        <v>1.6000000000000001E-3</v>
      </c>
      <c r="C598" s="12">
        <f t="shared" si="39"/>
        <v>1.7749999999999999E-3</v>
      </c>
      <c r="G598" s="3">
        <v>40026</v>
      </c>
      <c r="H598" s="4">
        <v>1.6000000000000001E-3</v>
      </c>
      <c r="I598" s="12">
        <v>1.7000000000000001E-3</v>
      </c>
      <c r="J598" s="4">
        <f t="shared" si="36"/>
        <v>5.3062111801242234E-2</v>
      </c>
      <c r="K598" s="9">
        <f t="shared" si="37"/>
        <v>1.0000000000000008E-8</v>
      </c>
      <c r="L598" s="10">
        <f t="shared" si="38"/>
        <v>6.2500000000000027</v>
      </c>
    </row>
    <row r="599" spans="1:12" x14ac:dyDescent="0.15">
      <c r="A599" s="3">
        <v>40026</v>
      </c>
      <c r="B599" s="4">
        <v>1.6000000000000001E-3</v>
      </c>
      <c r="C599" s="12">
        <f t="shared" si="39"/>
        <v>1.7000000000000001E-3</v>
      </c>
      <c r="G599" s="3">
        <v>40057</v>
      </c>
      <c r="H599" s="4">
        <v>1.5E-3</v>
      </c>
      <c r="I599" s="12">
        <v>1.475E-3</v>
      </c>
      <c r="J599" s="4">
        <f t="shared" si="36"/>
        <v>5.316211180124223E-2</v>
      </c>
      <c r="K599" s="9">
        <f t="shared" si="37"/>
        <v>6.2500000000000332E-10</v>
      </c>
      <c r="L599" s="10">
        <f t="shared" si="38"/>
        <v>1.6666666666666712</v>
      </c>
    </row>
    <row r="600" spans="1:12" x14ac:dyDescent="0.15">
      <c r="A600" s="3">
        <v>40057</v>
      </c>
      <c r="B600" s="4">
        <v>1.5E-3</v>
      </c>
      <c r="C600" s="12">
        <f t="shared" si="39"/>
        <v>1.475E-3</v>
      </c>
      <c r="G600" s="3">
        <v>40087</v>
      </c>
      <c r="H600" s="4">
        <v>1.1999999999999999E-3</v>
      </c>
      <c r="I600" s="12">
        <v>1.3749999999999999E-3</v>
      </c>
      <c r="J600" s="4">
        <f t="shared" si="36"/>
        <v>5.3462111801242232E-2</v>
      </c>
      <c r="K600" s="9">
        <f t="shared" si="37"/>
        <v>3.0625000000000011E-8</v>
      </c>
      <c r="L600" s="10">
        <f t="shared" si="38"/>
        <v>14.583333333333337</v>
      </c>
    </row>
    <row r="601" spans="1:12" x14ac:dyDescent="0.15">
      <c r="A601" s="3">
        <v>40087</v>
      </c>
      <c r="B601" s="4">
        <v>1.1999999999999999E-3</v>
      </c>
      <c r="C601" s="12">
        <f t="shared" si="39"/>
        <v>1.3749999999999999E-3</v>
      </c>
      <c r="G601" s="3">
        <v>40118</v>
      </c>
      <c r="H601" s="4">
        <v>1.1999999999999999E-3</v>
      </c>
      <c r="I601" s="12">
        <v>1.2749999999999999E-3</v>
      </c>
      <c r="J601" s="4">
        <f t="shared" si="36"/>
        <v>5.3462111801242232E-2</v>
      </c>
      <c r="K601" s="9">
        <f t="shared" si="37"/>
        <v>5.6249999999999966E-9</v>
      </c>
      <c r="L601" s="10">
        <f t="shared" si="38"/>
        <v>6.2499999999999982</v>
      </c>
    </row>
    <row r="602" spans="1:12" x14ac:dyDescent="0.15">
      <c r="A602" s="3">
        <v>40118</v>
      </c>
      <c r="B602" s="4">
        <v>1.1999999999999999E-3</v>
      </c>
      <c r="C602" s="12">
        <f t="shared" si="39"/>
        <v>1.2749999999999999E-3</v>
      </c>
      <c r="G602" s="3">
        <v>40148</v>
      </c>
      <c r="H602" s="4">
        <v>1.1999999999999999E-3</v>
      </c>
      <c r="I602" s="12">
        <v>1.175E-3</v>
      </c>
      <c r="J602" s="4">
        <f t="shared" si="36"/>
        <v>5.3462111801242232E-2</v>
      </c>
      <c r="K602" s="9">
        <f t="shared" si="37"/>
        <v>6.2499999999999247E-10</v>
      </c>
      <c r="L602" s="10">
        <f t="shared" si="38"/>
        <v>2.083333333333321</v>
      </c>
    </row>
    <row r="603" spans="1:12" x14ac:dyDescent="0.15">
      <c r="A603" s="3">
        <v>40148</v>
      </c>
      <c r="B603" s="4">
        <v>1.1999999999999999E-3</v>
      </c>
      <c r="C603" s="12">
        <f t="shared" si="39"/>
        <v>1.175E-3</v>
      </c>
      <c r="G603" s="3">
        <v>40179</v>
      </c>
      <c r="H603" s="4">
        <v>1.1000000000000001E-3</v>
      </c>
      <c r="I603" s="12">
        <v>1.1999999999999999E-3</v>
      </c>
      <c r="J603" s="4">
        <f t="shared" si="36"/>
        <v>5.3562111801242235E-2</v>
      </c>
      <c r="K603" s="9">
        <f t="shared" si="37"/>
        <v>9.9999999999999655E-9</v>
      </c>
      <c r="L603" s="10">
        <f t="shared" si="38"/>
        <v>9.090909090909074</v>
      </c>
    </row>
    <row r="604" spans="1:12" x14ac:dyDescent="0.15">
      <c r="A604" s="3">
        <v>40179</v>
      </c>
      <c r="B604" s="4">
        <v>1.1000000000000001E-3</v>
      </c>
      <c r="C604" s="12">
        <f t="shared" si="39"/>
        <v>1.1999999999999999E-3</v>
      </c>
      <c r="G604" s="3">
        <v>40210</v>
      </c>
      <c r="H604" s="4">
        <v>1.2999999999999999E-3</v>
      </c>
      <c r="I604" s="12">
        <v>1.2999999999999999E-3</v>
      </c>
      <c r="J604" s="4">
        <f t="shared" si="36"/>
        <v>5.3362111801242229E-2</v>
      </c>
      <c r="K604" s="9">
        <f t="shared" si="37"/>
        <v>0</v>
      </c>
      <c r="L604" s="10">
        <f t="shared" si="38"/>
        <v>0</v>
      </c>
    </row>
    <row r="605" spans="1:12" x14ac:dyDescent="0.15">
      <c r="A605" s="3">
        <v>40210</v>
      </c>
      <c r="B605" s="4">
        <v>1.2999999999999999E-3</v>
      </c>
      <c r="C605" s="12">
        <f t="shared" si="39"/>
        <v>1.2999999999999999E-3</v>
      </c>
      <c r="G605" s="3">
        <v>40238</v>
      </c>
      <c r="H605" s="4">
        <v>1.6000000000000001E-3</v>
      </c>
      <c r="I605" s="12">
        <v>1.5E-3</v>
      </c>
      <c r="J605" s="4">
        <f t="shared" si="36"/>
        <v>5.3062111801242234E-2</v>
      </c>
      <c r="K605" s="9">
        <f t="shared" si="37"/>
        <v>1.0000000000000008E-8</v>
      </c>
      <c r="L605" s="10">
        <f t="shared" si="38"/>
        <v>6.2500000000000027</v>
      </c>
    </row>
    <row r="606" spans="1:12" x14ac:dyDescent="0.15">
      <c r="A606" s="3">
        <v>40238</v>
      </c>
      <c r="B606" s="4">
        <v>1.6000000000000001E-3</v>
      </c>
      <c r="C606" s="12">
        <f t="shared" si="39"/>
        <v>1.5E-3</v>
      </c>
      <c r="G606" s="3">
        <v>40269</v>
      </c>
      <c r="H606" s="4">
        <v>2E-3</v>
      </c>
      <c r="I606" s="12">
        <v>1.725E-3</v>
      </c>
      <c r="J606" s="4">
        <f t="shared" si="36"/>
        <v>5.266211180124223E-2</v>
      </c>
      <c r="K606" s="9">
        <f t="shared" si="37"/>
        <v>7.5625000000000044E-8</v>
      </c>
      <c r="L606" s="10">
        <f t="shared" si="38"/>
        <v>13.750000000000004</v>
      </c>
    </row>
    <row r="607" spans="1:12" x14ac:dyDescent="0.15">
      <c r="A607" s="3">
        <v>40269</v>
      </c>
      <c r="B607" s="4">
        <v>2E-3</v>
      </c>
      <c r="C607" s="12">
        <f t="shared" si="39"/>
        <v>1.725E-3</v>
      </c>
      <c r="G607" s="3">
        <v>40299</v>
      </c>
      <c r="H607" s="4">
        <v>2E-3</v>
      </c>
      <c r="I607" s="12">
        <v>1.8500000000000001E-3</v>
      </c>
      <c r="J607" s="4">
        <f t="shared" si="36"/>
        <v>5.266211180124223E-2</v>
      </c>
      <c r="K607" s="9">
        <f t="shared" si="37"/>
        <v>2.2499999999999986E-8</v>
      </c>
      <c r="L607" s="10">
        <f t="shared" si="38"/>
        <v>7.4999999999999982</v>
      </c>
    </row>
    <row r="608" spans="1:12" x14ac:dyDescent="0.15">
      <c r="A608" s="3">
        <v>40299</v>
      </c>
      <c r="B608" s="4">
        <v>2E-3</v>
      </c>
      <c r="C608" s="12">
        <f t="shared" si="39"/>
        <v>1.8500000000000001E-3</v>
      </c>
      <c r="G608" s="3">
        <v>40330</v>
      </c>
      <c r="H608" s="4">
        <v>1.8E-3</v>
      </c>
      <c r="I608" s="12">
        <v>1.8999999999999998E-3</v>
      </c>
      <c r="J608" s="4">
        <f t="shared" si="36"/>
        <v>5.2862111801242229E-2</v>
      </c>
      <c r="K608" s="9">
        <f t="shared" si="37"/>
        <v>9.9999999999999655E-9</v>
      </c>
      <c r="L608" s="10">
        <f t="shared" si="38"/>
        <v>5.5555555555555465</v>
      </c>
    </row>
    <row r="609" spans="1:12" x14ac:dyDescent="0.15">
      <c r="A609" s="3">
        <v>40330</v>
      </c>
      <c r="B609" s="4">
        <v>1.8E-3</v>
      </c>
      <c r="C609" s="12">
        <f t="shared" si="39"/>
        <v>1.8999999999999998E-3</v>
      </c>
      <c r="G609" s="3">
        <v>40360</v>
      </c>
      <c r="H609" s="4">
        <v>1.8E-3</v>
      </c>
      <c r="I609" s="12">
        <v>1.8749999999999999E-3</v>
      </c>
      <c r="J609" s="4">
        <f t="shared" si="36"/>
        <v>5.2862111801242229E-2</v>
      </c>
      <c r="K609" s="9">
        <f t="shared" si="37"/>
        <v>5.6249999999999966E-9</v>
      </c>
      <c r="L609" s="10">
        <f t="shared" si="38"/>
        <v>4.1666666666666661</v>
      </c>
    </row>
    <row r="610" spans="1:12" x14ac:dyDescent="0.15">
      <c r="A610" s="3">
        <v>40360</v>
      </c>
      <c r="B610" s="4">
        <v>1.8E-3</v>
      </c>
      <c r="C610" s="12">
        <f t="shared" si="39"/>
        <v>1.8749999999999999E-3</v>
      </c>
      <c r="G610" s="3">
        <v>40391</v>
      </c>
      <c r="H610" s="4">
        <v>1.9E-3</v>
      </c>
      <c r="I610" s="12">
        <v>1.8499999999999999E-3</v>
      </c>
      <c r="J610" s="4">
        <f t="shared" si="36"/>
        <v>5.2762111801242233E-2</v>
      </c>
      <c r="K610" s="9">
        <f t="shared" si="37"/>
        <v>2.5000000000000133E-9</v>
      </c>
      <c r="L610" s="10">
        <f t="shared" si="38"/>
        <v>2.6315789473684279</v>
      </c>
    </row>
    <row r="611" spans="1:12" x14ac:dyDescent="0.15">
      <c r="A611" s="3">
        <v>40391</v>
      </c>
      <c r="B611" s="4">
        <v>1.9E-3</v>
      </c>
      <c r="C611" s="12">
        <f t="shared" si="39"/>
        <v>1.8499999999999999E-3</v>
      </c>
      <c r="G611" s="3">
        <v>40422</v>
      </c>
      <c r="H611" s="6">
        <v>1.9E-3</v>
      </c>
      <c r="I611" s="12">
        <v>1.8749999999999999E-3</v>
      </c>
      <c r="J611" s="4">
        <f t="shared" si="36"/>
        <v>5.2762111801242233E-2</v>
      </c>
      <c r="K611" s="9">
        <f t="shared" si="37"/>
        <v>6.2500000000000332E-10</v>
      </c>
      <c r="L611" s="10">
        <f t="shared" si="38"/>
        <v>1.315789473684214</v>
      </c>
    </row>
    <row r="612" spans="1:12" x14ac:dyDescent="0.15">
      <c r="A612" s="3">
        <v>40422</v>
      </c>
      <c r="B612" s="6">
        <v>1.9E-3</v>
      </c>
      <c r="C612" s="12">
        <f t="shared" si="39"/>
        <v>1.8749999999999999E-3</v>
      </c>
      <c r="G612" s="3">
        <v>40452</v>
      </c>
      <c r="H612" s="6">
        <v>1.9E-3</v>
      </c>
      <c r="I612" s="12">
        <v>1.9E-3</v>
      </c>
      <c r="J612" s="4">
        <f t="shared" si="36"/>
        <v>5.2762111801242233E-2</v>
      </c>
      <c r="K612" s="9">
        <f t="shared" si="37"/>
        <v>0</v>
      </c>
      <c r="L612" s="10">
        <f t="shared" si="38"/>
        <v>0</v>
      </c>
    </row>
    <row r="613" spans="1:12" x14ac:dyDescent="0.15">
      <c r="A613" s="3">
        <v>40452</v>
      </c>
      <c r="B613" s="6">
        <v>1.9E-3</v>
      </c>
      <c r="C613" s="12">
        <f t="shared" si="39"/>
        <v>1.9E-3</v>
      </c>
      <c r="G613" s="3">
        <v>40483</v>
      </c>
      <c r="H613" s="6">
        <v>1.9E-3</v>
      </c>
      <c r="I613" s="12">
        <v>1.8749999999999999E-3</v>
      </c>
      <c r="J613" s="4">
        <f t="shared" si="36"/>
        <v>5.2762111801242233E-2</v>
      </c>
      <c r="K613" s="9">
        <f t="shared" si="37"/>
        <v>6.2500000000000332E-10</v>
      </c>
      <c r="L613" s="10">
        <f t="shared" si="38"/>
        <v>1.315789473684214</v>
      </c>
    </row>
    <row r="614" spans="1:12" x14ac:dyDescent="0.15">
      <c r="A614" s="3">
        <v>40483</v>
      </c>
      <c r="B614" s="6">
        <v>1.9E-3</v>
      </c>
      <c r="C614" s="12">
        <f t="shared" si="39"/>
        <v>1.8749999999999999E-3</v>
      </c>
      <c r="G614" s="3">
        <v>40513</v>
      </c>
      <c r="H614" s="6">
        <v>1.8E-3</v>
      </c>
      <c r="I614" s="12">
        <v>1.825E-3</v>
      </c>
      <c r="J614" s="4">
        <f t="shared" si="36"/>
        <v>5.2862111801242229E-2</v>
      </c>
      <c r="K614" s="9">
        <f t="shared" si="37"/>
        <v>6.2500000000000332E-10</v>
      </c>
      <c r="L614" s="10">
        <f t="shared" si="38"/>
        <v>1.3888888888888926</v>
      </c>
    </row>
    <row r="615" spans="1:12" x14ac:dyDescent="0.15">
      <c r="A615" s="3">
        <v>40513</v>
      </c>
      <c r="B615" s="6">
        <v>1.8E-3</v>
      </c>
      <c r="C615" s="12">
        <f t="shared" si="39"/>
        <v>1.825E-3</v>
      </c>
      <c r="G615" s="3">
        <v>40544</v>
      </c>
      <c r="H615" s="6">
        <v>1.6999999999999999E-3</v>
      </c>
      <c r="I615" s="12">
        <v>1.75E-3</v>
      </c>
      <c r="J615" s="4">
        <f t="shared" si="36"/>
        <v>5.2962111801242232E-2</v>
      </c>
      <c r="K615" s="9">
        <f t="shared" si="37"/>
        <v>2.5000000000000133E-9</v>
      </c>
      <c r="L615" s="10">
        <f t="shared" si="38"/>
        <v>2.9411764705882431</v>
      </c>
    </row>
    <row r="616" spans="1:12" x14ac:dyDescent="0.15">
      <c r="A616" s="3">
        <v>40544</v>
      </c>
      <c r="B616" s="6">
        <v>1.6999999999999999E-3</v>
      </c>
      <c r="C616" s="12">
        <f t="shared" si="39"/>
        <v>1.75E-3</v>
      </c>
      <c r="G616" s="3">
        <v>40575</v>
      </c>
      <c r="H616" s="6">
        <v>1.6000000000000001E-3</v>
      </c>
      <c r="I616" s="12">
        <v>1.6249999999999999E-3</v>
      </c>
      <c r="J616" s="4">
        <f t="shared" si="36"/>
        <v>5.3062111801242234E-2</v>
      </c>
      <c r="K616" s="9">
        <f t="shared" si="37"/>
        <v>6.2499999999999247E-10</v>
      </c>
      <c r="L616" s="10">
        <f t="shared" si="38"/>
        <v>1.5624999999999905</v>
      </c>
    </row>
    <row r="617" spans="1:12" x14ac:dyDescent="0.15">
      <c r="A617" s="3">
        <v>40575</v>
      </c>
      <c r="B617" s="6">
        <v>1.6000000000000001E-3</v>
      </c>
      <c r="C617" s="12">
        <f t="shared" si="39"/>
        <v>1.6249999999999999E-3</v>
      </c>
      <c r="G617" s="3">
        <v>40603</v>
      </c>
      <c r="H617" s="6">
        <v>1.4E-3</v>
      </c>
      <c r="I617" s="12">
        <v>1.4250000000000001E-3</v>
      </c>
      <c r="J617" s="4">
        <f t="shared" si="36"/>
        <v>5.3262111801242233E-2</v>
      </c>
      <c r="K617" s="9">
        <f t="shared" si="37"/>
        <v>6.2500000000000332E-10</v>
      </c>
      <c r="L617" s="10">
        <f t="shared" si="38"/>
        <v>1.7857142857142905</v>
      </c>
    </row>
    <row r="618" spans="1:12" x14ac:dyDescent="0.15">
      <c r="A618" s="3">
        <v>40603</v>
      </c>
      <c r="B618" s="6">
        <v>1.4E-3</v>
      </c>
      <c r="C618" s="12">
        <f t="shared" si="39"/>
        <v>1.4250000000000001E-3</v>
      </c>
      <c r="G618" s="3">
        <v>40634</v>
      </c>
      <c r="H618" s="6">
        <v>1E-3</v>
      </c>
      <c r="I618" s="12">
        <v>1.225E-3</v>
      </c>
      <c r="J618" s="4">
        <f t="shared" si="36"/>
        <v>5.3662111801242231E-2</v>
      </c>
      <c r="K618" s="9">
        <f t="shared" si="37"/>
        <v>5.0624999999999972E-8</v>
      </c>
      <c r="L618" s="10">
        <f t="shared" si="38"/>
        <v>22.499999999999993</v>
      </c>
    </row>
    <row r="619" spans="1:12" x14ac:dyDescent="0.15">
      <c r="A619" s="3">
        <v>40634</v>
      </c>
      <c r="B619" s="6">
        <v>1E-3</v>
      </c>
      <c r="C619" s="12">
        <f t="shared" si="39"/>
        <v>1.225E-3</v>
      </c>
      <c r="G619" s="3">
        <v>40664</v>
      </c>
      <c r="H619" s="6">
        <v>8.9999999999999998E-4</v>
      </c>
      <c r="I619" s="12">
        <v>1.0499999999999999E-3</v>
      </c>
      <c r="J619" s="4">
        <f t="shared" si="36"/>
        <v>5.3762111801242234E-2</v>
      </c>
      <c r="K619" s="9">
        <f t="shared" si="37"/>
        <v>2.2499999999999986E-8</v>
      </c>
      <c r="L619" s="10">
        <f t="shared" si="38"/>
        <v>16.666666666666664</v>
      </c>
    </row>
    <row r="620" spans="1:12" x14ac:dyDescent="0.15">
      <c r="A620" s="3">
        <v>40664</v>
      </c>
      <c r="B620" s="6">
        <v>8.9999999999999998E-4</v>
      </c>
      <c r="C620" s="12">
        <f t="shared" si="39"/>
        <v>1.0499999999999999E-3</v>
      </c>
      <c r="G620" s="3">
        <v>40695</v>
      </c>
      <c r="H620" s="6">
        <v>8.9999999999999998E-4</v>
      </c>
      <c r="I620" s="12">
        <v>8.7500000000000002E-4</v>
      </c>
      <c r="J620" s="4">
        <f t="shared" si="36"/>
        <v>5.3762111801242234E-2</v>
      </c>
      <c r="K620" s="9">
        <f t="shared" si="37"/>
        <v>6.2499999999999784E-10</v>
      </c>
      <c r="L620" s="10">
        <f t="shared" si="38"/>
        <v>2.7777777777777732</v>
      </c>
    </row>
    <row r="621" spans="1:12" x14ac:dyDescent="0.15">
      <c r="A621" s="3">
        <v>40695</v>
      </c>
      <c r="B621" s="6">
        <v>8.9999999999999998E-4</v>
      </c>
      <c r="C621" s="12">
        <f t="shared" si="39"/>
        <v>8.7500000000000002E-4</v>
      </c>
      <c r="G621" s="3">
        <v>40725</v>
      </c>
      <c r="H621" s="6">
        <v>6.9999999999999999E-4</v>
      </c>
      <c r="I621" s="12">
        <v>8.7500000000000002E-4</v>
      </c>
      <c r="J621" s="4">
        <f t="shared" si="36"/>
        <v>5.3962111801242232E-2</v>
      </c>
      <c r="K621" s="9">
        <f t="shared" si="37"/>
        <v>3.0625000000000011E-8</v>
      </c>
      <c r="L621" s="10">
        <f t="shared" si="38"/>
        <v>25.000000000000007</v>
      </c>
    </row>
    <row r="622" spans="1:12" x14ac:dyDescent="0.15">
      <c r="A622" s="3">
        <v>40725</v>
      </c>
      <c r="B622" s="6">
        <v>6.9999999999999999E-4</v>
      </c>
      <c r="C622" s="12">
        <f t="shared" si="39"/>
        <v>8.7500000000000002E-4</v>
      </c>
      <c r="G622" s="3">
        <v>40756</v>
      </c>
      <c r="H622" s="6">
        <v>1E-3</v>
      </c>
      <c r="I622" s="12">
        <v>8.4999999999999995E-4</v>
      </c>
      <c r="J622" s="4">
        <f t="shared" si="36"/>
        <v>5.3662111801242231E-2</v>
      </c>
      <c r="K622" s="9">
        <f t="shared" si="37"/>
        <v>2.2500000000000019E-8</v>
      </c>
      <c r="L622" s="10">
        <f t="shared" si="38"/>
        <v>15.000000000000007</v>
      </c>
    </row>
    <row r="623" spans="1:12" x14ac:dyDescent="0.15">
      <c r="A623" s="3">
        <v>40756</v>
      </c>
      <c r="B623" s="6">
        <v>1E-3</v>
      </c>
      <c r="C623" s="12">
        <f t="shared" si="39"/>
        <v>8.4999999999999995E-4</v>
      </c>
      <c r="G623" s="3">
        <v>40787</v>
      </c>
      <c r="H623" s="6">
        <v>8.0000000000000004E-4</v>
      </c>
      <c r="I623" s="12">
        <v>8.0000000000000004E-4</v>
      </c>
      <c r="J623" s="4">
        <f t="shared" si="36"/>
        <v>5.386211180124223E-2</v>
      </c>
      <c r="K623" s="9">
        <f t="shared" si="37"/>
        <v>0</v>
      </c>
      <c r="L623" s="10">
        <f t="shared" si="38"/>
        <v>0</v>
      </c>
    </row>
    <row r="624" spans="1:12" x14ac:dyDescent="0.15">
      <c r="A624" s="3">
        <v>40787</v>
      </c>
      <c r="B624" s="6">
        <v>8.0000000000000004E-4</v>
      </c>
      <c r="C624" s="12">
        <f t="shared" si="39"/>
        <v>8.0000000000000004E-4</v>
      </c>
      <c r="G624" s="3">
        <v>40817</v>
      </c>
      <c r="H624" s="6">
        <v>6.9999999999999999E-4</v>
      </c>
      <c r="I624" s="12">
        <v>8.25E-4</v>
      </c>
      <c r="J624" s="4">
        <f t="shared" si="36"/>
        <v>5.3962111801242232E-2</v>
      </c>
      <c r="K624" s="9">
        <f t="shared" si="37"/>
        <v>1.5624999999999999E-8</v>
      </c>
      <c r="L624" s="10">
        <f t="shared" si="38"/>
        <v>17.857142857142858</v>
      </c>
    </row>
    <row r="625" spans="1:12" x14ac:dyDescent="0.15">
      <c r="A625" s="3">
        <v>40817</v>
      </c>
      <c r="B625" s="6">
        <v>6.9999999999999999E-4</v>
      </c>
      <c r="C625" s="12">
        <f t="shared" si="39"/>
        <v>8.25E-4</v>
      </c>
      <c r="G625" s="3">
        <v>40848</v>
      </c>
      <c r="H625" s="6">
        <v>8.0000000000000004E-4</v>
      </c>
      <c r="I625" s="12">
        <v>7.5000000000000002E-4</v>
      </c>
      <c r="J625" s="4">
        <f t="shared" si="36"/>
        <v>5.386211180124223E-2</v>
      </c>
      <c r="K625" s="9">
        <f t="shared" si="37"/>
        <v>2.5000000000000021E-9</v>
      </c>
      <c r="L625" s="10">
        <f t="shared" si="38"/>
        <v>6.2500000000000027</v>
      </c>
    </row>
    <row r="626" spans="1:12" x14ac:dyDescent="0.15">
      <c r="A626" s="3">
        <v>40848</v>
      </c>
      <c r="B626" s="6">
        <v>8.0000000000000004E-4</v>
      </c>
      <c r="C626" s="12">
        <f t="shared" si="39"/>
        <v>7.5000000000000002E-4</v>
      </c>
      <c r="G626" s="3">
        <v>40878</v>
      </c>
      <c r="H626" s="6">
        <v>6.9999999999999999E-4</v>
      </c>
      <c r="I626" s="12">
        <v>7.5000000000000002E-4</v>
      </c>
      <c r="J626" s="4">
        <f t="shared" si="36"/>
        <v>5.3962111801242232E-2</v>
      </c>
      <c r="K626" s="9">
        <f t="shared" si="37"/>
        <v>2.5000000000000021E-9</v>
      </c>
      <c r="L626" s="10">
        <f t="shared" si="38"/>
        <v>7.1428571428571468</v>
      </c>
    </row>
    <row r="627" spans="1:12" x14ac:dyDescent="0.15">
      <c r="A627" s="3">
        <v>40878</v>
      </c>
      <c r="B627" s="6">
        <v>6.9999999999999999E-4</v>
      </c>
      <c r="C627" s="12">
        <f t="shared" si="39"/>
        <v>7.5000000000000002E-4</v>
      </c>
      <c r="G627" s="3">
        <v>40909</v>
      </c>
      <c r="H627" s="6">
        <v>8.0000000000000004E-4</v>
      </c>
      <c r="I627" s="12">
        <v>8.25E-4</v>
      </c>
      <c r="J627" s="4">
        <f t="shared" si="36"/>
        <v>5.386211180124223E-2</v>
      </c>
      <c r="K627" s="9">
        <f t="shared" si="37"/>
        <v>6.2499999999999784E-10</v>
      </c>
      <c r="L627" s="10">
        <f t="shared" si="38"/>
        <v>3.1249999999999947</v>
      </c>
    </row>
    <row r="628" spans="1:12" x14ac:dyDescent="0.15">
      <c r="A628" s="3">
        <v>40909</v>
      </c>
      <c r="B628" s="6">
        <v>8.0000000000000004E-4</v>
      </c>
      <c r="C628" s="12">
        <f t="shared" si="39"/>
        <v>8.25E-4</v>
      </c>
      <c r="G628" s="3">
        <v>40940</v>
      </c>
      <c r="H628" s="6">
        <v>1E-3</v>
      </c>
      <c r="I628" s="12">
        <v>9.5E-4</v>
      </c>
      <c r="J628" s="4">
        <f t="shared" si="36"/>
        <v>5.3662111801242231E-2</v>
      </c>
      <c r="K628" s="9">
        <f t="shared" si="37"/>
        <v>2.5000000000000021E-9</v>
      </c>
      <c r="L628" s="10">
        <f t="shared" si="38"/>
        <v>5.0000000000000027</v>
      </c>
    </row>
    <row r="629" spans="1:12" x14ac:dyDescent="0.15">
      <c r="A629" s="3">
        <v>40940</v>
      </c>
      <c r="B629" s="6">
        <v>1E-3</v>
      </c>
      <c r="C629" s="12">
        <f t="shared" si="39"/>
        <v>9.5E-4</v>
      </c>
      <c r="G629" s="3">
        <v>40969</v>
      </c>
      <c r="H629" s="6">
        <v>1.2999999999999999E-3</v>
      </c>
      <c r="I629" s="12">
        <v>1.1249999999999999E-3</v>
      </c>
      <c r="J629" s="4">
        <f t="shared" si="36"/>
        <v>5.3362111801242229E-2</v>
      </c>
      <c r="K629" s="9">
        <f t="shared" si="37"/>
        <v>3.0625000000000011E-8</v>
      </c>
      <c r="L629" s="10">
        <f t="shared" si="38"/>
        <v>13.461538461538463</v>
      </c>
    </row>
    <row r="630" spans="1:12" x14ac:dyDescent="0.15">
      <c r="A630" s="3">
        <v>40969</v>
      </c>
      <c r="B630" s="6">
        <v>1.2999999999999999E-3</v>
      </c>
      <c r="C630" s="12">
        <f t="shared" si="39"/>
        <v>1.1249999999999999E-3</v>
      </c>
      <c r="G630" s="3">
        <v>41000</v>
      </c>
      <c r="H630" s="6">
        <v>1.4E-3</v>
      </c>
      <c r="I630" s="12">
        <v>1.325E-3</v>
      </c>
      <c r="J630" s="4">
        <f t="shared" si="36"/>
        <v>5.3262111801242233E-2</v>
      </c>
      <c r="K630" s="9">
        <f t="shared" si="37"/>
        <v>5.6249999999999966E-9</v>
      </c>
      <c r="L630" s="10">
        <f t="shared" si="38"/>
        <v>5.3571428571428559</v>
      </c>
    </row>
    <row r="631" spans="1:12" x14ac:dyDescent="0.15">
      <c r="A631" s="3">
        <v>41000</v>
      </c>
      <c r="B631" s="6">
        <v>1.4E-3</v>
      </c>
      <c r="C631" s="12">
        <f t="shared" si="39"/>
        <v>1.325E-3</v>
      </c>
      <c r="G631" s="3">
        <v>41030</v>
      </c>
      <c r="H631" s="6">
        <v>1.6000000000000001E-3</v>
      </c>
      <c r="I631" s="12">
        <v>1.475E-3</v>
      </c>
      <c r="J631" s="4">
        <f t="shared" si="36"/>
        <v>5.3062111801242234E-2</v>
      </c>
      <c r="K631" s="9">
        <f t="shared" si="37"/>
        <v>1.5625000000000029E-8</v>
      </c>
      <c r="L631" s="10">
        <f t="shared" si="38"/>
        <v>7.8125000000000071</v>
      </c>
    </row>
    <row r="632" spans="1:12" x14ac:dyDescent="0.15">
      <c r="A632" s="3">
        <v>41030</v>
      </c>
      <c r="B632" s="6">
        <v>1.6000000000000001E-3</v>
      </c>
      <c r="C632" s="12">
        <f t="shared" si="39"/>
        <v>1.475E-3</v>
      </c>
      <c r="G632" s="3">
        <v>41061</v>
      </c>
      <c r="H632" s="6">
        <v>1.6000000000000001E-3</v>
      </c>
      <c r="I632" s="12">
        <v>1.5499999999999999E-3</v>
      </c>
      <c r="J632" s="4">
        <f t="shared" si="36"/>
        <v>5.3062111801242234E-2</v>
      </c>
      <c r="K632" s="9">
        <f t="shared" si="37"/>
        <v>2.5000000000000133E-9</v>
      </c>
      <c r="L632" s="10">
        <f t="shared" si="38"/>
        <v>3.1250000000000084</v>
      </c>
    </row>
    <row r="633" spans="1:12" x14ac:dyDescent="0.15">
      <c r="A633" s="3">
        <v>41061</v>
      </c>
      <c r="B633" s="6">
        <v>1.6000000000000001E-3</v>
      </c>
      <c r="C633" s="12">
        <f t="shared" si="39"/>
        <v>1.5499999999999999E-3</v>
      </c>
      <c r="G633" s="3">
        <v>41091</v>
      </c>
      <c r="H633" s="6">
        <v>1.6000000000000001E-3</v>
      </c>
      <c r="I633" s="12">
        <v>1.5250000000000001E-3</v>
      </c>
      <c r="J633" s="4">
        <f t="shared" si="36"/>
        <v>5.3062111801242234E-2</v>
      </c>
      <c r="K633" s="9">
        <f t="shared" si="37"/>
        <v>5.6249999999999966E-9</v>
      </c>
      <c r="L633" s="10">
        <f t="shared" si="38"/>
        <v>4.6874999999999982</v>
      </c>
    </row>
    <row r="634" spans="1:12" x14ac:dyDescent="0.15">
      <c r="A634" s="3">
        <v>41091</v>
      </c>
      <c r="B634" s="6">
        <v>1.6000000000000001E-3</v>
      </c>
      <c r="C634" s="12">
        <f t="shared" si="39"/>
        <v>1.5250000000000001E-3</v>
      </c>
      <c r="G634" s="3">
        <v>41122</v>
      </c>
      <c r="H634" s="6">
        <v>1.2999999999999999E-3</v>
      </c>
      <c r="I634" s="12">
        <v>1.4750000000000002E-3</v>
      </c>
      <c r="J634" s="4">
        <f t="shared" si="36"/>
        <v>5.3362111801242229E-2</v>
      </c>
      <c r="K634" s="9">
        <f t="shared" si="37"/>
        <v>3.0625000000000084E-8</v>
      </c>
      <c r="L634" s="10">
        <f t="shared" si="38"/>
        <v>13.461538461538481</v>
      </c>
    </row>
    <row r="635" spans="1:12" x14ac:dyDescent="0.15">
      <c r="A635" s="3">
        <v>41122</v>
      </c>
      <c r="B635" s="6">
        <v>1.2999999999999999E-3</v>
      </c>
      <c r="C635" s="12">
        <f t="shared" si="39"/>
        <v>1.4750000000000002E-3</v>
      </c>
      <c r="G635" s="3">
        <v>41153</v>
      </c>
      <c r="H635" s="6">
        <v>1.4E-3</v>
      </c>
      <c r="I635" s="12">
        <v>1.475E-3</v>
      </c>
      <c r="J635" s="4">
        <f t="shared" si="36"/>
        <v>5.3262111801242233E-2</v>
      </c>
      <c r="K635" s="9">
        <f t="shared" si="37"/>
        <v>5.6249999999999966E-9</v>
      </c>
      <c r="L635" s="10">
        <f t="shared" si="38"/>
        <v>5.3571428571428559</v>
      </c>
    </row>
    <row r="636" spans="1:12" x14ac:dyDescent="0.15">
      <c r="A636" s="3">
        <v>41153</v>
      </c>
      <c r="B636" s="6">
        <v>1.4E-3</v>
      </c>
      <c r="C636" s="12">
        <f t="shared" si="39"/>
        <v>1.475E-3</v>
      </c>
      <c r="G636" s="3">
        <v>41183</v>
      </c>
      <c r="H636" s="6">
        <v>1.6000000000000001E-3</v>
      </c>
      <c r="I636" s="12">
        <v>1.475E-3</v>
      </c>
      <c r="J636" s="4">
        <f t="shared" si="36"/>
        <v>5.3062111801242234E-2</v>
      </c>
      <c r="K636" s="9">
        <f t="shared" si="37"/>
        <v>1.5625000000000029E-8</v>
      </c>
      <c r="L636" s="10">
        <f t="shared" si="38"/>
        <v>7.8125000000000071</v>
      </c>
    </row>
    <row r="637" spans="1:12" x14ac:dyDescent="0.15">
      <c r="A637" s="3">
        <v>41183</v>
      </c>
      <c r="B637" s="6">
        <v>1.6000000000000001E-3</v>
      </c>
      <c r="C637" s="12">
        <f t="shared" si="39"/>
        <v>1.475E-3</v>
      </c>
      <c r="G637" s="3">
        <v>41214</v>
      </c>
      <c r="H637" s="6">
        <v>1.6000000000000001E-3</v>
      </c>
      <c r="I637" s="12">
        <v>1.5499999999999999E-3</v>
      </c>
      <c r="J637" s="4">
        <f t="shared" si="36"/>
        <v>5.3062111801242234E-2</v>
      </c>
      <c r="K637" s="9">
        <f t="shared" si="37"/>
        <v>2.5000000000000133E-9</v>
      </c>
      <c r="L637" s="10">
        <f t="shared" si="38"/>
        <v>3.1250000000000084</v>
      </c>
    </row>
    <row r="638" spans="1:12" x14ac:dyDescent="0.15">
      <c r="A638" s="3">
        <v>41214</v>
      </c>
      <c r="B638" s="6">
        <v>1.6000000000000001E-3</v>
      </c>
      <c r="C638" s="12">
        <f t="shared" si="39"/>
        <v>1.5499999999999999E-3</v>
      </c>
      <c r="G638" s="3">
        <v>41244</v>
      </c>
      <c r="H638" s="6">
        <v>1.6000000000000001E-3</v>
      </c>
      <c r="I638" s="12">
        <v>1.5500000000000002E-3</v>
      </c>
      <c r="J638" s="4">
        <f t="shared" si="36"/>
        <v>5.3062111801242234E-2</v>
      </c>
      <c r="K638" s="9">
        <f t="shared" si="37"/>
        <v>2.4999999999999914E-9</v>
      </c>
      <c r="L638" s="10">
        <f t="shared" si="38"/>
        <v>3.1249999999999947</v>
      </c>
    </row>
    <row r="639" spans="1:12" x14ac:dyDescent="0.15">
      <c r="A639" s="3">
        <v>41244</v>
      </c>
      <c r="B639" s="6">
        <v>1.6000000000000001E-3</v>
      </c>
      <c r="C639" s="12">
        <f t="shared" si="39"/>
        <v>1.5500000000000002E-3</v>
      </c>
      <c r="G639" s="3">
        <v>41275</v>
      </c>
      <c r="H639" s="6">
        <v>1.4E-3</v>
      </c>
      <c r="I639" s="12">
        <v>1.5249999999999999E-3</v>
      </c>
      <c r="J639" s="4">
        <f t="shared" si="36"/>
        <v>5.3262111801242233E-2</v>
      </c>
      <c r="K639" s="9">
        <f t="shared" si="37"/>
        <v>1.5624999999999973E-8</v>
      </c>
      <c r="L639" s="10">
        <f t="shared" si="38"/>
        <v>8.9285714285714199</v>
      </c>
    </row>
    <row r="640" spans="1:12" x14ac:dyDescent="0.15">
      <c r="A640" s="3">
        <v>41275</v>
      </c>
      <c r="B640" s="6">
        <v>1.4E-3</v>
      </c>
      <c r="C640" s="12">
        <f t="shared" si="39"/>
        <v>1.5249999999999999E-3</v>
      </c>
      <c r="G640" s="3">
        <v>41306</v>
      </c>
      <c r="H640" s="6">
        <v>1.5E-3</v>
      </c>
      <c r="I640" s="12">
        <v>1.4750000000000002E-3</v>
      </c>
      <c r="J640" s="4">
        <f t="shared" si="36"/>
        <v>5.316211180124223E-2</v>
      </c>
      <c r="K640" s="9">
        <f t="shared" si="37"/>
        <v>6.2499999999999247E-10</v>
      </c>
      <c r="L640" s="10">
        <f t="shared" si="38"/>
        <v>1.6666666666666565</v>
      </c>
    </row>
    <row r="641" spans="1:12" x14ac:dyDescent="0.15">
      <c r="A641" s="3">
        <v>41306</v>
      </c>
      <c r="B641" s="6">
        <v>1.5E-3</v>
      </c>
      <c r="C641" s="12">
        <f t="shared" si="39"/>
        <v>1.4750000000000002E-3</v>
      </c>
      <c r="G641" s="3">
        <v>41334</v>
      </c>
      <c r="H641" s="6">
        <v>1.4E-3</v>
      </c>
      <c r="I641" s="12">
        <v>1.4499999999999999E-3</v>
      </c>
      <c r="J641" s="4">
        <f t="shared" si="36"/>
        <v>5.3262111801242233E-2</v>
      </c>
      <c r="K641" s="9">
        <f t="shared" si="37"/>
        <v>2.4999999999999914E-9</v>
      </c>
      <c r="L641" s="10">
        <f t="shared" si="38"/>
        <v>3.5714285714285658</v>
      </c>
    </row>
    <row r="642" spans="1:12" x14ac:dyDescent="0.15">
      <c r="A642" s="3">
        <v>41334</v>
      </c>
      <c r="B642" s="6">
        <v>1.4E-3</v>
      </c>
      <c r="C642" s="12">
        <f t="shared" si="39"/>
        <v>1.4499999999999999E-3</v>
      </c>
      <c r="G642" s="3">
        <v>41365</v>
      </c>
      <c r="H642" s="6">
        <v>1.5E-3</v>
      </c>
      <c r="I642" s="12">
        <v>1.3749999999999999E-3</v>
      </c>
      <c r="J642" s="4">
        <f t="shared" si="36"/>
        <v>5.316211180124223E-2</v>
      </c>
      <c r="K642" s="9">
        <f t="shared" si="37"/>
        <v>1.5625000000000029E-8</v>
      </c>
      <c r="L642" s="10">
        <f t="shared" si="38"/>
        <v>8.333333333333341</v>
      </c>
    </row>
    <row r="643" spans="1:12" x14ac:dyDescent="0.15">
      <c r="A643" s="3">
        <v>41365</v>
      </c>
      <c r="B643" s="6">
        <v>1.5E-3</v>
      </c>
      <c r="C643" s="12">
        <f t="shared" si="39"/>
        <v>1.3749999999999999E-3</v>
      </c>
      <c r="G643" s="3">
        <v>41395</v>
      </c>
      <c r="H643" s="6">
        <v>1.1000000000000001E-3</v>
      </c>
      <c r="I643" s="12">
        <v>1.225E-3</v>
      </c>
      <c r="J643" s="4">
        <f t="shared" si="36"/>
        <v>5.3562111801242235E-2</v>
      </c>
      <c r="K643" s="9">
        <f t="shared" si="37"/>
        <v>1.5624999999999973E-8</v>
      </c>
      <c r="L643" s="10">
        <f t="shared" si="38"/>
        <v>11.363636363636353</v>
      </c>
    </row>
    <row r="644" spans="1:12" x14ac:dyDescent="0.15">
      <c r="A644" s="3">
        <v>41395</v>
      </c>
      <c r="B644" s="6">
        <v>1.1000000000000001E-3</v>
      </c>
      <c r="C644" s="12">
        <f t="shared" si="39"/>
        <v>1.225E-3</v>
      </c>
      <c r="G644" s="3">
        <v>41426</v>
      </c>
      <c r="H644" s="6">
        <v>8.9999999999999998E-4</v>
      </c>
      <c r="I644" s="12">
        <v>1.0999999999999998E-3</v>
      </c>
      <c r="J644" s="4">
        <f t="shared" si="36"/>
        <v>5.3762111801242234E-2</v>
      </c>
      <c r="K644" s="9">
        <f t="shared" si="37"/>
        <v>3.9999999999999948E-8</v>
      </c>
      <c r="L644" s="10">
        <f t="shared" si="38"/>
        <v>22.222222222222211</v>
      </c>
    </row>
    <row r="645" spans="1:12" x14ac:dyDescent="0.15">
      <c r="A645" s="3">
        <v>41426</v>
      </c>
      <c r="B645" s="6">
        <v>8.9999999999999998E-4</v>
      </c>
      <c r="C645" s="12">
        <f t="shared" si="39"/>
        <v>1.0999999999999998E-3</v>
      </c>
      <c r="G645" s="3">
        <v>41456</v>
      </c>
      <c r="H645" s="6">
        <v>8.9999999999999998E-4</v>
      </c>
      <c r="I645" s="12">
        <v>9.2499999999999993E-4</v>
      </c>
      <c r="J645" s="4">
        <f t="shared" si="36"/>
        <v>5.3762111801242234E-2</v>
      </c>
      <c r="K645" s="9">
        <f t="shared" si="37"/>
        <v>6.2499999999999784E-10</v>
      </c>
      <c r="L645" s="10">
        <f t="shared" si="38"/>
        <v>2.7777777777777732</v>
      </c>
    </row>
    <row r="646" spans="1:12" x14ac:dyDescent="0.15">
      <c r="A646" s="3">
        <v>41456</v>
      </c>
      <c r="B646" s="6">
        <v>8.9999999999999998E-4</v>
      </c>
      <c r="C646" s="12">
        <f t="shared" si="39"/>
        <v>9.2499999999999993E-4</v>
      </c>
      <c r="G646" s="3">
        <v>41487</v>
      </c>
      <c r="H646" s="6">
        <v>8.0000000000000004E-4</v>
      </c>
      <c r="I646" s="12">
        <v>8.4999999999999995E-4</v>
      </c>
      <c r="J646" s="4">
        <f t="shared" ref="J646:J648" si="40">ABS(H646-$Q$4)</f>
        <v>5.386211180124223E-2</v>
      </c>
      <c r="K646" s="9">
        <f t="shared" ref="K646:K648" si="41">(H646-I646)^2</f>
        <v>2.4999999999999914E-9</v>
      </c>
      <c r="L646" s="10">
        <f t="shared" ref="L646:L648" si="42">ABS(H646-I646)/H646*100</f>
        <v>6.2499999999999893</v>
      </c>
    </row>
    <row r="647" spans="1:12" x14ac:dyDescent="0.15">
      <c r="A647" s="3">
        <v>41487</v>
      </c>
      <c r="B647" s="6">
        <v>8.0000000000000004E-4</v>
      </c>
      <c r="C647" s="12">
        <f t="shared" ref="C647:C649" si="43">(B645+B646+B647+B648)/4</f>
        <v>8.4999999999999995E-4</v>
      </c>
      <c r="G647" s="3">
        <v>41518</v>
      </c>
      <c r="H647" s="6">
        <v>8.0000000000000004E-4</v>
      </c>
      <c r="I647" s="12">
        <v>8.5000000000000006E-4</v>
      </c>
      <c r="J647" s="4">
        <f t="shared" si="40"/>
        <v>5.386211180124223E-2</v>
      </c>
      <c r="K647" s="9">
        <f t="shared" si="41"/>
        <v>2.5000000000000021E-9</v>
      </c>
      <c r="L647" s="10">
        <f t="shared" si="42"/>
        <v>6.2500000000000027</v>
      </c>
    </row>
    <row r="648" spans="1:12" x14ac:dyDescent="0.15">
      <c r="A648" s="3">
        <v>41518</v>
      </c>
      <c r="B648" s="6">
        <v>8.0000000000000004E-4</v>
      </c>
      <c r="C648" s="12">
        <f t="shared" si="43"/>
        <v>8.5000000000000006E-4</v>
      </c>
      <c r="G648" s="3">
        <v>41548</v>
      </c>
      <c r="H648" s="6">
        <v>8.9999999999999998E-4</v>
      </c>
      <c r="I648" s="12">
        <v>8.25E-4</v>
      </c>
      <c r="J648" s="4">
        <f t="shared" si="40"/>
        <v>5.3762111801242234E-2</v>
      </c>
      <c r="K648" s="9">
        <f t="shared" si="41"/>
        <v>5.6249999999999966E-9</v>
      </c>
      <c r="L648" s="10">
        <f t="shared" si="42"/>
        <v>8.3333333333333321</v>
      </c>
    </row>
    <row r="649" spans="1:12" x14ac:dyDescent="0.15">
      <c r="A649" s="3">
        <v>41548</v>
      </c>
      <c r="B649" s="6">
        <v>8.9999999999999998E-4</v>
      </c>
      <c r="C649" s="12">
        <f t="shared" si="43"/>
        <v>8.25E-4</v>
      </c>
      <c r="G649" s="3"/>
    </row>
    <row r="650" spans="1:12" x14ac:dyDescent="0.15">
      <c r="A650" s="3">
        <v>41579</v>
      </c>
      <c r="B650" s="6">
        <v>8.0000000000000004E-4</v>
      </c>
      <c r="C650" s="12" t="s">
        <v>15</v>
      </c>
    </row>
  </sheetData>
  <hyperlinks>
    <hyperlink ref="D1" r:id="rId1" xr:uid="{00000000-0004-0000-0000-000000000000}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5F50-BF4D-B641-91BB-3A082EC7165F}">
  <dimension ref="A2:P655"/>
  <sheetViews>
    <sheetView workbookViewId="0">
      <selection activeCell="C5" sqref="C5"/>
    </sheetView>
  </sheetViews>
  <sheetFormatPr baseColWidth="10" defaultRowHeight="13" x14ac:dyDescent="0.15"/>
  <cols>
    <col min="3" max="3" width="10.83203125" style="6"/>
    <col min="10" max="10" width="17.33203125" customWidth="1"/>
    <col min="11" max="11" width="18.33203125" customWidth="1"/>
    <col min="12" max="12" width="27.5" customWidth="1"/>
    <col min="16" max="16" width="14.1640625" bestFit="1" customWidth="1"/>
  </cols>
  <sheetData>
    <row r="2" spans="1:16" ht="14" thickBot="1" x14ac:dyDescent="0.2">
      <c r="A2" s="5" t="s">
        <v>1</v>
      </c>
      <c r="B2" s="5" t="s">
        <v>2</v>
      </c>
    </row>
    <row r="3" spans="1:16" ht="14" thickTop="1" x14ac:dyDescent="0.15">
      <c r="A3" s="3">
        <f>DATE(1960,1,1)</f>
        <v>21916</v>
      </c>
      <c r="B3" s="4">
        <v>3.9900000000000005E-2</v>
      </c>
      <c r="C3" s="6" t="e">
        <v>#N/A</v>
      </c>
      <c r="H3" s="11" t="s">
        <v>4</v>
      </c>
      <c r="I3" s="11" t="s">
        <v>10</v>
      </c>
      <c r="J3" s="11" t="s">
        <v>6</v>
      </c>
      <c r="K3" s="11" t="s">
        <v>7</v>
      </c>
      <c r="L3" s="11" t="s">
        <v>9</v>
      </c>
    </row>
    <row r="4" spans="1:16" x14ac:dyDescent="0.15">
      <c r="A4" s="3">
        <f>DATE(1960,2,1)</f>
        <v>21947</v>
      </c>
      <c r="B4" s="4">
        <v>3.9699999999999999E-2</v>
      </c>
      <c r="C4" s="6">
        <f>B3</f>
        <v>3.9900000000000005E-2</v>
      </c>
      <c r="G4" s="3">
        <v>21947</v>
      </c>
      <c r="H4" s="4">
        <v>3.9699999999999999E-2</v>
      </c>
      <c r="I4" s="6">
        <v>3.9900000000000005E-2</v>
      </c>
      <c r="J4" s="6">
        <f>ABS(H4-$P$6)</f>
        <v>1.4855572755417948E-2</v>
      </c>
      <c r="K4" s="21">
        <f>(H4-I4)^2</f>
        <v>4.000000000000229E-8</v>
      </c>
      <c r="L4">
        <f>ABS(I4-H4)/H4*100</f>
        <v>0.50377833753150059</v>
      </c>
    </row>
    <row r="5" spans="1:16" x14ac:dyDescent="0.15">
      <c r="A5" s="3">
        <f>DATE(1960,3,1)</f>
        <v>21976</v>
      </c>
      <c r="B5" s="4">
        <v>3.8399999999999997E-2</v>
      </c>
      <c r="C5" s="6">
        <f t="shared" ref="C5:C68" si="0">0.1*B4+0.9*C4</f>
        <v>3.9880000000000006E-2</v>
      </c>
      <c r="G5" s="3">
        <v>21976</v>
      </c>
      <c r="H5" s="4">
        <v>3.8399999999999997E-2</v>
      </c>
      <c r="I5" s="6">
        <v>3.9880000000000006E-2</v>
      </c>
      <c r="J5" s="6">
        <f t="shared" ref="J5:J68" si="1">ABS(H5-$P$6)</f>
        <v>1.615557275541795E-2</v>
      </c>
      <c r="K5" s="21">
        <f t="shared" ref="K5:K68" si="2">(H5-I5)^2</f>
        <v>2.1904000000000269E-6</v>
      </c>
      <c r="L5">
        <f t="shared" ref="L5:L68" si="3">ABS(I5-H5)/H5*100</f>
        <v>3.8541666666666905</v>
      </c>
    </row>
    <row r="6" spans="1:16" x14ac:dyDescent="0.15">
      <c r="A6" s="3">
        <f>DATE(1960,4,1)</f>
        <v>22007</v>
      </c>
      <c r="B6" s="4">
        <v>3.9199999999999999E-2</v>
      </c>
      <c r="C6" s="6">
        <f t="shared" si="0"/>
        <v>3.9732000000000003E-2</v>
      </c>
      <c r="G6" s="3">
        <v>22007</v>
      </c>
      <c r="H6" s="4">
        <v>3.9199999999999999E-2</v>
      </c>
      <c r="I6" s="6">
        <v>3.9732000000000003E-2</v>
      </c>
      <c r="J6" s="6">
        <f t="shared" si="1"/>
        <v>1.5355572755417948E-2</v>
      </c>
      <c r="K6" s="21">
        <f t="shared" si="2"/>
        <v>2.8302400000000498E-7</v>
      </c>
      <c r="L6">
        <f t="shared" si="3"/>
        <v>1.357142857142869</v>
      </c>
      <c r="O6" s="2" t="s">
        <v>5</v>
      </c>
      <c r="P6" s="19">
        <f>AVERAGE(H4:H649)</f>
        <v>5.4555572755417947E-2</v>
      </c>
    </row>
    <row r="7" spans="1:16" x14ac:dyDescent="0.15">
      <c r="A7" s="3">
        <f>DATE(1960,5,1)</f>
        <v>22037</v>
      </c>
      <c r="B7" s="4">
        <v>3.85E-2</v>
      </c>
      <c r="C7" s="6">
        <f t="shared" si="0"/>
        <v>3.9678800000000007E-2</v>
      </c>
      <c r="G7" s="3">
        <v>22037</v>
      </c>
      <c r="H7" s="4">
        <v>3.85E-2</v>
      </c>
      <c r="I7" s="6">
        <v>3.9678800000000007E-2</v>
      </c>
      <c r="J7" s="6">
        <f t="shared" si="1"/>
        <v>1.6055572755417948E-2</v>
      </c>
      <c r="K7" s="21">
        <f t="shared" si="2"/>
        <v>1.3895694400000179E-6</v>
      </c>
      <c r="L7">
        <f t="shared" si="3"/>
        <v>3.0618181818182015</v>
      </c>
      <c r="O7" s="2" t="s">
        <v>12</v>
      </c>
      <c r="P7" s="19">
        <f>AVERAGE(J4:J649)</f>
        <v>2.6642021393859815E-2</v>
      </c>
    </row>
    <row r="8" spans="1:16" x14ac:dyDescent="0.15">
      <c r="A8" s="3">
        <f>DATE(1960,6,1)</f>
        <v>22068</v>
      </c>
      <c r="B8" s="4">
        <v>3.32E-2</v>
      </c>
      <c r="C8" s="6">
        <f t="shared" si="0"/>
        <v>3.9560920000000006E-2</v>
      </c>
      <c r="G8" s="3">
        <v>22068</v>
      </c>
      <c r="H8" s="4">
        <v>3.32E-2</v>
      </c>
      <c r="I8" s="6">
        <v>3.9560920000000006E-2</v>
      </c>
      <c r="J8" s="6">
        <f t="shared" si="1"/>
        <v>2.1355572755417947E-2</v>
      </c>
      <c r="K8" s="21">
        <f t="shared" si="2"/>
        <v>4.0461303246400075E-5</v>
      </c>
      <c r="L8">
        <f t="shared" si="3"/>
        <v>19.159397590361461</v>
      </c>
      <c r="O8" s="2" t="s">
        <v>11</v>
      </c>
      <c r="P8" s="23">
        <f>AVERAGE(K4:K649)</f>
        <v>2.1078400096177468E-4</v>
      </c>
    </row>
    <row r="9" spans="1:16" x14ac:dyDescent="0.15">
      <c r="A9" s="3">
        <f>DATE(1960,7,1)</f>
        <v>22098</v>
      </c>
      <c r="B9" s="4">
        <v>3.2300000000000002E-2</v>
      </c>
      <c r="C9" s="6">
        <f t="shared" si="0"/>
        <v>3.8924828000000009E-2</v>
      </c>
      <c r="G9" s="3">
        <v>22098</v>
      </c>
      <c r="H9" s="4">
        <v>3.2300000000000002E-2</v>
      </c>
      <c r="I9" s="6">
        <v>3.8924828000000009E-2</v>
      </c>
      <c r="J9" s="6">
        <f t="shared" si="1"/>
        <v>2.2255572755417945E-2</v>
      </c>
      <c r="K9" s="21">
        <f t="shared" si="2"/>
        <v>4.388834602958408E-5</v>
      </c>
      <c r="L9">
        <f t="shared" si="3"/>
        <v>20.510303405572774</v>
      </c>
      <c r="O9" s="2" t="s">
        <v>8</v>
      </c>
      <c r="P9" s="6">
        <f>SQRT(P8)</f>
        <v>1.4518402149058094E-2</v>
      </c>
    </row>
    <row r="10" spans="1:16" x14ac:dyDescent="0.15">
      <c r="A10" s="3">
        <f>DATE(1960,8,1)</f>
        <v>22129</v>
      </c>
      <c r="B10" s="4">
        <v>2.98E-2</v>
      </c>
      <c r="C10" s="6">
        <f t="shared" si="0"/>
        <v>3.8262345200000006E-2</v>
      </c>
      <c r="G10" s="3">
        <v>22129</v>
      </c>
      <c r="H10" s="4">
        <v>2.98E-2</v>
      </c>
      <c r="I10" s="6">
        <v>3.8262345200000006E-2</v>
      </c>
      <c r="J10" s="6">
        <f t="shared" si="1"/>
        <v>2.4755572755417947E-2</v>
      </c>
      <c r="K10" s="21">
        <f t="shared" si="2"/>
        <v>7.1611286283963132E-5</v>
      </c>
      <c r="L10">
        <f t="shared" si="3"/>
        <v>28.397131543624184</v>
      </c>
      <c r="O10" s="2" t="s">
        <v>52</v>
      </c>
      <c r="P10">
        <f>AVERAGE(L4:L649)</f>
        <v>48.750660160939816</v>
      </c>
    </row>
    <row r="11" spans="1:16" x14ac:dyDescent="0.15">
      <c r="A11" s="3">
        <f>DATE(1960,9,1)</f>
        <v>22160</v>
      </c>
      <c r="B11" s="4">
        <v>2.6000000000000002E-2</v>
      </c>
      <c r="C11" s="6">
        <f t="shared" si="0"/>
        <v>3.7416110680000003E-2</v>
      </c>
      <c r="G11" s="3">
        <v>22160</v>
      </c>
      <c r="H11" s="4">
        <v>2.6000000000000002E-2</v>
      </c>
      <c r="I11" s="6">
        <v>3.7416110680000003E-2</v>
      </c>
      <c r="J11" s="6">
        <f t="shared" si="1"/>
        <v>2.8555572755417945E-2</v>
      </c>
      <c r="K11" s="21">
        <f t="shared" si="2"/>
        <v>1.3032758305801009E-4</v>
      </c>
      <c r="L11">
        <f t="shared" si="3"/>
        <v>43.908118000000002</v>
      </c>
    </row>
    <row r="12" spans="1:16" x14ac:dyDescent="0.15">
      <c r="A12" s="3">
        <f>DATE(1960,10,1)</f>
        <v>22190</v>
      </c>
      <c r="B12" s="4">
        <v>2.4700000000000003E-2</v>
      </c>
      <c r="C12" s="6">
        <f t="shared" si="0"/>
        <v>3.6274499612000001E-2</v>
      </c>
      <c r="G12" s="3">
        <v>22190</v>
      </c>
      <c r="H12" s="4">
        <v>2.4700000000000003E-2</v>
      </c>
      <c r="I12" s="6">
        <v>3.6274499612000001E-2</v>
      </c>
      <c r="J12" s="6">
        <f t="shared" si="1"/>
        <v>2.9855572755417944E-2</v>
      </c>
      <c r="K12" s="21">
        <f t="shared" si="2"/>
        <v>1.3396904126818809E-4</v>
      </c>
      <c r="L12">
        <f t="shared" si="3"/>
        <v>46.86032231578946</v>
      </c>
    </row>
    <row r="13" spans="1:16" x14ac:dyDescent="0.15">
      <c r="A13" s="3">
        <f>DATE(1960,11,1)</f>
        <v>22221</v>
      </c>
      <c r="B13" s="4">
        <v>2.4399999999999998E-2</v>
      </c>
      <c r="C13" s="6">
        <f t="shared" si="0"/>
        <v>3.5117049650800002E-2</v>
      </c>
      <c r="G13" s="3">
        <v>22221</v>
      </c>
      <c r="H13" s="4">
        <v>2.4399999999999998E-2</v>
      </c>
      <c r="I13" s="6">
        <v>3.5117049650800002E-2</v>
      </c>
      <c r="J13" s="6">
        <f t="shared" si="1"/>
        <v>3.0155572755417949E-2</v>
      </c>
      <c r="K13" s="21">
        <f t="shared" si="2"/>
        <v>1.1485515321771248E-4</v>
      </c>
      <c r="L13">
        <f t="shared" si="3"/>
        <v>43.92233463442625</v>
      </c>
      <c r="O13" s="2" t="s">
        <v>53</v>
      </c>
    </row>
    <row r="14" spans="1:16" x14ac:dyDescent="0.15">
      <c r="A14" s="3">
        <f>DATE(1960,12,1)</f>
        <v>22251</v>
      </c>
      <c r="B14" s="4">
        <v>1.9799999999999998E-2</v>
      </c>
      <c r="C14" s="6">
        <f t="shared" si="0"/>
        <v>3.404534468572E-2</v>
      </c>
      <c r="G14" s="3">
        <v>22251</v>
      </c>
      <c r="H14" s="4">
        <v>1.9799999999999998E-2</v>
      </c>
      <c r="I14" s="6">
        <v>3.404534468572E-2</v>
      </c>
      <c r="J14" s="6">
        <f t="shared" si="1"/>
        <v>3.4755572755417949E-2</v>
      </c>
      <c r="K14" s="21">
        <f t="shared" si="2"/>
        <v>2.0292984521497109E-4</v>
      </c>
      <c r="L14">
        <f t="shared" si="3"/>
        <v>71.946185281414159</v>
      </c>
    </row>
    <row r="15" spans="1:16" x14ac:dyDescent="0.15">
      <c r="A15" s="3">
        <f>DATE(1961,1,1)</f>
        <v>22282</v>
      </c>
      <c r="B15" s="4">
        <v>1.4499999999999999E-2</v>
      </c>
      <c r="C15" s="6">
        <f t="shared" si="0"/>
        <v>3.2620810217148001E-2</v>
      </c>
      <c r="G15" s="3">
        <v>22282</v>
      </c>
      <c r="H15" s="4">
        <v>1.4499999999999999E-2</v>
      </c>
      <c r="I15" s="6">
        <v>3.2620810217148001E-2</v>
      </c>
      <c r="J15" s="6">
        <f t="shared" si="1"/>
        <v>4.0055572755417948E-2</v>
      </c>
      <c r="K15" s="21">
        <f t="shared" si="2"/>
        <v>3.2836376292589545E-4</v>
      </c>
      <c r="L15">
        <f t="shared" si="3"/>
        <v>124.97110494584828</v>
      </c>
    </row>
    <row r="16" spans="1:16" x14ac:dyDescent="0.15">
      <c r="A16" s="3">
        <f>DATE(1961,2,1)</f>
        <v>22313</v>
      </c>
      <c r="B16" s="4">
        <v>2.5399999999999999E-2</v>
      </c>
      <c r="C16" s="6">
        <f t="shared" si="0"/>
        <v>3.0808729195433201E-2</v>
      </c>
      <c r="G16" s="3">
        <v>22313</v>
      </c>
      <c r="H16" s="4">
        <v>2.5399999999999999E-2</v>
      </c>
      <c r="I16" s="6">
        <v>3.0808729195433201E-2</v>
      </c>
      <c r="J16" s="6">
        <f t="shared" si="1"/>
        <v>2.9155572755417948E-2</v>
      </c>
      <c r="K16" s="21">
        <f t="shared" si="2"/>
        <v>2.9254351509531492E-5</v>
      </c>
      <c r="L16">
        <f t="shared" si="3"/>
        <v>21.294209430839377</v>
      </c>
    </row>
    <row r="17" spans="1:12" x14ac:dyDescent="0.15">
      <c r="A17" s="3">
        <f>DATE(1961,3,1)</f>
        <v>22341</v>
      </c>
      <c r="B17" s="4">
        <v>2.0199999999999999E-2</v>
      </c>
      <c r="C17" s="6">
        <f t="shared" si="0"/>
        <v>3.0267856275889883E-2</v>
      </c>
      <c r="G17" s="3">
        <v>22341</v>
      </c>
      <c r="H17" s="4">
        <v>2.0199999999999999E-2</v>
      </c>
      <c r="I17" s="6">
        <v>3.0267856275889883E-2</v>
      </c>
      <c r="J17" s="6">
        <f t="shared" si="1"/>
        <v>3.4355572755417951E-2</v>
      </c>
      <c r="K17" s="21">
        <f t="shared" si="2"/>
        <v>1.0136172999197532E-4</v>
      </c>
      <c r="L17">
        <f t="shared" si="3"/>
        <v>49.840872652920218</v>
      </c>
    </row>
    <row r="18" spans="1:12" x14ac:dyDescent="0.15">
      <c r="A18" s="3">
        <f>DATE(1961,4,1)</f>
        <v>22372</v>
      </c>
      <c r="B18" s="4">
        <v>1.49E-2</v>
      </c>
      <c r="C18" s="6">
        <f t="shared" si="0"/>
        <v>2.9261070648300896E-2</v>
      </c>
      <c r="G18" s="3">
        <v>22372</v>
      </c>
      <c r="H18" s="4">
        <v>1.49E-2</v>
      </c>
      <c r="I18" s="6">
        <v>2.9261070648300896E-2</v>
      </c>
      <c r="J18" s="6">
        <f t="shared" si="1"/>
        <v>3.965557275541795E-2</v>
      </c>
      <c r="K18" s="21">
        <f t="shared" si="2"/>
        <v>2.0624035016548952E-4</v>
      </c>
      <c r="L18">
        <f t="shared" si="3"/>
        <v>96.383024485240909</v>
      </c>
    </row>
    <row r="19" spans="1:12" x14ac:dyDescent="0.15">
      <c r="A19" s="3">
        <f>DATE(1961,5,1)</f>
        <v>22402</v>
      </c>
      <c r="B19" s="4">
        <v>1.9799999999999998E-2</v>
      </c>
      <c r="C19" s="6">
        <f t="shared" si="0"/>
        <v>2.7824963583470808E-2</v>
      </c>
      <c r="G19" s="3">
        <v>22402</v>
      </c>
      <c r="H19" s="4">
        <v>1.9799999999999998E-2</v>
      </c>
      <c r="I19" s="6">
        <v>2.7824963583470808E-2</v>
      </c>
      <c r="J19" s="6">
        <f t="shared" si="1"/>
        <v>3.4755572755417949E-2</v>
      </c>
      <c r="K19" s="21">
        <f t="shared" si="2"/>
        <v>6.4400040516032661E-5</v>
      </c>
      <c r="L19">
        <f t="shared" si="3"/>
        <v>40.530119108438434</v>
      </c>
    </row>
    <row r="20" spans="1:12" x14ac:dyDescent="0.15">
      <c r="A20" s="3">
        <f>DATE(1961,6,1)</f>
        <v>22433</v>
      </c>
      <c r="B20" s="4">
        <v>1.7299999999999999E-2</v>
      </c>
      <c r="C20" s="6">
        <f t="shared" si="0"/>
        <v>2.7022467225123727E-2</v>
      </c>
      <c r="G20" s="3">
        <v>22433</v>
      </c>
      <c r="H20" s="4">
        <v>1.7299999999999999E-2</v>
      </c>
      <c r="I20" s="6">
        <v>2.7022467225123727E-2</v>
      </c>
      <c r="J20" s="6">
        <f t="shared" si="1"/>
        <v>3.7255572755417951E-2</v>
      </c>
      <c r="K20" s="21">
        <f t="shared" si="2"/>
        <v>9.4526368943605074E-5</v>
      </c>
      <c r="L20">
        <f t="shared" si="3"/>
        <v>56.199232515166052</v>
      </c>
    </row>
    <row r="21" spans="1:12" x14ac:dyDescent="0.15">
      <c r="A21" s="3">
        <f>DATE(1961,7,1)</f>
        <v>22463</v>
      </c>
      <c r="B21" s="4">
        <v>1.1699999999999999E-2</v>
      </c>
      <c r="C21" s="6">
        <f t="shared" si="0"/>
        <v>2.6050220502611354E-2</v>
      </c>
      <c r="G21" s="3">
        <v>22463</v>
      </c>
      <c r="H21" s="4">
        <v>1.1699999999999999E-2</v>
      </c>
      <c r="I21" s="6">
        <v>2.6050220502611354E-2</v>
      </c>
      <c r="J21" s="6">
        <f t="shared" si="1"/>
        <v>4.2855572755417945E-2</v>
      </c>
      <c r="K21" s="21">
        <f t="shared" si="2"/>
        <v>2.0592882847356731E-4</v>
      </c>
      <c r="L21">
        <f t="shared" si="3"/>
        <v>122.65145728727656</v>
      </c>
    </row>
    <row r="22" spans="1:12" x14ac:dyDescent="0.15">
      <c r="A22" s="3">
        <f>DATE(1961,8,1)</f>
        <v>22494</v>
      </c>
      <c r="B22" s="4">
        <v>0.02</v>
      </c>
      <c r="C22" s="6">
        <f t="shared" si="0"/>
        <v>2.4615198452350221E-2</v>
      </c>
      <c r="G22" s="3">
        <v>22494</v>
      </c>
      <c r="H22" s="4">
        <v>0.02</v>
      </c>
      <c r="I22" s="6">
        <v>2.4615198452350221E-2</v>
      </c>
      <c r="J22" s="6">
        <f t="shared" si="1"/>
        <v>3.4555572755417943E-2</v>
      </c>
      <c r="K22" s="21">
        <f t="shared" si="2"/>
        <v>2.1300056754575871E-5</v>
      </c>
      <c r="L22">
        <f t="shared" si="3"/>
        <v>23.075992261751104</v>
      </c>
    </row>
    <row r="23" spans="1:12" x14ac:dyDescent="0.15">
      <c r="A23" s="3">
        <f>DATE(1961,9,1)</f>
        <v>22525</v>
      </c>
      <c r="B23" s="4">
        <v>1.8799999999999997E-2</v>
      </c>
      <c r="C23" s="6">
        <f t="shared" si="0"/>
        <v>2.4153678607115196E-2</v>
      </c>
      <c r="G23" s="3">
        <v>22525</v>
      </c>
      <c r="H23" s="4">
        <v>1.8799999999999997E-2</v>
      </c>
      <c r="I23" s="6">
        <v>2.4153678607115196E-2</v>
      </c>
      <c r="J23" s="6">
        <f t="shared" si="1"/>
        <v>3.575557275541795E-2</v>
      </c>
      <c r="K23" s="21">
        <f t="shared" si="2"/>
        <v>2.8661874628282938E-5</v>
      </c>
      <c r="L23">
        <f t="shared" si="3"/>
        <v>28.477013867634042</v>
      </c>
    </row>
    <row r="24" spans="1:12" x14ac:dyDescent="0.15">
      <c r="A24" s="3">
        <f>DATE(1961,10,1)</f>
        <v>22555</v>
      </c>
      <c r="B24" s="4">
        <v>2.2599999999999999E-2</v>
      </c>
      <c r="C24" s="6">
        <f t="shared" si="0"/>
        <v>2.3618310746403678E-2</v>
      </c>
      <c r="G24" s="3">
        <v>22555</v>
      </c>
      <c r="H24" s="4">
        <v>2.2599999999999999E-2</v>
      </c>
      <c r="I24" s="6">
        <v>2.3618310746403678E-2</v>
      </c>
      <c r="J24" s="6">
        <f t="shared" si="1"/>
        <v>3.1955572755417952E-2</v>
      </c>
      <c r="K24" s="21">
        <f t="shared" si="2"/>
        <v>1.0369567762412196E-6</v>
      </c>
      <c r="L24">
        <f t="shared" si="3"/>
        <v>4.5057997628481417</v>
      </c>
    </row>
    <row r="25" spans="1:12" x14ac:dyDescent="0.15">
      <c r="A25" s="3">
        <f>DATE(1961,11,1)</f>
        <v>22586</v>
      </c>
      <c r="B25" s="4">
        <v>2.6099999999999998E-2</v>
      </c>
      <c r="C25" s="6">
        <f t="shared" si="0"/>
        <v>2.3516479671763311E-2</v>
      </c>
      <c r="G25" s="3">
        <v>22586</v>
      </c>
      <c r="H25" s="4">
        <v>2.6099999999999998E-2</v>
      </c>
      <c r="I25" s="6">
        <v>2.3516479671763311E-2</v>
      </c>
      <c r="J25" s="6">
        <f t="shared" si="1"/>
        <v>2.8455572755417949E-2</v>
      </c>
      <c r="K25" s="21">
        <f t="shared" si="2"/>
        <v>6.6745772864121971E-6</v>
      </c>
      <c r="L25">
        <f t="shared" si="3"/>
        <v>9.8985453189145094</v>
      </c>
    </row>
    <row r="26" spans="1:12" x14ac:dyDescent="0.15">
      <c r="A26" s="3">
        <f>DATE(1961,12,1)</f>
        <v>22616</v>
      </c>
      <c r="B26" s="4">
        <v>2.3300000000000001E-2</v>
      </c>
      <c r="C26" s="6">
        <f t="shared" si="0"/>
        <v>2.3774831704586982E-2</v>
      </c>
      <c r="G26" s="3">
        <v>22616</v>
      </c>
      <c r="H26" s="4">
        <v>2.3300000000000001E-2</v>
      </c>
      <c r="I26" s="6">
        <v>2.3774831704586982E-2</v>
      </c>
      <c r="J26" s="6">
        <f t="shared" si="1"/>
        <v>3.1255572755417946E-2</v>
      </c>
      <c r="K26" s="21">
        <f t="shared" si="2"/>
        <v>2.2546514768097798E-7</v>
      </c>
      <c r="L26">
        <f t="shared" si="3"/>
        <v>2.0379043115321069</v>
      </c>
    </row>
    <row r="27" spans="1:12" x14ac:dyDescent="0.15">
      <c r="A27" s="3">
        <f>DATE(1962,1,1)</f>
        <v>22647</v>
      </c>
      <c r="B27" s="4">
        <v>2.1499999999999998E-2</v>
      </c>
      <c r="C27" s="6">
        <f t="shared" si="0"/>
        <v>2.3727348534128282E-2</v>
      </c>
      <c r="G27" s="3">
        <v>22647</v>
      </c>
      <c r="H27" s="4">
        <v>2.1499999999999998E-2</v>
      </c>
      <c r="I27" s="6">
        <v>2.3727348534128282E-2</v>
      </c>
      <c r="J27" s="6">
        <f t="shared" si="1"/>
        <v>3.3055572755417949E-2</v>
      </c>
      <c r="K27" s="21">
        <f t="shared" si="2"/>
        <v>4.9610814924834144E-6</v>
      </c>
      <c r="L27">
        <f t="shared" si="3"/>
        <v>10.359760623852484</v>
      </c>
    </row>
    <row r="28" spans="1:12" x14ac:dyDescent="0.15">
      <c r="A28" s="3">
        <f>DATE(1962,2,1)</f>
        <v>22678</v>
      </c>
      <c r="B28" s="4">
        <v>2.3700000000000002E-2</v>
      </c>
      <c r="C28" s="6">
        <f t="shared" si="0"/>
        <v>2.3504613680715453E-2</v>
      </c>
      <c r="G28" s="3">
        <v>22678</v>
      </c>
      <c r="H28" s="4">
        <v>2.3700000000000002E-2</v>
      </c>
      <c r="I28" s="6">
        <v>2.3504613680715453E-2</v>
      </c>
      <c r="J28" s="6">
        <f t="shared" si="1"/>
        <v>3.0855572755417945E-2</v>
      </c>
      <c r="K28" s="21">
        <f t="shared" si="2"/>
        <v>3.8175813763563714E-8</v>
      </c>
      <c r="L28">
        <f t="shared" si="3"/>
        <v>0.82441484930189435</v>
      </c>
    </row>
    <row r="29" spans="1:12" x14ac:dyDescent="0.15">
      <c r="A29" s="3">
        <f>DATE(1962,3,1)</f>
        <v>22706</v>
      </c>
      <c r="B29" s="4">
        <v>2.8500000000000001E-2</v>
      </c>
      <c r="C29" s="6">
        <f t="shared" si="0"/>
        <v>2.352415231264391E-2</v>
      </c>
      <c r="G29" s="3">
        <v>22706</v>
      </c>
      <c r="H29" s="4">
        <v>2.8500000000000001E-2</v>
      </c>
      <c r="I29" s="6">
        <v>2.352415231264391E-2</v>
      </c>
      <c r="J29" s="6">
        <f t="shared" si="1"/>
        <v>2.6055572755417946E-2</v>
      </c>
      <c r="K29" s="21">
        <f t="shared" si="2"/>
        <v>2.4759060207766955E-5</v>
      </c>
      <c r="L29">
        <f t="shared" si="3"/>
        <v>17.45911469247751</v>
      </c>
    </row>
    <row r="30" spans="1:12" x14ac:dyDescent="0.15">
      <c r="A30" s="3">
        <f>DATE(1962,4,1)</f>
        <v>22737</v>
      </c>
      <c r="B30" s="4">
        <v>2.7799999999999998E-2</v>
      </c>
      <c r="C30" s="6">
        <f t="shared" si="0"/>
        <v>2.4021737081379523E-2</v>
      </c>
      <c r="G30" s="3">
        <v>22737</v>
      </c>
      <c r="H30" s="4">
        <v>2.7799999999999998E-2</v>
      </c>
      <c r="I30" s="6">
        <v>2.4021737081379523E-2</v>
      </c>
      <c r="J30" s="6">
        <f t="shared" si="1"/>
        <v>2.6755572755417949E-2</v>
      </c>
      <c r="K30" s="21">
        <f t="shared" si="2"/>
        <v>1.4275270682222516E-5</v>
      </c>
      <c r="L30">
        <f t="shared" si="3"/>
        <v>13.590873807987325</v>
      </c>
    </row>
    <row r="31" spans="1:12" x14ac:dyDescent="0.15">
      <c r="A31" s="3">
        <f>DATE(1962,5,1)</f>
        <v>22767</v>
      </c>
      <c r="B31" s="4">
        <v>2.3599999999999999E-2</v>
      </c>
      <c r="C31" s="6">
        <f t="shared" si="0"/>
        <v>2.4399563373241572E-2</v>
      </c>
      <c r="G31" s="3">
        <v>22767</v>
      </c>
      <c r="H31" s="4">
        <v>2.3599999999999999E-2</v>
      </c>
      <c r="I31" s="6">
        <v>2.4399563373241572E-2</v>
      </c>
      <c r="J31" s="6">
        <f t="shared" si="1"/>
        <v>3.0955572755417948E-2</v>
      </c>
      <c r="K31" s="21">
        <f t="shared" si="2"/>
        <v>6.3930158782944251E-7</v>
      </c>
      <c r="L31">
        <f t="shared" si="3"/>
        <v>3.3879803950914096</v>
      </c>
    </row>
    <row r="32" spans="1:12" x14ac:dyDescent="0.15">
      <c r="A32" s="3">
        <f>DATE(1962,6,1)</f>
        <v>22798</v>
      </c>
      <c r="B32" s="4">
        <v>2.6800000000000001E-2</v>
      </c>
      <c r="C32" s="6">
        <f t="shared" si="0"/>
        <v>2.4319607035917415E-2</v>
      </c>
      <c r="G32" s="3">
        <v>22798</v>
      </c>
      <c r="H32" s="4">
        <v>2.6800000000000001E-2</v>
      </c>
      <c r="I32" s="6">
        <v>2.4319607035917415E-2</v>
      </c>
      <c r="J32" s="6">
        <f t="shared" si="1"/>
        <v>2.7755572755417946E-2</v>
      </c>
      <c r="K32" s="21">
        <f t="shared" si="2"/>
        <v>6.152349256270397E-6</v>
      </c>
      <c r="L32">
        <f t="shared" si="3"/>
        <v>9.2551976271738283</v>
      </c>
    </row>
    <row r="33" spans="1:12" x14ac:dyDescent="0.15">
      <c r="A33" s="3">
        <f>DATE(1962,7,1)</f>
        <v>22828</v>
      </c>
      <c r="B33" s="4">
        <v>2.7099999999999999E-2</v>
      </c>
      <c r="C33" s="6">
        <f t="shared" si="0"/>
        <v>2.4567646332325672E-2</v>
      </c>
      <c r="G33" s="3">
        <v>22828</v>
      </c>
      <c r="H33" s="4">
        <v>2.7099999999999999E-2</v>
      </c>
      <c r="I33" s="6">
        <v>2.4567646332325672E-2</v>
      </c>
      <c r="J33" s="6">
        <f t="shared" si="1"/>
        <v>2.7455572755417948E-2</v>
      </c>
      <c r="K33" s="21">
        <f t="shared" si="2"/>
        <v>6.412815098183614E-6</v>
      </c>
      <c r="L33">
        <f t="shared" si="3"/>
        <v>9.344478478503051</v>
      </c>
    </row>
    <row r="34" spans="1:12" x14ac:dyDescent="0.15">
      <c r="A34" s="3">
        <f>DATE(1962,8,1)</f>
        <v>22859</v>
      </c>
      <c r="B34" s="4">
        <v>2.9300000000000003E-2</v>
      </c>
      <c r="C34" s="6">
        <f t="shared" si="0"/>
        <v>2.4820881699093106E-2</v>
      </c>
      <c r="G34" s="3">
        <v>22859</v>
      </c>
      <c r="H34" s="4">
        <v>2.9300000000000003E-2</v>
      </c>
      <c r="I34" s="6">
        <v>2.4820881699093106E-2</v>
      </c>
      <c r="J34" s="6">
        <f t="shared" si="1"/>
        <v>2.5255572755417944E-2</v>
      </c>
      <c r="K34" s="21">
        <f t="shared" si="2"/>
        <v>2.006250075351909E-5</v>
      </c>
      <c r="L34">
        <f t="shared" si="3"/>
        <v>15.287093177156644</v>
      </c>
    </row>
    <row r="35" spans="1:12" x14ac:dyDescent="0.15">
      <c r="A35" s="3">
        <f>DATE(1962,9,1)</f>
        <v>22890</v>
      </c>
      <c r="B35" s="4">
        <v>2.8999999999999998E-2</v>
      </c>
      <c r="C35" s="6">
        <f t="shared" si="0"/>
        <v>2.5268793529183799E-2</v>
      </c>
      <c r="G35" s="3">
        <v>22890</v>
      </c>
      <c r="H35" s="4">
        <v>2.8999999999999998E-2</v>
      </c>
      <c r="I35" s="6">
        <v>2.5268793529183799E-2</v>
      </c>
      <c r="J35" s="6">
        <f t="shared" si="1"/>
        <v>2.5555572755417949E-2</v>
      </c>
      <c r="K35" s="21">
        <f t="shared" si="2"/>
        <v>1.3921901727860677E-5</v>
      </c>
      <c r="L35">
        <f t="shared" si="3"/>
        <v>12.866229209711033</v>
      </c>
    </row>
    <row r="36" spans="1:12" x14ac:dyDescent="0.15">
      <c r="A36" s="3">
        <f>DATE(1962,10,1)</f>
        <v>22920</v>
      </c>
      <c r="B36" s="4">
        <v>2.8999999999999998E-2</v>
      </c>
      <c r="C36" s="6">
        <f t="shared" si="0"/>
        <v>2.5641914176265421E-2</v>
      </c>
      <c r="G36" s="3">
        <v>22920</v>
      </c>
      <c r="H36" s="4">
        <v>2.8999999999999998E-2</v>
      </c>
      <c r="I36" s="6">
        <v>2.5641914176265421E-2</v>
      </c>
      <c r="J36" s="6">
        <f t="shared" si="1"/>
        <v>2.5555572755417949E-2</v>
      </c>
      <c r="K36" s="21">
        <f t="shared" si="2"/>
        <v>1.1276740399567135E-5</v>
      </c>
      <c r="L36">
        <f t="shared" si="3"/>
        <v>11.579606288739923</v>
      </c>
    </row>
    <row r="37" spans="1:12" x14ac:dyDescent="0.15">
      <c r="A37" s="3">
        <f>DATE(1962,11,1)</f>
        <v>22951</v>
      </c>
      <c r="B37" s="4">
        <v>2.9399999999999999E-2</v>
      </c>
      <c r="C37" s="6">
        <f t="shared" si="0"/>
        <v>2.5977722758638879E-2</v>
      </c>
      <c r="G37" s="3">
        <v>22951</v>
      </c>
      <c r="H37" s="4">
        <v>2.9399999999999999E-2</v>
      </c>
      <c r="I37" s="6">
        <v>2.5977722758638879E-2</v>
      </c>
      <c r="J37" s="6">
        <f t="shared" si="1"/>
        <v>2.5155572755417948E-2</v>
      </c>
      <c r="K37" s="21">
        <f t="shared" si="2"/>
        <v>1.1711981516738277E-5</v>
      </c>
      <c r="L37">
        <f t="shared" si="3"/>
        <v>11.640398780139865</v>
      </c>
    </row>
    <row r="38" spans="1:12" x14ac:dyDescent="0.15">
      <c r="A38" s="3">
        <f>DATE(1962,12,1)</f>
        <v>22981</v>
      </c>
      <c r="B38" s="4">
        <v>2.9300000000000003E-2</v>
      </c>
      <c r="C38" s="6">
        <f t="shared" si="0"/>
        <v>2.6319950482774988E-2</v>
      </c>
      <c r="G38" s="3">
        <v>22981</v>
      </c>
      <c r="H38" s="4">
        <v>2.9300000000000003E-2</v>
      </c>
      <c r="I38" s="6">
        <v>2.6319950482774988E-2</v>
      </c>
      <c r="J38" s="6">
        <f t="shared" si="1"/>
        <v>2.5255572755417944E-2</v>
      </c>
      <c r="K38" s="21">
        <f t="shared" si="2"/>
        <v>8.8806951251130437E-6</v>
      </c>
      <c r="L38">
        <f t="shared" si="3"/>
        <v>10.17081746493179</v>
      </c>
    </row>
    <row r="39" spans="1:12" x14ac:dyDescent="0.15">
      <c r="A39" s="3">
        <f>DATE(1963,1,1)</f>
        <v>23012</v>
      </c>
      <c r="B39" s="4">
        <v>2.92E-2</v>
      </c>
      <c r="C39" s="6">
        <f t="shared" si="0"/>
        <v>2.6617955434497492E-2</v>
      </c>
      <c r="G39" s="3">
        <v>23012</v>
      </c>
      <c r="H39" s="4">
        <v>2.92E-2</v>
      </c>
      <c r="I39" s="6">
        <v>2.6617955434497492E-2</v>
      </c>
      <c r="J39" s="6">
        <f t="shared" si="1"/>
        <v>2.5355572755417947E-2</v>
      </c>
      <c r="K39" s="21">
        <f t="shared" si="2"/>
        <v>6.6669541382410352E-6</v>
      </c>
      <c r="L39">
        <f t="shared" si="3"/>
        <v>8.8426183750085894</v>
      </c>
    </row>
    <row r="40" spans="1:12" x14ac:dyDescent="0.15">
      <c r="A40" s="3">
        <f>DATE(1963,2,1)</f>
        <v>23043</v>
      </c>
      <c r="B40" s="4">
        <v>0.03</v>
      </c>
      <c r="C40" s="6">
        <f t="shared" si="0"/>
        <v>2.6876159891047743E-2</v>
      </c>
      <c r="G40" s="3">
        <v>23043</v>
      </c>
      <c r="H40" s="4">
        <v>0.03</v>
      </c>
      <c r="I40" s="6">
        <v>2.6876159891047743E-2</v>
      </c>
      <c r="J40" s="6">
        <f t="shared" si="1"/>
        <v>2.4555572755417948E-2</v>
      </c>
      <c r="K40" s="21">
        <f t="shared" si="2"/>
        <v>9.7583770262988433E-6</v>
      </c>
      <c r="L40">
        <f t="shared" si="3"/>
        <v>10.412800363174188</v>
      </c>
    </row>
    <row r="41" spans="1:12" x14ac:dyDescent="0.15">
      <c r="A41" s="3">
        <f>DATE(1963,3,1)</f>
        <v>23071</v>
      </c>
      <c r="B41" s="4">
        <v>2.98E-2</v>
      </c>
      <c r="C41" s="6">
        <f t="shared" si="0"/>
        <v>2.7188543901942967E-2</v>
      </c>
      <c r="G41" s="3">
        <v>23071</v>
      </c>
      <c r="H41" s="4">
        <v>2.98E-2</v>
      </c>
      <c r="I41" s="6">
        <v>2.7188543901942967E-2</v>
      </c>
      <c r="J41" s="6">
        <f t="shared" si="1"/>
        <v>2.4755572755417947E-2</v>
      </c>
      <c r="K41" s="21">
        <f t="shared" si="2"/>
        <v>6.8197029520792635E-6</v>
      </c>
      <c r="L41">
        <f t="shared" si="3"/>
        <v>8.7632754968356803</v>
      </c>
    </row>
    <row r="42" spans="1:12" x14ac:dyDescent="0.15">
      <c r="A42" s="3">
        <f>DATE(1963,4,1)</f>
        <v>23102</v>
      </c>
      <c r="B42" s="4">
        <v>2.8999999999999998E-2</v>
      </c>
      <c r="C42" s="6">
        <f t="shared" si="0"/>
        <v>2.7449689511748671E-2</v>
      </c>
      <c r="G42" s="3">
        <v>23102</v>
      </c>
      <c r="H42" s="4">
        <v>2.8999999999999998E-2</v>
      </c>
      <c r="I42" s="6">
        <v>2.7449689511748671E-2</v>
      </c>
      <c r="J42" s="6">
        <f t="shared" si="1"/>
        <v>2.5555572755417949E-2</v>
      </c>
      <c r="K42" s="21">
        <f t="shared" si="2"/>
        <v>2.4034626099820692E-6</v>
      </c>
      <c r="L42">
        <f t="shared" si="3"/>
        <v>5.3458982353494058</v>
      </c>
    </row>
    <row r="43" spans="1:12" x14ac:dyDescent="0.15">
      <c r="A43" s="3">
        <f>DATE(1963,5,1)</f>
        <v>23132</v>
      </c>
      <c r="B43" s="4">
        <v>0.03</v>
      </c>
      <c r="C43" s="6">
        <f t="shared" si="0"/>
        <v>2.7604720560573805E-2</v>
      </c>
      <c r="G43" s="3">
        <v>23132</v>
      </c>
      <c r="H43" s="4">
        <v>0.03</v>
      </c>
      <c r="I43" s="6">
        <v>2.7604720560573805E-2</v>
      </c>
      <c r="J43" s="6">
        <f t="shared" si="1"/>
        <v>2.4555572755417948E-2</v>
      </c>
      <c r="K43" s="21">
        <f t="shared" si="2"/>
        <v>5.7373635929378598E-6</v>
      </c>
      <c r="L43">
        <f t="shared" si="3"/>
        <v>7.9842647980873123</v>
      </c>
    </row>
    <row r="44" spans="1:12" x14ac:dyDescent="0.15">
      <c r="A44" s="3">
        <f>DATE(1963,6,1)</f>
        <v>23163</v>
      </c>
      <c r="B44" s="4">
        <v>2.9900000000000003E-2</v>
      </c>
      <c r="C44" s="6">
        <f t="shared" si="0"/>
        <v>2.7844248504516424E-2</v>
      </c>
      <c r="G44" s="3">
        <v>23163</v>
      </c>
      <c r="H44" s="4">
        <v>2.9900000000000003E-2</v>
      </c>
      <c r="I44" s="6">
        <v>2.7844248504516424E-2</v>
      </c>
      <c r="J44" s="6">
        <f t="shared" si="1"/>
        <v>2.4655572755417944E-2</v>
      </c>
      <c r="K44" s="21">
        <f t="shared" si="2"/>
        <v>4.2261142111829727E-6</v>
      </c>
      <c r="L44">
        <f t="shared" si="3"/>
        <v>6.8754230618179895</v>
      </c>
    </row>
    <row r="45" spans="1:12" x14ac:dyDescent="0.15">
      <c r="A45" s="3">
        <f>DATE(1963,7,1)</f>
        <v>23193</v>
      </c>
      <c r="B45" s="4">
        <v>3.0200000000000001E-2</v>
      </c>
      <c r="C45" s="6">
        <f t="shared" si="0"/>
        <v>2.8049823654064783E-2</v>
      </c>
      <c r="G45" s="3">
        <v>23193</v>
      </c>
      <c r="H45" s="4">
        <v>3.0200000000000001E-2</v>
      </c>
      <c r="I45" s="6">
        <v>2.8049823654064783E-2</v>
      </c>
      <c r="J45" s="6">
        <f t="shared" si="1"/>
        <v>2.4355572755417946E-2</v>
      </c>
      <c r="K45" s="21">
        <f t="shared" si="2"/>
        <v>4.6232583186193268E-6</v>
      </c>
      <c r="L45">
        <f t="shared" si="3"/>
        <v>7.1197892249510533</v>
      </c>
    </row>
    <row r="46" spans="1:12" x14ac:dyDescent="0.15">
      <c r="A46" s="3">
        <f>DATE(1963,8,1)</f>
        <v>23224</v>
      </c>
      <c r="B46" s="4">
        <v>3.49E-2</v>
      </c>
      <c r="C46" s="6">
        <f t="shared" si="0"/>
        <v>2.8264841288658304E-2</v>
      </c>
      <c r="G46" s="3">
        <v>23224</v>
      </c>
      <c r="H46" s="4">
        <v>3.49E-2</v>
      </c>
      <c r="I46" s="6">
        <v>2.8264841288658304E-2</v>
      </c>
      <c r="J46" s="6">
        <f t="shared" si="1"/>
        <v>1.9655572755417947E-2</v>
      </c>
      <c r="K46" s="21">
        <f t="shared" si="2"/>
        <v>4.4025331124693595E-5</v>
      </c>
      <c r="L46">
        <f t="shared" si="3"/>
        <v>19.011916078342971</v>
      </c>
    </row>
    <row r="47" spans="1:12" x14ac:dyDescent="0.15">
      <c r="A47" s="3">
        <f>DATE(1963,9,1)</f>
        <v>23255</v>
      </c>
      <c r="B47" s="4">
        <v>3.4799999999999998E-2</v>
      </c>
      <c r="C47" s="6">
        <f t="shared" si="0"/>
        <v>2.8928357159792476E-2</v>
      </c>
      <c r="G47" s="3">
        <v>23255</v>
      </c>
      <c r="H47" s="4">
        <v>3.4799999999999998E-2</v>
      </c>
      <c r="I47" s="6">
        <v>2.8928357159792476E-2</v>
      </c>
      <c r="J47" s="6">
        <f t="shared" si="1"/>
        <v>1.9755572755417949E-2</v>
      </c>
      <c r="K47" s="21">
        <f t="shared" si="2"/>
        <v>3.4476189642960251E-5</v>
      </c>
      <c r="L47">
        <f t="shared" si="3"/>
        <v>16.872536897148052</v>
      </c>
    </row>
    <row r="48" spans="1:12" x14ac:dyDescent="0.15">
      <c r="A48" s="3">
        <f>DATE(1963,10,1)</f>
        <v>23285</v>
      </c>
      <c r="B48" s="4">
        <v>3.5000000000000003E-2</v>
      </c>
      <c r="C48" s="6">
        <f t="shared" si="0"/>
        <v>2.9515521443813229E-2</v>
      </c>
      <c r="G48" s="3">
        <v>23285</v>
      </c>
      <c r="H48" s="4">
        <v>3.5000000000000003E-2</v>
      </c>
      <c r="I48" s="6">
        <v>2.9515521443813229E-2</v>
      </c>
      <c r="J48" s="6">
        <f t="shared" si="1"/>
        <v>1.9555572755417944E-2</v>
      </c>
      <c r="K48" s="21">
        <f t="shared" si="2"/>
        <v>3.0079505033272568E-5</v>
      </c>
      <c r="L48">
        <f t="shared" si="3"/>
        <v>15.669938731962214</v>
      </c>
    </row>
    <row r="49" spans="1:12" x14ac:dyDescent="0.15">
      <c r="A49" s="3">
        <f>DATE(1963,11,1)</f>
        <v>23316</v>
      </c>
      <c r="B49" s="4">
        <v>3.4799999999999998E-2</v>
      </c>
      <c r="C49" s="6">
        <f t="shared" si="0"/>
        <v>3.0063969299431906E-2</v>
      </c>
      <c r="G49" s="3">
        <v>23316</v>
      </c>
      <c r="H49" s="4">
        <v>3.4799999999999998E-2</v>
      </c>
      <c r="I49" s="6">
        <v>3.0063969299431906E-2</v>
      </c>
      <c r="J49" s="6">
        <f t="shared" si="1"/>
        <v>1.9755572755417949E-2</v>
      </c>
      <c r="K49" s="21">
        <f t="shared" si="2"/>
        <v>2.2429986796723492E-5</v>
      </c>
      <c r="L49">
        <f t="shared" si="3"/>
        <v>13.609283622322105</v>
      </c>
    </row>
    <row r="50" spans="1:12" x14ac:dyDescent="0.15">
      <c r="A50" s="3">
        <f>DATE(1963,12,1)</f>
        <v>23346</v>
      </c>
      <c r="B50" s="4">
        <v>3.3799999999999997E-2</v>
      </c>
      <c r="C50" s="6">
        <f t="shared" si="0"/>
        <v>3.0537572369488716E-2</v>
      </c>
      <c r="G50" s="3">
        <v>23346</v>
      </c>
      <c r="H50" s="4">
        <v>3.3799999999999997E-2</v>
      </c>
      <c r="I50" s="6">
        <v>3.0537572369488716E-2</v>
      </c>
      <c r="J50" s="6">
        <f t="shared" si="1"/>
        <v>2.075557275541795E-2</v>
      </c>
      <c r="K50" s="21">
        <f t="shared" si="2"/>
        <v>1.0643434044323447E-5</v>
      </c>
      <c r="L50">
        <f t="shared" si="3"/>
        <v>9.6521527529919542</v>
      </c>
    </row>
    <row r="51" spans="1:12" x14ac:dyDescent="0.15">
      <c r="A51" s="3">
        <f>DATE(1964,1,1)</f>
        <v>23377</v>
      </c>
      <c r="B51" s="4">
        <v>3.4799999999999998E-2</v>
      </c>
      <c r="C51" s="6">
        <f t="shared" si="0"/>
        <v>3.0863815132539846E-2</v>
      </c>
      <c r="G51" s="3">
        <v>23377</v>
      </c>
      <c r="H51" s="4">
        <v>3.4799999999999998E-2</v>
      </c>
      <c r="I51" s="6">
        <v>3.0863815132539846E-2</v>
      </c>
      <c r="J51" s="6">
        <f t="shared" si="1"/>
        <v>1.9755572755417949E-2</v>
      </c>
      <c r="K51" s="21">
        <f t="shared" si="2"/>
        <v>1.5493551310822287E-5</v>
      </c>
      <c r="L51">
        <f t="shared" si="3"/>
        <v>11.310876055919977</v>
      </c>
    </row>
    <row r="52" spans="1:12" x14ac:dyDescent="0.15">
      <c r="A52" s="3">
        <f>DATE(1964,2,1)</f>
        <v>23408</v>
      </c>
      <c r="B52" s="4">
        <v>3.4799999999999998E-2</v>
      </c>
      <c r="C52" s="6">
        <f t="shared" si="0"/>
        <v>3.125743361928586E-2</v>
      </c>
      <c r="G52" s="3">
        <v>23408</v>
      </c>
      <c r="H52" s="4">
        <v>3.4799999999999998E-2</v>
      </c>
      <c r="I52" s="6">
        <v>3.125743361928586E-2</v>
      </c>
      <c r="J52" s="6">
        <f t="shared" si="1"/>
        <v>1.9755572755417949E-2</v>
      </c>
      <c r="K52" s="21">
        <f t="shared" si="2"/>
        <v>1.2549776561766065E-5</v>
      </c>
      <c r="L52">
        <f t="shared" si="3"/>
        <v>10.179788450327983</v>
      </c>
    </row>
    <row r="53" spans="1:12" x14ac:dyDescent="0.15">
      <c r="A53" s="3">
        <f>DATE(1964,3,1)</f>
        <v>23437</v>
      </c>
      <c r="B53" s="4">
        <v>3.4300000000000004E-2</v>
      </c>
      <c r="C53" s="6">
        <f t="shared" si="0"/>
        <v>3.1611690257357272E-2</v>
      </c>
      <c r="G53" s="3">
        <v>23437</v>
      </c>
      <c r="H53" s="4">
        <v>3.4300000000000004E-2</v>
      </c>
      <c r="I53" s="6">
        <v>3.1611690257357272E-2</v>
      </c>
      <c r="J53" s="6">
        <f t="shared" si="1"/>
        <v>2.0255572755417943E-2</v>
      </c>
      <c r="K53" s="21">
        <f t="shared" si="2"/>
        <v>7.2270092723878312E-6</v>
      </c>
      <c r="L53">
        <f t="shared" si="3"/>
        <v>7.8376377336522776</v>
      </c>
    </row>
    <row r="54" spans="1:12" x14ac:dyDescent="0.15">
      <c r="A54" s="3">
        <f>DATE(1964,4,1)</f>
        <v>23468</v>
      </c>
      <c r="B54" s="4">
        <v>3.4700000000000002E-2</v>
      </c>
      <c r="C54" s="6">
        <f t="shared" si="0"/>
        <v>3.1880521231621543E-2</v>
      </c>
      <c r="G54" s="3">
        <v>23468</v>
      </c>
      <c r="H54" s="4">
        <v>3.4700000000000002E-2</v>
      </c>
      <c r="I54" s="6">
        <v>3.1880521231621543E-2</v>
      </c>
      <c r="J54" s="6">
        <f t="shared" si="1"/>
        <v>1.9855572755417945E-2</v>
      </c>
      <c r="K54" s="21">
        <f t="shared" si="2"/>
        <v>7.9494605253369079E-6</v>
      </c>
      <c r="L54">
        <f t="shared" si="3"/>
        <v>8.1252990443183233</v>
      </c>
    </row>
    <row r="55" spans="1:12" x14ac:dyDescent="0.15">
      <c r="A55" s="3">
        <f>DATE(1964,5,1)</f>
        <v>23498</v>
      </c>
      <c r="B55" s="4">
        <v>3.5000000000000003E-2</v>
      </c>
      <c r="C55" s="6">
        <f t="shared" si="0"/>
        <v>3.2162469108459386E-2</v>
      </c>
      <c r="G55" s="3">
        <v>23498</v>
      </c>
      <c r="H55" s="4">
        <v>3.5000000000000003E-2</v>
      </c>
      <c r="I55" s="6">
        <v>3.2162469108459386E-2</v>
      </c>
      <c r="J55" s="6">
        <f t="shared" si="1"/>
        <v>1.9555572755417944E-2</v>
      </c>
      <c r="K55" s="21">
        <f t="shared" si="2"/>
        <v>8.0515815604472886E-6</v>
      </c>
      <c r="L55">
        <f t="shared" si="3"/>
        <v>8.1072311186874764</v>
      </c>
    </row>
    <row r="56" spans="1:12" x14ac:dyDescent="0.15">
      <c r="A56" s="3">
        <f>DATE(1964,6,1)</f>
        <v>23529</v>
      </c>
      <c r="B56" s="4">
        <v>3.5000000000000003E-2</v>
      </c>
      <c r="C56" s="6">
        <f t="shared" si="0"/>
        <v>3.244622219761345E-2</v>
      </c>
      <c r="G56" s="3">
        <v>23529</v>
      </c>
      <c r="H56" s="4">
        <v>3.5000000000000003E-2</v>
      </c>
      <c r="I56" s="6">
        <v>3.244622219761345E-2</v>
      </c>
      <c r="J56" s="6">
        <f t="shared" si="1"/>
        <v>1.9555572755417944E-2</v>
      </c>
      <c r="K56" s="21">
        <f t="shared" si="2"/>
        <v>6.5217810639622934E-6</v>
      </c>
      <c r="L56">
        <f t="shared" si="3"/>
        <v>7.2965080068187218</v>
      </c>
    </row>
    <row r="57" spans="1:12" x14ac:dyDescent="0.15">
      <c r="A57" s="3">
        <f>DATE(1964,7,1)</f>
        <v>23559</v>
      </c>
      <c r="B57" s="4">
        <v>3.4200000000000001E-2</v>
      </c>
      <c r="C57" s="6">
        <f t="shared" si="0"/>
        <v>3.270159997785211E-2</v>
      </c>
      <c r="G57" s="3">
        <v>23559</v>
      </c>
      <c r="H57" s="4">
        <v>3.4200000000000001E-2</v>
      </c>
      <c r="I57" s="6">
        <v>3.270159997785211E-2</v>
      </c>
      <c r="J57" s="6">
        <f t="shared" si="1"/>
        <v>2.0355572755417946E-2</v>
      </c>
      <c r="K57" s="21">
        <f t="shared" si="2"/>
        <v>2.2452026263728022E-6</v>
      </c>
      <c r="L57">
        <f t="shared" si="3"/>
        <v>4.3812866144675198</v>
      </c>
    </row>
    <row r="58" spans="1:12" x14ac:dyDescent="0.15">
      <c r="A58" s="3">
        <f>DATE(1964,8,1)</f>
        <v>23590</v>
      </c>
      <c r="B58" s="4">
        <v>3.5000000000000003E-2</v>
      </c>
      <c r="C58" s="6">
        <f t="shared" si="0"/>
        <v>3.2851439980066899E-2</v>
      </c>
      <c r="G58" s="3">
        <v>23590</v>
      </c>
      <c r="H58" s="4">
        <v>3.5000000000000003E-2</v>
      </c>
      <c r="I58" s="6">
        <v>3.2851439980066899E-2</v>
      </c>
      <c r="J58" s="6">
        <f t="shared" si="1"/>
        <v>1.9555572755417944E-2</v>
      </c>
      <c r="K58" s="21">
        <f t="shared" si="2"/>
        <v>4.6163101592549428E-6</v>
      </c>
      <c r="L58">
        <f t="shared" si="3"/>
        <v>6.1387429140945837</v>
      </c>
    </row>
    <row r="59" spans="1:12" x14ac:dyDescent="0.15">
      <c r="A59" s="3">
        <f>DATE(1964,9,1)</f>
        <v>23621</v>
      </c>
      <c r="B59" s="4">
        <v>3.4500000000000003E-2</v>
      </c>
      <c r="C59" s="6">
        <f t="shared" si="0"/>
        <v>3.3066295982060213E-2</v>
      </c>
      <c r="G59" s="3">
        <v>23621</v>
      </c>
      <c r="H59" s="4">
        <v>3.4500000000000003E-2</v>
      </c>
      <c r="I59" s="6">
        <v>3.3066295982060213E-2</v>
      </c>
      <c r="J59" s="6">
        <f t="shared" si="1"/>
        <v>2.0055572755417944E-2</v>
      </c>
      <c r="K59" s="21">
        <f t="shared" si="2"/>
        <v>2.0555072110566962E-6</v>
      </c>
      <c r="L59">
        <f t="shared" si="3"/>
        <v>4.1556638201153318</v>
      </c>
    </row>
    <row r="60" spans="1:12" x14ac:dyDescent="0.15">
      <c r="A60" s="3">
        <f>DATE(1964,10,1)</f>
        <v>23651</v>
      </c>
      <c r="B60" s="4">
        <v>3.3599999999999998E-2</v>
      </c>
      <c r="C60" s="6">
        <f t="shared" si="0"/>
        <v>3.320966638385419E-2</v>
      </c>
      <c r="G60" s="3">
        <v>23651</v>
      </c>
      <c r="H60" s="4">
        <v>3.3599999999999998E-2</v>
      </c>
      <c r="I60" s="6">
        <v>3.320966638385419E-2</v>
      </c>
      <c r="J60" s="6">
        <f t="shared" si="1"/>
        <v>2.0955572755417949E-2</v>
      </c>
      <c r="K60" s="21">
        <f t="shared" si="2"/>
        <v>1.5236033189346269E-7</v>
      </c>
      <c r="L60">
        <f t="shared" si="3"/>
        <v>1.161707190910142</v>
      </c>
    </row>
    <row r="61" spans="1:12" x14ac:dyDescent="0.15">
      <c r="A61" s="3">
        <f>DATE(1964,11,1)</f>
        <v>23682</v>
      </c>
      <c r="B61" s="4">
        <v>3.5200000000000002E-2</v>
      </c>
      <c r="C61" s="6">
        <f t="shared" si="0"/>
        <v>3.324869974546877E-2</v>
      </c>
      <c r="G61" s="3">
        <v>23682</v>
      </c>
      <c r="H61" s="4">
        <v>3.5200000000000002E-2</v>
      </c>
      <c r="I61" s="6">
        <v>3.324869974546877E-2</v>
      </c>
      <c r="J61" s="6">
        <f t="shared" si="1"/>
        <v>1.9355572755417945E-2</v>
      </c>
      <c r="K61" s="21">
        <f t="shared" si="2"/>
        <v>3.8075726833336525E-6</v>
      </c>
      <c r="L61">
        <f t="shared" si="3"/>
        <v>5.5434666321910013</v>
      </c>
    </row>
    <row r="62" spans="1:12" x14ac:dyDescent="0.15">
      <c r="A62" s="3">
        <f>DATE(1964,12,1)</f>
        <v>23712</v>
      </c>
      <c r="B62" s="4">
        <v>3.85E-2</v>
      </c>
      <c r="C62" s="6">
        <f t="shared" si="0"/>
        <v>3.3443829770921897E-2</v>
      </c>
      <c r="G62" s="3">
        <v>23712</v>
      </c>
      <c r="H62" s="4">
        <v>3.85E-2</v>
      </c>
      <c r="I62" s="6">
        <v>3.3443829770921897E-2</v>
      </c>
      <c r="J62" s="6">
        <f t="shared" si="1"/>
        <v>1.6055572755417948E-2</v>
      </c>
      <c r="K62" s="21">
        <f t="shared" si="2"/>
        <v>2.5564857385415711E-5</v>
      </c>
      <c r="L62">
        <f t="shared" si="3"/>
        <v>13.132909685917149</v>
      </c>
    </row>
    <row r="63" spans="1:12" x14ac:dyDescent="0.15">
      <c r="A63" s="3">
        <f>DATE(1965,1,1)</f>
        <v>23743</v>
      </c>
      <c r="B63" s="4">
        <v>3.9E-2</v>
      </c>
      <c r="C63" s="6">
        <f t="shared" si="0"/>
        <v>3.3949446793829711E-2</v>
      </c>
      <c r="G63" s="3">
        <v>23743</v>
      </c>
      <c r="H63" s="4">
        <v>3.9E-2</v>
      </c>
      <c r="I63" s="6">
        <v>3.3949446793829711E-2</v>
      </c>
      <c r="J63" s="6">
        <f t="shared" si="1"/>
        <v>1.5555572755417947E-2</v>
      </c>
      <c r="K63" s="21">
        <f t="shared" si="2"/>
        <v>2.5508087688356979E-5</v>
      </c>
      <c r="L63">
        <f t="shared" si="3"/>
        <v>12.950136426077663</v>
      </c>
    </row>
    <row r="64" spans="1:12" x14ac:dyDescent="0.15">
      <c r="A64" s="3">
        <f>DATE(1965,2,1)</f>
        <v>23774</v>
      </c>
      <c r="B64" s="4">
        <v>3.9800000000000002E-2</v>
      </c>
      <c r="C64" s="6">
        <f t="shared" si="0"/>
        <v>3.4454502114446742E-2</v>
      </c>
      <c r="G64" s="3">
        <v>23774</v>
      </c>
      <c r="H64" s="4">
        <v>3.9800000000000002E-2</v>
      </c>
      <c r="I64" s="6">
        <v>3.4454502114446742E-2</v>
      </c>
      <c r="J64" s="6">
        <f t="shared" si="1"/>
        <v>1.4755572755417945E-2</v>
      </c>
      <c r="K64" s="21">
        <f t="shared" si="2"/>
        <v>2.8574347644454376E-5</v>
      </c>
      <c r="L64">
        <f t="shared" si="3"/>
        <v>13.430899209932814</v>
      </c>
    </row>
    <row r="65" spans="1:12" x14ac:dyDescent="0.15">
      <c r="A65" s="3">
        <f>DATE(1965,3,1)</f>
        <v>23802</v>
      </c>
      <c r="B65" s="4">
        <v>4.0399999999999998E-2</v>
      </c>
      <c r="C65" s="6">
        <f t="shared" si="0"/>
        <v>3.4989051903002069E-2</v>
      </c>
      <c r="G65" s="3">
        <v>23802</v>
      </c>
      <c r="H65" s="4">
        <v>4.0399999999999998E-2</v>
      </c>
      <c r="I65" s="6">
        <v>3.4989051903002069E-2</v>
      </c>
      <c r="J65" s="6">
        <f t="shared" si="1"/>
        <v>1.4155572755417949E-2</v>
      </c>
      <c r="K65" s="21">
        <f t="shared" si="2"/>
        <v>2.9278359308405511E-5</v>
      </c>
      <c r="L65">
        <f t="shared" si="3"/>
        <v>13.393435883658242</v>
      </c>
    </row>
    <row r="66" spans="1:12" x14ac:dyDescent="0.15">
      <c r="A66" s="3">
        <f>DATE(1965,4,1)</f>
        <v>23833</v>
      </c>
      <c r="B66" s="4">
        <v>4.0899999999999999E-2</v>
      </c>
      <c r="C66" s="6">
        <f t="shared" si="0"/>
        <v>3.5530146712701868E-2</v>
      </c>
      <c r="G66" s="3">
        <v>23833</v>
      </c>
      <c r="H66" s="4">
        <v>4.0899999999999999E-2</v>
      </c>
      <c r="I66" s="6">
        <v>3.5530146712701868E-2</v>
      </c>
      <c r="J66" s="6">
        <f t="shared" si="1"/>
        <v>1.3655572755417948E-2</v>
      </c>
      <c r="K66" s="21">
        <f t="shared" si="2"/>
        <v>2.883532432710654E-5</v>
      </c>
      <c r="L66">
        <f t="shared" si="3"/>
        <v>13.129225641315722</v>
      </c>
    </row>
    <row r="67" spans="1:12" x14ac:dyDescent="0.15">
      <c r="A67" s="3">
        <f>DATE(1965,5,1)</f>
        <v>23863</v>
      </c>
      <c r="B67" s="4">
        <v>4.0999999999999995E-2</v>
      </c>
      <c r="C67" s="6">
        <f t="shared" si="0"/>
        <v>3.6067132041431679E-2</v>
      </c>
      <c r="G67" s="3">
        <v>23863</v>
      </c>
      <c r="H67" s="4">
        <v>4.0999999999999995E-2</v>
      </c>
      <c r="I67" s="6">
        <v>3.6067132041431679E-2</v>
      </c>
      <c r="J67" s="6">
        <f t="shared" si="1"/>
        <v>1.3555572755417952E-2</v>
      </c>
      <c r="K67" s="21">
        <f t="shared" si="2"/>
        <v>2.433318629666994E-5</v>
      </c>
      <c r="L67">
        <f t="shared" si="3"/>
        <v>12.031385264800772</v>
      </c>
    </row>
    <row r="68" spans="1:12" x14ac:dyDescent="0.15">
      <c r="A68" s="3">
        <f>DATE(1965,6,1)</f>
        <v>23894</v>
      </c>
      <c r="B68" s="4">
        <v>4.0399999999999998E-2</v>
      </c>
      <c r="C68" s="6">
        <f t="shared" si="0"/>
        <v>3.6560418837288514E-2</v>
      </c>
      <c r="G68" s="3">
        <v>23894</v>
      </c>
      <c r="H68" s="4">
        <v>4.0399999999999998E-2</v>
      </c>
      <c r="I68" s="6">
        <v>3.6560418837288514E-2</v>
      </c>
      <c r="J68" s="6">
        <f t="shared" si="1"/>
        <v>1.4155572755417949E-2</v>
      </c>
      <c r="K68" s="21">
        <f t="shared" si="2"/>
        <v>1.4742383505048878E-5</v>
      </c>
      <c r="L68">
        <f t="shared" si="3"/>
        <v>9.5039137690878341</v>
      </c>
    </row>
    <row r="69" spans="1:12" x14ac:dyDescent="0.15">
      <c r="A69" s="3">
        <f>DATE(1965,7,1)</f>
        <v>23924</v>
      </c>
      <c r="B69" s="4">
        <v>4.0899999999999999E-2</v>
      </c>
      <c r="C69" s="6">
        <f t="shared" ref="C69:C132" si="4">0.1*B68+0.9*C68</f>
        <v>3.6944376953559663E-2</v>
      </c>
      <c r="G69" s="3">
        <v>23924</v>
      </c>
      <c r="H69" s="4">
        <v>4.0899999999999999E-2</v>
      </c>
      <c r="I69" s="6">
        <v>3.6944376953559663E-2</v>
      </c>
      <c r="J69" s="6">
        <f t="shared" ref="J69:J132" si="5">ABS(H69-$P$6)</f>
        <v>1.3655572755417948E-2</v>
      </c>
      <c r="K69" s="21">
        <f t="shared" ref="K69:K132" si="6">(H69-I69)^2</f>
        <v>1.5646953685529927E-5</v>
      </c>
      <c r="L69">
        <f t="shared" ref="L69:L132" si="7">ABS(I69-H69)/H69*100</f>
        <v>9.6714499912966652</v>
      </c>
    </row>
    <row r="70" spans="1:12" x14ac:dyDescent="0.15">
      <c r="A70" s="3">
        <f>DATE(1965,8,1)</f>
        <v>23955</v>
      </c>
      <c r="B70" s="4">
        <v>4.1200000000000001E-2</v>
      </c>
      <c r="C70" s="6">
        <f t="shared" si="4"/>
        <v>3.7339939258203697E-2</v>
      </c>
      <c r="G70" s="3">
        <v>23955</v>
      </c>
      <c r="H70" s="4">
        <v>4.1200000000000001E-2</v>
      </c>
      <c r="I70" s="6">
        <v>3.7339939258203697E-2</v>
      </c>
      <c r="J70" s="6">
        <f t="shared" si="5"/>
        <v>1.3355572755417947E-2</v>
      </c>
      <c r="K70" s="21">
        <f t="shared" si="6"/>
        <v>1.4900068930357029E-5</v>
      </c>
      <c r="L70">
        <f t="shared" si="7"/>
        <v>9.3690794703793774</v>
      </c>
    </row>
    <row r="71" spans="1:12" x14ac:dyDescent="0.15">
      <c r="A71" s="3">
        <f>DATE(1965,9,1)</f>
        <v>23986</v>
      </c>
      <c r="B71" s="4">
        <v>4.0099999999999997E-2</v>
      </c>
      <c r="C71" s="6">
        <f t="shared" si="4"/>
        <v>3.7725945332383326E-2</v>
      </c>
      <c r="G71" s="3">
        <v>23986</v>
      </c>
      <c r="H71" s="4">
        <v>4.0099999999999997E-2</v>
      </c>
      <c r="I71" s="6">
        <v>3.7725945332383326E-2</v>
      </c>
      <c r="J71" s="6">
        <f t="shared" si="5"/>
        <v>1.445557275541795E-2</v>
      </c>
      <c r="K71" s="21">
        <f t="shared" si="6"/>
        <v>5.6361355648325012E-6</v>
      </c>
      <c r="L71">
        <f t="shared" si="7"/>
        <v>5.9203358294680068</v>
      </c>
    </row>
    <row r="72" spans="1:12" x14ac:dyDescent="0.15">
      <c r="A72" s="3">
        <f>DATE(1965,10,1)</f>
        <v>24016</v>
      </c>
      <c r="B72" s="4">
        <v>4.0800000000000003E-2</v>
      </c>
      <c r="C72" s="6">
        <f t="shared" si="4"/>
        <v>3.7963350799144993E-2</v>
      </c>
      <c r="G72" s="3">
        <v>24016</v>
      </c>
      <c r="H72" s="4">
        <v>4.0800000000000003E-2</v>
      </c>
      <c r="I72" s="6">
        <v>3.7963350799144993E-2</v>
      </c>
      <c r="J72" s="6">
        <f t="shared" si="5"/>
        <v>1.3755572755417944E-2</v>
      </c>
      <c r="K72" s="21">
        <f t="shared" si="6"/>
        <v>8.0465786887113662E-6</v>
      </c>
      <c r="L72">
        <f t="shared" si="7"/>
        <v>6.9525715707230624</v>
      </c>
    </row>
    <row r="73" spans="1:12" x14ac:dyDescent="0.15">
      <c r="A73" s="3">
        <f>DATE(1965,11,1)</f>
        <v>24047</v>
      </c>
      <c r="B73" s="4">
        <v>4.0999999999999995E-2</v>
      </c>
      <c r="C73" s="6">
        <f t="shared" si="4"/>
        <v>3.8247015719230497E-2</v>
      </c>
      <c r="G73" s="3">
        <v>24047</v>
      </c>
      <c r="H73" s="4">
        <v>4.0999999999999995E-2</v>
      </c>
      <c r="I73" s="6">
        <v>3.8247015719230497E-2</v>
      </c>
      <c r="J73" s="6">
        <f t="shared" si="5"/>
        <v>1.3555572755417952E-2</v>
      </c>
      <c r="K73" s="21">
        <f t="shared" si="6"/>
        <v>7.5789224501639495E-6</v>
      </c>
      <c r="L73">
        <f t="shared" si="7"/>
        <v>6.7145958067548737</v>
      </c>
    </row>
    <row r="74" spans="1:12" x14ac:dyDescent="0.15">
      <c r="A74" s="3">
        <f>DATE(1965,12,1)</f>
        <v>24077</v>
      </c>
      <c r="B74" s="4">
        <v>4.3200000000000002E-2</v>
      </c>
      <c r="C74" s="6">
        <f t="shared" si="4"/>
        <v>3.8522314147307446E-2</v>
      </c>
      <c r="G74" s="3">
        <v>24077</v>
      </c>
      <c r="H74" s="4">
        <v>4.3200000000000002E-2</v>
      </c>
      <c r="I74" s="6">
        <v>3.8522314147307446E-2</v>
      </c>
      <c r="J74" s="6">
        <f t="shared" si="5"/>
        <v>1.1355572755417945E-2</v>
      </c>
      <c r="K74" s="21">
        <f t="shared" si="6"/>
        <v>2.1880744936480086E-5</v>
      </c>
      <c r="L74">
        <f t="shared" si="7"/>
        <v>10.827976510862399</v>
      </c>
    </row>
    <row r="75" spans="1:12" x14ac:dyDescent="0.15">
      <c r="A75" s="3">
        <f>DATE(1966,1,1)</f>
        <v>24108</v>
      </c>
      <c r="B75" s="4">
        <v>4.4199999999999996E-2</v>
      </c>
      <c r="C75" s="6">
        <f t="shared" si="4"/>
        <v>3.8990082732576703E-2</v>
      </c>
      <c r="G75" s="3">
        <v>24108</v>
      </c>
      <c r="H75" s="4">
        <v>4.4199999999999996E-2</v>
      </c>
      <c r="I75" s="6">
        <v>3.8990082732576703E-2</v>
      </c>
      <c r="J75" s="6">
        <f t="shared" si="5"/>
        <v>1.0355572755417951E-2</v>
      </c>
      <c r="K75" s="21">
        <f t="shared" si="6"/>
        <v>2.7143237933395396E-5</v>
      </c>
      <c r="L75">
        <f t="shared" si="7"/>
        <v>11.787143138966728</v>
      </c>
    </row>
    <row r="76" spans="1:12" x14ac:dyDescent="0.15">
      <c r="A76" s="3">
        <f>DATE(1966,2,1)</f>
        <v>24139</v>
      </c>
      <c r="B76" s="4">
        <v>4.5999999999999999E-2</v>
      </c>
      <c r="C76" s="6">
        <f t="shared" si="4"/>
        <v>3.9511074459319034E-2</v>
      </c>
      <c r="G76" s="3">
        <v>24139</v>
      </c>
      <c r="H76" s="4">
        <v>4.5999999999999999E-2</v>
      </c>
      <c r="I76" s="6">
        <v>3.9511074459319034E-2</v>
      </c>
      <c r="J76" s="6">
        <f t="shared" si="5"/>
        <v>8.5555727554179478E-3</v>
      </c>
      <c r="K76" s="21">
        <f t="shared" si="6"/>
        <v>4.2106154672501748E-5</v>
      </c>
      <c r="L76">
        <f t="shared" si="7"/>
        <v>14.106359871045576</v>
      </c>
    </row>
    <row r="77" spans="1:12" x14ac:dyDescent="0.15">
      <c r="A77" s="3">
        <f>DATE(1966,3,1)</f>
        <v>24167</v>
      </c>
      <c r="B77" s="4">
        <v>4.6500000000000007E-2</v>
      </c>
      <c r="C77" s="6">
        <f t="shared" si="4"/>
        <v>4.0159967013387129E-2</v>
      </c>
      <c r="G77" s="3">
        <v>24167</v>
      </c>
      <c r="H77" s="4">
        <v>4.6500000000000007E-2</v>
      </c>
      <c r="I77" s="6">
        <v>4.0159967013387129E-2</v>
      </c>
      <c r="J77" s="6">
        <f t="shared" si="5"/>
        <v>8.0555727554179404E-3</v>
      </c>
      <c r="K77" s="21">
        <f t="shared" si="6"/>
        <v>4.0196018271339397E-5</v>
      </c>
      <c r="L77">
        <f t="shared" si="7"/>
        <v>13.634479541102959</v>
      </c>
    </row>
    <row r="78" spans="1:12" x14ac:dyDescent="0.15">
      <c r="A78" s="3">
        <f>DATE(1966,4,1)</f>
        <v>24198</v>
      </c>
      <c r="B78" s="4">
        <v>4.6699999999999998E-2</v>
      </c>
      <c r="C78" s="6">
        <f t="shared" si="4"/>
        <v>4.0793970312048421E-2</v>
      </c>
      <c r="G78" s="3">
        <v>24198</v>
      </c>
      <c r="H78" s="4">
        <v>4.6699999999999998E-2</v>
      </c>
      <c r="I78" s="6">
        <v>4.0793970312048421E-2</v>
      </c>
      <c r="J78" s="6">
        <f t="shared" si="5"/>
        <v>7.8555727554179486E-3</v>
      </c>
      <c r="K78" s="21">
        <f t="shared" si="6"/>
        <v>3.488118667496541E-5</v>
      </c>
      <c r="L78">
        <f t="shared" si="7"/>
        <v>12.646744513814943</v>
      </c>
    </row>
    <row r="79" spans="1:12" x14ac:dyDescent="0.15">
      <c r="A79" s="3">
        <f>DATE(1966,5,1)</f>
        <v>24228</v>
      </c>
      <c r="B79" s="4">
        <v>4.9000000000000002E-2</v>
      </c>
      <c r="C79" s="6">
        <f t="shared" si="4"/>
        <v>4.1384573280843578E-2</v>
      </c>
      <c r="G79" s="3">
        <v>24228</v>
      </c>
      <c r="H79" s="4">
        <v>4.9000000000000002E-2</v>
      </c>
      <c r="I79" s="6">
        <v>4.1384573280843578E-2</v>
      </c>
      <c r="J79" s="6">
        <f t="shared" si="5"/>
        <v>5.5555727554179452E-3</v>
      </c>
      <c r="K79" s="21">
        <f t="shared" si="6"/>
        <v>5.7994724114841568E-5</v>
      </c>
      <c r="L79">
        <f t="shared" si="7"/>
        <v>15.541687181951882</v>
      </c>
    </row>
    <row r="80" spans="1:12" x14ac:dyDescent="0.15">
      <c r="A80" s="3">
        <f>DATE(1966,6,1)</f>
        <v>24259</v>
      </c>
      <c r="B80" s="4">
        <v>5.1699999999999996E-2</v>
      </c>
      <c r="C80" s="6">
        <f t="shared" si="4"/>
        <v>4.2146115952759224E-2</v>
      </c>
      <c r="G80" s="3">
        <v>24259</v>
      </c>
      <c r="H80" s="4">
        <v>5.1699999999999996E-2</v>
      </c>
      <c r="I80" s="6">
        <v>4.2146115952759224E-2</v>
      </c>
      <c r="J80" s="6">
        <f t="shared" si="5"/>
        <v>2.8555727554179511E-3</v>
      </c>
      <c r="K80" s="21">
        <f t="shared" si="6"/>
        <v>9.1276700388121724E-5</v>
      </c>
      <c r="L80">
        <f t="shared" si="7"/>
        <v>18.479466242245209</v>
      </c>
    </row>
    <row r="81" spans="1:12" x14ac:dyDescent="0.15">
      <c r="A81" s="3">
        <f>DATE(1966,7,1)</f>
        <v>24289</v>
      </c>
      <c r="B81" s="4">
        <v>5.2999999999999999E-2</v>
      </c>
      <c r="C81" s="6">
        <f t="shared" si="4"/>
        <v>4.3101504357483306E-2</v>
      </c>
      <c r="G81" s="3">
        <v>24289</v>
      </c>
      <c r="H81" s="4">
        <v>5.2999999999999999E-2</v>
      </c>
      <c r="I81" s="6">
        <v>4.3101504357483306E-2</v>
      </c>
      <c r="J81" s="6">
        <f t="shared" si="5"/>
        <v>1.5555727554179485E-3</v>
      </c>
      <c r="K81" s="21">
        <f t="shared" si="6"/>
        <v>9.7980215984921958E-5</v>
      </c>
      <c r="L81">
        <f t="shared" si="7"/>
        <v>18.676406872673006</v>
      </c>
    </row>
    <row r="82" spans="1:12" x14ac:dyDescent="0.15">
      <c r="A82" s="3">
        <f>DATE(1966,8,1)</f>
        <v>24320</v>
      </c>
      <c r="B82" s="4">
        <v>5.5300000000000002E-2</v>
      </c>
      <c r="C82" s="6">
        <f t="shared" si="4"/>
        <v>4.4091353921734973E-2</v>
      </c>
      <c r="G82" s="3">
        <v>24320</v>
      </c>
      <c r="H82" s="4">
        <v>5.5300000000000002E-2</v>
      </c>
      <c r="I82" s="6">
        <v>4.4091353921734973E-2</v>
      </c>
      <c r="J82" s="6">
        <f t="shared" si="5"/>
        <v>7.4442724458205489E-4</v>
      </c>
      <c r="K82" s="21">
        <f t="shared" si="6"/>
        <v>1.2563374690780603E-4</v>
      </c>
      <c r="L82">
        <f t="shared" si="7"/>
        <v>20.268799418200775</v>
      </c>
    </row>
    <row r="83" spans="1:12" x14ac:dyDescent="0.15">
      <c r="A83" s="3">
        <f>DATE(1966,9,1)</f>
        <v>24351</v>
      </c>
      <c r="B83" s="4">
        <v>5.4000000000000006E-2</v>
      </c>
      <c r="C83" s="6">
        <f t="shared" si="4"/>
        <v>4.5212218529561476E-2</v>
      </c>
      <c r="G83" s="3">
        <v>24351</v>
      </c>
      <c r="H83" s="4">
        <v>5.4000000000000006E-2</v>
      </c>
      <c r="I83" s="6">
        <v>4.5212218529561476E-2</v>
      </c>
      <c r="J83" s="6">
        <f t="shared" si="5"/>
        <v>5.5557275541794071E-4</v>
      </c>
      <c r="K83" s="21">
        <f t="shared" si="6"/>
        <v>7.7225103172182772E-5</v>
      </c>
      <c r="L83">
        <f t="shared" si="7"/>
        <v>16.273669389700977</v>
      </c>
    </row>
    <row r="84" spans="1:12" x14ac:dyDescent="0.15">
      <c r="A84" s="3">
        <f>DATE(1966,10,1)</f>
        <v>24381</v>
      </c>
      <c r="B84" s="4">
        <v>5.5300000000000002E-2</v>
      </c>
      <c r="C84" s="6">
        <f t="shared" si="4"/>
        <v>4.6090996676605329E-2</v>
      </c>
      <c r="G84" s="3">
        <v>24381</v>
      </c>
      <c r="H84" s="4">
        <v>5.5300000000000002E-2</v>
      </c>
      <c r="I84" s="6">
        <v>4.6090996676605329E-2</v>
      </c>
      <c r="J84" s="6">
        <f t="shared" si="5"/>
        <v>7.4442724458205489E-4</v>
      </c>
      <c r="K84" s="21">
        <f t="shared" si="6"/>
        <v>8.4805742210294118E-5</v>
      </c>
      <c r="L84">
        <f t="shared" si="7"/>
        <v>16.652808903064507</v>
      </c>
    </row>
    <row r="85" spans="1:12" x14ac:dyDescent="0.15">
      <c r="A85" s="3">
        <f>DATE(1966,11,1)</f>
        <v>24412</v>
      </c>
      <c r="B85" s="4">
        <v>5.7599999999999998E-2</v>
      </c>
      <c r="C85" s="6">
        <f t="shared" si="4"/>
        <v>4.70118970089448E-2</v>
      </c>
      <c r="G85" s="3">
        <v>24412</v>
      </c>
      <c r="H85" s="4">
        <v>5.7599999999999998E-2</v>
      </c>
      <c r="I85" s="6">
        <v>4.70118970089448E-2</v>
      </c>
      <c r="J85" s="6">
        <f t="shared" si="5"/>
        <v>3.0444272445820514E-3</v>
      </c>
      <c r="K85" s="21">
        <f t="shared" si="6"/>
        <v>1.1210792494919203E-4</v>
      </c>
      <c r="L85">
        <f t="shared" si="7"/>
        <v>18.382123248359719</v>
      </c>
    </row>
    <row r="86" spans="1:12" x14ac:dyDescent="0.15">
      <c r="A86" s="3">
        <f>DATE(1966,12,1)</f>
        <v>24442</v>
      </c>
      <c r="B86" s="4">
        <v>5.4000000000000006E-2</v>
      </c>
      <c r="C86" s="6">
        <f t="shared" si="4"/>
        <v>4.8070707308050326E-2</v>
      </c>
      <c r="G86" s="3">
        <v>24442</v>
      </c>
      <c r="H86" s="4">
        <v>5.4000000000000006E-2</v>
      </c>
      <c r="I86" s="6">
        <v>4.8070707308050326E-2</v>
      </c>
      <c r="J86" s="6">
        <f t="shared" si="5"/>
        <v>5.5557275541794071E-4</v>
      </c>
      <c r="K86" s="21">
        <f t="shared" si="6"/>
        <v>3.5156511826807892E-5</v>
      </c>
      <c r="L86">
        <f t="shared" si="7"/>
        <v>10.980171651758667</v>
      </c>
    </row>
    <row r="87" spans="1:12" x14ac:dyDescent="0.15">
      <c r="A87" s="3">
        <f>DATE(1967,1,1)</f>
        <v>24473</v>
      </c>
      <c r="B87" s="4">
        <v>4.9400000000000006E-2</v>
      </c>
      <c r="C87" s="6">
        <f t="shared" si="4"/>
        <v>4.8663636577245296E-2</v>
      </c>
      <c r="G87" s="3">
        <v>24473</v>
      </c>
      <c r="H87" s="4">
        <v>4.9400000000000006E-2</v>
      </c>
      <c r="I87" s="6">
        <v>4.8663636577245296E-2</v>
      </c>
      <c r="J87" s="6">
        <f t="shared" si="5"/>
        <v>5.1555727554179406E-3</v>
      </c>
      <c r="K87" s="21">
        <f t="shared" si="6"/>
        <v>5.4223109037103176E-7</v>
      </c>
      <c r="L87">
        <f t="shared" si="7"/>
        <v>1.4906142161026517</v>
      </c>
    </row>
    <row r="88" spans="1:12" x14ac:dyDescent="0.15">
      <c r="A88" s="3">
        <f>DATE(1967,2,1)</f>
        <v>24504</v>
      </c>
      <c r="B88" s="4">
        <v>0.05</v>
      </c>
      <c r="C88" s="6">
        <f t="shared" si="4"/>
        <v>4.873727291952077E-2</v>
      </c>
      <c r="G88" s="3">
        <v>24504</v>
      </c>
      <c r="H88" s="4">
        <v>0.05</v>
      </c>
      <c r="I88" s="6">
        <v>4.873727291952077E-2</v>
      </c>
      <c r="J88" s="6">
        <f t="shared" si="5"/>
        <v>4.5555727554179443E-3</v>
      </c>
      <c r="K88" s="21">
        <f t="shared" si="6"/>
        <v>1.5944796797756063E-6</v>
      </c>
      <c r="L88">
        <f t="shared" si="7"/>
        <v>2.5254541609584651</v>
      </c>
    </row>
    <row r="89" spans="1:12" x14ac:dyDescent="0.15">
      <c r="A89" s="3">
        <f>DATE(1967,3,1)</f>
        <v>24532</v>
      </c>
      <c r="B89" s="4">
        <v>4.53E-2</v>
      </c>
      <c r="C89" s="6">
        <f t="shared" si="4"/>
        <v>4.88635456275687E-2</v>
      </c>
      <c r="G89" s="3">
        <v>24532</v>
      </c>
      <c r="H89" s="4">
        <v>4.53E-2</v>
      </c>
      <c r="I89" s="6">
        <v>4.88635456275687E-2</v>
      </c>
      <c r="J89" s="6">
        <f t="shared" si="5"/>
        <v>9.2555727554179471E-3</v>
      </c>
      <c r="K89" s="21">
        <f t="shared" si="6"/>
        <v>1.2698857439763997E-5</v>
      </c>
      <c r="L89">
        <f t="shared" si="7"/>
        <v>7.8665466392245031</v>
      </c>
    </row>
    <row r="90" spans="1:12" x14ac:dyDescent="0.15">
      <c r="A90" s="3">
        <f>DATE(1967,4,1)</f>
        <v>24563</v>
      </c>
      <c r="B90" s="4">
        <v>4.0500000000000001E-2</v>
      </c>
      <c r="C90" s="6">
        <f t="shared" si="4"/>
        <v>4.8507191064811828E-2</v>
      </c>
      <c r="G90" s="3">
        <v>24563</v>
      </c>
      <c r="H90" s="4">
        <v>4.0500000000000001E-2</v>
      </c>
      <c r="I90" s="6">
        <v>4.8507191064811828E-2</v>
      </c>
      <c r="J90" s="6">
        <f t="shared" si="5"/>
        <v>1.4055572755417946E-2</v>
      </c>
      <c r="K90" s="21">
        <f t="shared" si="6"/>
        <v>6.4115108748402351E-5</v>
      </c>
      <c r="L90">
        <f t="shared" si="7"/>
        <v>19.770842135337844</v>
      </c>
    </row>
    <row r="91" spans="1:12" x14ac:dyDescent="0.15">
      <c r="A91" s="3">
        <f>DATE(1967,5,1)</f>
        <v>24593</v>
      </c>
      <c r="B91" s="4">
        <v>3.9399999999999998E-2</v>
      </c>
      <c r="C91" s="6">
        <f t="shared" si="4"/>
        <v>4.7706471958330644E-2</v>
      </c>
      <c r="G91" s="3">
        <v>24593</v>
      </c>
      <c r="H91" s="4">
        <v>3.9399999999999998E-2</v>
      </c>
      <c r="I91" s="6">
        <v>4.7706471958330644E-2</v>
      </c>
      <c r="J91" s="6">
        <f t="shared" si="5"/>
        <v>1.515557275541795E-2</v>
      </c>
      <c r="K91" s="21">
        <f t="shared" si="6"/>
        <v>6.8997476394533377E-5</v>
      </c>
      <c r="L91">
        <f t="shared" si="7"/>
        <v>21.082416137895045</v>
      </c>
    </row>
    <row r="92" spans="1:12" x14ac:dyDescent="0.15">
      <c r="A92" s="3">
        <f>DATE(1967,6,1)</f>
        <v>24624</v>
      </c>
      <c r="B92" s="4">
        <v>3.9800000000000002E-2</v>
      </c>
      <c r="C92" s="6">
        <f t="shared" si="4"/>
        <v>4.6875824762497582E-2</v>
      </c>
      <c r="G92" s="3">
        <v>24624</v>
      </c>
      <c r="H92" s="4">
        <v>3.9800000000000002E-2</v>
      </c>
      <c r="I92" s="6">
        <v>4.6875824762497582E-2</v>
      </c>
      <c r="J92" s="6">
        <f t="shared" si="5"/>
        <v>1.4755572755417945E-2</v>
      </c>
      <c r="K92" s="21">
        <f t="shared" si="6"/>
        <v>5.0067296069573941E-5</v>
      </c>
      <c r="L92">
        <f t="shared" si="7"/>
        <v>17.7784541771296</v>
      </c>
    </row>
    <row r="93" spans="1:12" x14ac:dyDescent="0.15">
      <c r="A93" s="3">
        <f>DATE(1967,7,1)</f>
        <v>24654</v>
      </c>
      <c r="B93" s="4">
        <v>3.7900000000000003E-2</v>
      </c>
      <c r="C93" s="6">
        <f t="shared" si="4"/>
        <v>4.6168242286247822E-2</v>
      </c>
      <c r="G93" s="3">
        <v>24654</v>
      </c>
      <c r="H93" s="4">
        <v>3.7900000000000003E-2</v>
      </c>
      <c r="I93" s="6">
        <v>4.6168242286247822E-2</v>
      </c>
      <c r="J93" s="6">
        <f t="shared" si="5"/>
        <v>1.6655572755417944E-2</v>
      </c>
      <c r="K93" s="21">
        <f t="shared" si="6"/>
        <v>6.8363830504096561E-5</v>
      </c>
      <c r="L93">
        <f t="shared" si="7"/>
        <v>21.815942707777886</v>
      </c>
    </row>
    <row r="94" spans="1:12" x14ac:dyDescent="0.15">
      <c r="A94" s="3">
        <f>DATE(1967,8,1)</f>
        <v>24685</v>
      </c>
      <c r="B94" s="4">
        <v>3.9E-2</v>
      </c>
      <c r="C94" s="6">
        <f t="shared" si="4"/>
        <v>4.534141805762304E-2</v>
      </c>
      <c r="G94" s="3">
        <v>24685</v>
      </c>
      <c r="H94" s="4">
        <v>3.9E-2</v>
      </c>
      <c r="I94" s="6">
        <v>4.534141805762304E-2</v>
      </c>
      <c r="J94" s="6">
        <f t="shared" si="5"/>
        <v>1.5555572755417947E-2</v>
      </c>
      <c r="K94" s="21">
        <f t="shared" si="6"/>
        <v>4.0213582981547568E-5</v>
      </c>
      <c r="L94">
        <f t="shared" si="7"/>
        <v>16.260046301597537</v>
      </c>
    </row>
    <row r="95" spans="1:12" x14ac:dyDescent="0.15">
      <c r="A95" s="3">
        <f>DATE(1967,9,1)</f>
        <v>24716</v>
      </c>
      <c r="B95" s="4">
        <v>3.9900000000000005E-2</v>
      </c>
      <c r="C95" s="6">
        <f t="shared" si="4"/>
        <v>4.4707276251860738E-2</v>
      </c>
      <c r="G95" s="3">
        <v>24716</v>
      </c>
      <c r="H95" s="4">
        <v>3.9900000000000005E-2</v>
      </c>
      <c r="I95" s="6">
        <v>4.4707276251860738E-2</v>
      </c>
      <c r="J95" s="6">
        <f t="shared" si="5"/>
        <v>1.4655572755417942E-2</v>
      </c>
      <c r="K95" s="21">
        <f t="shared" si="6"/>
        <v>2.3109904961704178E-5</v>
      </c>
      <c r="L95">
        <f t="shared" si="7"/>
        <v>12.048311408172262</v>
      </c>
    </row>
    <row r="96" spans="1:12" x14ac:dyDescent="0.15">
      <c r="A96" s="3">
        <f>DATE(1967,10,1)</f>
        <v>24746</v>
      </c>
      <c r="B96" s="4">
        <v>3.8800000000000001E-2</v>
      </c>
      <c r="C96" s="6">
        <f t="shared" si="4"/>
        <v>4.4226548626674668E-2</v>
      </c>
      <c r="G96" s="3">
        <v>24746</v>
      </c>
      <c r="H96" s="4">
        <v>3.8800000000000001E-2</v>
      </c>
      <c r="I96" s="6">
        <v>4.4226548626674668E-2</v>
      </c>
      <c r="J96" s="6">
        <f t="shared" si="5"/>
        <v>1.5755572755417946E-2</v>
      </c>
      <c r="K96" s="21">
        <f t="shared" si="6"/>
        <v>2.9447429997664714E-5</v>
      </c>
      <c r="L96">
        <f t="shared" si="7"/>
        <v>13.985950068749139</v>
      </c>
    </row>
    <row r="97" spans="1:12" x14ac:dyDescent="0.15">
      <c r="A97" s="3">
        <f>DATE(1967,11,1)</f>
        <v>24777</v>
      </c>
      <c r="B97" s="4">
        <v>4.1299999999999996E-2</v>
      </c>
      <c r="C97" s="6">
        <f t="shared" si="4"/>
        <v>4.3683893764007206E-2</v>
      </c>
      <c r="G97" s="3">
        <v>24777</v>
      </c>
      <c r="H97" s="4">
        <v>4.1299999999999996E-2</v>
      </c>
      <c r="I97" s="6">
        <v>4.3683893764007206E-2</v>
      </c>
      <c r="J97" s="6">
        <f t="shared" si="5"/>
        <v>1.3255572755417951E-2</v>
      </c>
      <c r="K97" s="21">
        <f t="shared" si="6"/>
        <v>5.6829494780724624E-6</v>
      </c>
      <c r="L97">
        <f t="shared" si="7"/>
        <v>5.7721398644242372</v>
      </c>
    </row>
    <row r="98" spans="1:12" x14ac:dyDescent="0.15">
      <c r="A98" s="3">
        <f>DATE(1967,12,1)</f>
        <v>24807</v>
      </c>
      <c r="B98" s="4">
        <v>4.5100000000000001E-2</v>
      </c>
      <c r="C98" s="6">
        <f t="shared" si="4"/>
        <v>4.3445504387606491E-2</v>
      </c>
      <c r="G98" s="3">
        <v>24807</v>
      </c>
      <c r="H98" s="4">
        <v>4.5100000000000001E-2</v>
      </c>
      <c r="I98" s="6">
        <v>4.3445504387606491E-2</v>
      </c>
      <c r="J98" s="6">
        <f t="shared" si="5"/>
        <v>9.4555727554179458E-3</v>
      </c>
      <c r="K98" s="21">
        <f t="shared" si="6"/>
        <v>2.7373557314293748E-6</v>
      </c>
      <c r="L98">
        <f t="shared" si="7"/>
        <v>3.6685046837993562</v>
      </c>
    </row>
    <row r="99" spans="1:12" x14ac:dyDescent="0.15">
      <c r="A99" s="3">
        <f>DATE(1968,1,1)</f>
        <v>24838</v>
      </c>
      <c r="B99" s="4">
        <v>4.5999999999999999E-2</v>
      </c>
      <c r="C99" s="6">
        <f t="shared" si="4"/>
        <v>4.3610953948845843E-2</v>
      </c>
      <c r="G99" s="3">
        <v>24838</v>
      </c>
      <c r="H99" s="4">
        <v>4.5999999999999999E-2</v>
      </c>
      <c r="I99" s="6">
        <v>4.3610953948845843E-2</v>
      </c>
      <c r="J99" s="6">
        <f t="shared" si="5"/>
        <v>8.5555727554179478E-3</v>
      </c>
      <c r="K99" s="21">
        <f t="shared" si="6"/>
        <v>5.7075410345352668E-6</v>
      </c>
      <c r="L99">
        <f t="shared" si="7"/>
        <v>5.1935783720742528</v>
      </c>
    </row>
    <row r="100" spans="1:12" x14ac:dyDescent="0.15">
      <c r="A100" s="3">
        <f>DATE(1968,2,1)</f>
        <v>24869</v>
      </c>
      <c r="B100" s="4">
        <v>4.7100000000000003E-2</v>
      </c>
      <c r="C100" s="6">
        <f t="shared" si="4"/>
        <v>4.3849858553961257E-2</v>
      </c>
      <c r="G100" s="3">
        <v>24869</v>
      </c>
      <c r="H100" s="4">
        <v>4.7100000000000003E-2</v>
      </c>
      <c r="I100" s="6">
        <v>4.3849858553961257E-2</v>
      </c>
      <c r="J100" s="6">
        <f t="shared" si="5"/>
        <v>7.4555727554179441E-3</v>
      </c>
      <c r="K100" s="21">
        <f t="shared" si="6"/>
        <v>1.0563419419258828E-5</v>
      </c>
      <c r="L100">
        <f t="shared" si="7"/>
        <v>6.9005126242860841</v>
      </c>
    </row>
    <row r="101" spans="1:12" x14ac:dyDescent="0.15">
      <c r="A101" s="3">
        <f>DATE(1968,3,1)</f>
        <v>24898</v>
      </c>
      <c r="B101" s="4">
        <v>5.0499999999999996E-2</v>
      </c>
      <c r="C101" s="6">
        <f t="shared" si="4"/>
        <v>4.4174872698565133E-2</v>
      </c>
      <c r="G101" s="3">
        <v>24898</v>
      </c>
      <c r="H101" s="4">
        <v>5.0499999999999996E-2</v>
      </c>
      <c r="I101" s="6">
        <v>4.4174872698565133E-2</v>
      </c>
      <c r="J101" s="6">
        <f t="shared" si="5"/>
        <v>4.0555727554179508E-3</v>
      </c>
      <c r="K101" s="21">
        <f t="shared" si="6"/>
        <v>4.000723537935667E-5</v>
      </c>
      <c r="L101">
        <f t="shared" si="7"/>
        <v>12.525004557296759</v>
      </c>
    </row>
    <row r="102" spans="1:12" x14ac:dyDescent="0.15">
      <c r="A102" s="3">
        <f>DATE(1968,4,1)</f>
        <v>24929</v>
      </c>
      <c r="B102" s="4">
        <v>5.7599999999999998E-2</v>
      </c>
      <c r="C102" s="6">
        <f t="shared" si="4"/>
        <v>4.4807385428708622E-2</v>
      </c>
      <c r="G102" s="3">
        <v>24929</v>
      </c>
      <c r="H102" s="4">
        <v>5.7599999999999998E-2</v>
      </c>
      <c r="I102" s="6">
        <v>4.4807385428708622E-2</v>
      </c>
      <c r="J102" s="6">
        <f t="shared" si="5"/>
        <v>3.0444272445820514E-3</v>
      </c>
      <c r="K102" s="21">
        <f t="shared" si="6"/>
        <v>1.6365098756961644E-4</v>
      </c>
      <c r="L102">
        <f t="shared" si="7"/>
        <v>22.209400297380864</v>
      </c>
    </row>
    <row r="103" spans="1:12" x14ac:dyDescent="0.15">
      <c r="A103" s="3">
        <f>DATE(1968,5,1)</f>
        <v>24959</v>
      </c>
      <c r="B103" s="4">
        <v>6.1100000000000002E-2</v>
      </c>
      <c r="C103" s="6">
        <f t="shared" si="4"/>
        <v>4.6086646885837759E-2</v>
      </c>
      <c r="G103" s="3">
        <v>24959</v>
      </c>
      <c r="H103" s="4">
        <v>6.1100000000000002E-2</v>
      </c>
      <c r="I103" s="6">
        <v>4.6086646885837759E-2</v>
      </c>
      <c r="J103" s="6">
        <f t="shared" si="5"/>
        <v>6.5444272445820545E-3</v>
      </c>
      <c r="K103" s="21">
        <f t="shared" si="6"/>
        <v>2.2540077173052511E-4</v>
      </c>
      <c r="L103">
        <f t="shared" si="7"/>
        <v>24.571772690936566</v>
      </c>
    </row>
    <row r="104" spans="1:12" x14ac:dyDescent="0.15">
      <c r="A104" s="3">
        <f>DATE(1968,6,1)</f>
        <v>24990</v>
      </c>
      <c r="B104" s="4">
        <v>6.0700000000000004E-2</v>
      </c>
      <c r="C104" s="6">
        <f t="shared" si="4"/>
        <v>4.7587982197253992E-2</v>
      </c>
      <c r="G104" s="3">
        <v>24990</v>
      </c>
      <c r="H104" s="4">
        <v>6.0700000000000004E-2</v>
      </c>
      <c r="I104" s="6">
        <v>4.7587982197253992E-2</v>
      </c>
      <c r="J104" s="6">
        <f t="shared" si="5"/>
        <v>6.1444272445820569E-3</v>
      </c>
      <c r="K104" s="21">
        <f t="shared" si="6"/>
        <v>1.7192501085952836E-4</v>
      </c>
      <c r="L104">
        <f t="shared" si="7"/>
        <v>21.601347286237253</v>
      </c>
    </row>
    <row r="105" spans="1:12" x14ac:dyDescent="0.15">
      <c r="A105" s="3">
        <f>DATE(1968,7,1)</f>
        <v>25020</v>
      </c>
      <c r="B105" s="4">
        <v>6.0199999999999997E-2</v>
      </c>
      <c r="C105" s="6">
        <f t="shared" si="4"/>
        <v>4.8899183977528592E-2</v>
      </c>
      <c r="G105" s="3">
        <v>25020</v>
      </c>
      <c r="H105" s="4">
        <v>6.0199999999999997E-2</v>
      </c>
      <c r="I105" s="6">
        <v>4.8899183977528592E-2</v>
      </c>
      <c r="J105" s="6">
        <f t="shared" si="5"/>
        <v>5.6444272445820495E-3</v>
      </c>
      <c r="K105" s="21">
        <f t="shared" si="6"/>
        <v>1.2770844277374644E-4</v>
      </c>
      <c r="L105">
        <f t="shared" si="7"/>
        <v>18.772119638656822</v>
      </c>
    </row>
    <row r="106" spans="1:12" x14ac:dyDescent="0.15">
      <c r="A106" s="3">
        <f>DATE(1968,8,1)</f>
        <v>25051</v>
      </c>
      <c r="B106" s="4">
        <v>6.0299999999999999E-2</v>
      </c>
      <c r="C106" s="6">
        <f t="shared" si="4"/>
        <v>5.0029265579775731E-2</v>
      </c>
      <c r="G106" s="3">
        <v>25051</v>
      </c>
      <c r="H106" s="4">
        <v>6.0299999999999999E-2</v>
      </c>
      <c r="I106" s="6">
        <v>5.0029265579775731E-2</v>
      </c>
      <c r="J106" s="6">
        <f t="shared" si="5"/>
        <v>5.7444272445820524E-3</v>
      </c>
      <c r="K106" s="21">
        <f t="shared" si="6"/>
        <v>1.0548798553077954E-4</v>
      </c>
      <c r="L106">
        <f t="shared" si="7"/>
        <v>17.03272706504854</v>
      </c>
    </row>
    <row r="107" spans="1:12" x14ac:dyDescent="0.15">
      <c r="A107" s="3">
        <f>DATE(1968,9,1)</f>
        <v>25082</v>
      </c>
      <c r="B107" s="4">
        <v>5.7800000000000004E-2</v>
      </c>
      <c r="C107" s="6">
        <f t="shared" si="4"/>
        <v>5.105633902179816E-2</v>
      </c>
      <c r="G107" s="3">
        <v>25082</v>
      </c>
      <c r="H107" s="4">
        <v>5.7800000000000004E-2</v>
      </c>
      <c r="I107" s="6">
        <v>5.105633902179816E-2</v>
      </c>
      <c r="J107" s="6">
        <f t="shared" si="5"/>
        <v>3.2444272445820571E-3</v>
      </c>
      <c r="K107" s="21">
        <f t="shared" si="6"/>
        <v>4.5476963388922256E-5</v>
      </c>
      <c r="L107">
        <f t="shared" si="7"/>
        <v>11.66723352630077</v>
      </c>
    </row>
    <row r="108" spans="1:12" x14ac:dyDescent="0.15">
      <c r="A108" s="3">
        <f>DATE(1968,10,1)</f>
        <v>25112</v>
      </c>
      <c r="B108" s="4">
        <v>5.91E-2</v>
      </c>
      <c r="C108" s="6">
        <f t="shared" si="4"/>
        <v>5.1730705119618345E-2</v>
      </c>
      <c r="G108" s="3">
        <v>25112</v>
      </c>
      <c r="H108" s="4">
        <v>5.91E-2</v>
      </c>
      <c r="I108" s="6">
        <v>5.1730705119618345E-2</v>
      </c>
      <c r="J108" s="6">
        <f t="shared" si="5"/>
        <v>4.5444272445820527E-3</v>
      </c>
      <c r="K108" s="21">
        <f t="shared" si="6"/>
        <v>5.4306507034019267E-5</v>
      </c>
      <c r="L108">
        <f t="shared" si="7"/>
        <v>12.469196075095864</v>
      </c>
    </row>
    <row r="109" spans="1:12" x14ac:dyDescent="0.15">
      <c r="A109" s="3">
        <f>DATE(1968,11,1)</f>
        <v>25143</v>
      </c>
      <c r="B109" s="4">
        <v>5.8200000000000002E-2</v>
      </c>
      <c r="C109" s="6">
        <f t="shared" si="4"/>
        <v>5.2467634607656508E-2</v>
      </c>
      <c r="G109" s="3">
        <v>25143</v>
      </c>
      <c r="H109" s="4">
        <v>5.8200000000000002E-2</v>
      </c>
      <c r="I109" s="6">
        <v>5.2467634607656508E-2</v>
      </c>
      <c r="J109" s="6">
        <f t="shared" si="5"/>
        <v>3.6444272445820547E-3</v>
      </c>
      <c r="K109" s="21">
        <f t="shared" si="6"/>
        <v>3.2860012991337383E-5</v>
      </c>
      <c r="L109">
        <f t="shared" si="7"/>
        <v>9.8494250727551442</v>
      </c>
    </row>
    <row r="110" spans="1:12" x14ac:dyDescent="0.15">
      <c r="A110" s="3">
        <f>DATE(1968,12,1)</f>
        <v>25173</v>
      </c>
      <c r="B110" s="4">
        <v>6.0199999999999997E-2</v>
      </c>
      <c r="C110" s="6">
        <f t="shared" si="4"/>
        <v>5.3040871146890857E-2</v>
      </c>
      <c r="G110" s="3">
        <v>25173</v>
      </c>
      <c r="H110" s="4">
        <v>6.0199999999999997E-2</v>
      </c>
      <c r="I110" s="6">
        <v>5.3040871146890857E-2</v>
      </c>
      <c r="J110" s="6">
        <f t="shared" si="5"/>
        <v>5.6444272445820495E-3</v>
      </c>
      <c r="K110" s="21">
        <f t="shared" si="6"/>
        <v>5.1253125935419786E-5</v>
      </c>
      <c r="L110">
        <f t="shared" si="7"/>
        <v>11.892240619782624</v>
      </c>
    </row>
    <row r="111" spans="1:12" x14ac:dyDescent="0.15">
      <c r="A111" s="3">
        <f>DATE(1969,1,1)</f>
        <v>25204</v>
      </c>
      <c r="B111" s="4">
        <v>6.3E-2</v>
      </c>
      <c r="C111" s="6">
        <f t="shared" si="4"/>
        <v>5.3756784032201771E-2</v>
      </c>
      <c r="G111" s="3">
        <v>25204</v>
      </c>
      <c r="H111" s="4">
        <v>6.3E-2</v>
      </c>
      <c r="I111" s="6">
        <v>5.3756784032201771E-2</v>
      </c>
      <c r="J111" s="6">
        <f t="shared" si="5"/>
        <v>8.4444272445820534E-3</v>
      </c>
      <c r="K111" s="21">
        <f t="shared" si="6"/>
        <v>8.5437041427360161E-5</v>
      </c>
      <c r="L111">
        <f t="shared" si="7"/>
        <v>14.671771377457507</v>
      </c>
    </row>
    <row r="112" spans="1:12" x14ac:dyDescent="0.15">
      <c r="A112" s="3">
        <f>DATE(1969,2,1)</f>
        <v>25235</v>
      </c>
      <c r="B112" s="4">
        <v>6.6100000000000006E-2</v>
      </c>
      <c r="C112" s="6">
        <f t="shared" si="4"/>
        <v>5.4681105628981597E-2</v>
      </c>
      <c r="G112" s="3">
        <v>25235</v>
      </c>
      <c r="H112" s="4">
        <v>6.6100000000000006E-2</v>
      </c>
      <c r="I112" s="6">
        <v>5.4681105628981597E-2</v>
      </c>
      <c r="J112" s="6">
        <f t="shared" si="5"/>
        <v>1.1544427244582059E-2</v>
      </c>
      <c r="K112" s="21">
        <f t="shared" si="6"/>
        <v>1.303911486564759E-4</v>
      </c>
      <c r="L112">
        <f t="shared" si="7"/>
        <v>17.275180591555834</v>
      </c>
    </row>
    <row r="113" spans="1:12" x14ac:dyDescent="0.15">
      <c r="A113" s="3">
        <f>DATE(1969,3,1)</f>
        <v>25263</v>
      </c>
      <c r="B113" s="4">
        <v>6.7900000000000002E-2</v>
      </c>
      <c r="C113" s="6">
        <f t="shared" si="4"/>
        <v>5.5822995066083445E-2</v>
      </c>
      <c r="G113" s="3">
        <v>25263</v>
      </c>
      <c r="H113" s="4">
        <v>6.7900000000000002E-2</v>
      </c>
      <c r="I113" s="6">
        <v>5.5822995066083445E-2</v>
      </c>
      <c r="J113" s="6">
        <f t="shared" si="5"/>
        <v>1.3344427244582055E-2</v>
      </c>
      <c r="K113" s="21">
        <f t="shared" si="6"/>
        <v>1.4585404817384488E-4</v>
      </c>
      <c r="L113">
        <f t="shared" si="7"/>
        <v>17.786457929184916</v>
      </c>
    </row>
    <row r="114" spans="1:12" x14ac:dyDescent="0.15">
      <c r="A114" s="3">
        <f>DATE(1969,4,1)</f>
        <v>25294</v>
      </c>
      <c r="B114" s="4">
        <v>7.4099999999999999E-2</v>
      </c>
      <c r="C114" s="6">
        <f t="shared" si="4"/>
        <v>5.7030695559475098E-2</v>
      </c>
      <c r="G114" s="3">
        <v>25294</v>
      </c>
      <c r="H114" s="4">
        <v>7.4099999999999999E-2</v>
      </c>
      <c r="I114" s="6">
        <v>5.7030695559475098E-2</v>
      </c>
      <c r="J114" s="6">
        <f t="shared" si="5"/>
        <v>1.9544427244582052E-2</v>
      </c>
      <c r="K114" s="21">
        <f t="shared" si="6"/>
        <v>2.913611540833231E-4</v>
      </c>
      <c r="L114">
        <f t="shared" si="7"/>
        <v>23.035498570209047</v>
      </c>
    </row>
    <row r="115" spans="1:12" x14ac:dyDescent="0.15">
      <c r="A115" s="3">
        <f>DATE(1969,5,1)</f>
        <v>25324</v>
      </c>
      <c r="B115" s="4">
        <v>8.6699999999999999E-2</v>
      </c>
      <c r="C115" s="6">
        <f t="shared" si="4"/>
        <v>5.8737626003527589E-2</v>
      </c>
      <c r="G115" s="3">
        <v>25324</v>
      </c>
      <c r="H115" s="4">
        <v>8.6699999999999999E-2</v>
      </c>
      <c r="I115" s="6">
        <v>5.8737626003527589E-2</v>
      </c>
      <c r="J115" s="6">
        <f t="shared" si="5"/>
        <v>3.2144427244582052E-2</v>
      </c>
      <c r="K115" s="21">
        <f t="shared" si="6"/>
        <v>7.8189435951859642E-4</v>
      </c>
      <c r="L115">
        <f t="shared" si="7"/>
        <v>32.251873121652146</v>
      </c>
    </row>
    <row r="116" spans="1:12" x14ac:dyDescent="0.15">
      <c r="A116" s="3">
        <f>DATE(1969,6,1)</f>
        <v>25355</v>
      </c>
      <c r="B116" s="4">
        <v>8.900000000000001E-2</v>
      </c>
      <c r="C116" s="6">
        <f t="shared" si="4"/>
        <v>6.1533863403174835E-2</v>
      </c>
      <c r="G116" s="3">
        <v>25355</v>
      </c>
      <c r="H116" s="4">
        <v>8.900000000000001E-2</v>
      </c>
      <c r="I116" s="6">
        <v>6.1533863403174835E-2</v>
      </c>
      <c r="J116" s="6">
        <f t="shared" si="5"/>
        <v>3.4444427244582063E-2</v>
      </c>
      <c r="K116" s="21">
        <f t="shared" si="6"/>
        <v>7.5438865955545923E-4</v>
      </c>
      <c r="L116">
        <f t="shared" si="7"/>
        <v>30.860827636882217</v>
      </c>
    </row>
    <row r="117" spans="1:12" x14ac:dyDescent="0.15">
      <c r="A117" s="3">
        <f>DATE(1969,7,1)</f>
        <v>25385</v>
      </c>
      <c r="B117" s="4">
        <v>8.6099999999999996E-2</v>
      </c>
      <c r="C117" s="6">
        <f t="shared" si="4"/>
        <v>6.4280477062857361E-2</v>
      </c>
      <c r="G117" s="3">
        <v>25385</v>
      </c>
      <c r="H117" s="4">
        <v>8.6099999999999996E-2</v>
      </c>
      <c r="I117" s="6">
        <v>6.4280477062857361E-2</v>
      </c>
      <c r="J117" s="6">
        <f t="shared" si="5"/>
        <v>3.1544427244582049E-2</v>
      </c>
      <c r="K117" s="21">
        <f t="shared" si="6"/>
        <v>4.760915812044936E-4</v>
      </c>
      <c r="L117">
        <f t="shared" si="7"/>
        <v>25.342070774846263</v>
      </c>
    </row>
    <row r="118" spans="1:12" x14ac:dyDescent="0.15">
      <c r="A118" s="3">
        <f>DATE(1969,8,1)</f>
        <v>25416</v>
      </c>
      <c r="B118" s="4">
        <v>9.1899999999999996E-2</v>
      </c>
      <c r="C118" s="6">
        <f t="shared" si="4"/>
        <v>6.6462429356571623E-2</v>
      </c>
      <c r="G118" s="3">
        <v>25416</v>
      </c>
      <c r="H118" s="4">
        <v>9.1899999999999996E-2</v>
      </c>
      <c r="I118" s="6">
        <v>6.6462429356571623E-2</v>
      </c>
      <c r="J118" s="6">
        <f t="shared" si="5"/>
        <v>3.7344427244582049E-2</v>
      </c>
      <c r="K118" s="21">
        <f t="shared" si="6"/>
        <v>6.4707000023940899E-4</v>
      </c>
      <c r="L118">
        <f t="shared" si="7"/>
        <v>27.679619851391045</v>
      </c>
    </row>
    <row r="119" spans="1:12" x14ac:dyDescent="0.15">
      <c r="A119" s="3">
        <f>DATE(1969,9,1)</f>
        <v>25447</v>
      </c>
      <c r="B119" s="4">
        <v>9.1499999999999998E-2</v>
      </c>
      <c r="C119" s="6">
        <f t="shared" si="4"/>
        <v>6.9006186420914467E-2</v>
      </c>
      <c r="G119" s="3">
        <v>25447</v>
      </c>
      <c r="H119" s="4">
        <v>9.1499999999999998E-2</v>
      </c>
      <c r="I119" s="6">
        <v>6.9006186420914467E-2</v>
      </c>
      <c r="J119" s="6">
        <f t="shared" si="5"/>
        <v>3.6944427244582051E-2</v>
      </c>
      <c r="K119" s="21">
        <f t="shared" si="6"/>
        <v>5.0597164933065264E-4</v>
      </c>
      <c r="L119">
        <f t="shared" si="7"/>
        <v>24.583402818672713</v>
      </c>
    </row>
    <row r="120" spans="1:12" x14ac:dyDescent="0.15">
      <c r="A120" s="3">
        <f>DATE(1969,10,1)</f>
        <v>25477</v>
      </c>
      <c r="B120" s="4">
        <v>0.09</v>
      </c>
      <c r="C120" s="6">
        <f t="shared" si="4"/>
        <v>7.1255567778823026E-2</v>
      </c>
      <c r="G120" s="3">
        <v>25477</v>
      </c>
      <c r="H120" s="4">
        <v>0.09</v>
      </c>
      <c r="I120" s="6">
        <v>7.1255567778823026E-2</v>
      </c>
      <c r="J120" s="6">
        <f t="shared" si="5"/>
        <v>3.544442724458205E-2</v>
      </c>
      <c r="K120" s="21">
        <f t="shared" si="6"/>
        <v>3.5135373929429743E-4</v>
      </c>
      <c r="L120">
        <f t="shared" si="7"/>
        <v>20.827146912418858</v>
      </c>
    </row>
    <row r="121" spans="1:12" x14ac:dyDescent="0.15">
      <c r="A121" s="3">
        <f>DATE(1969,11,1)</f>
        <v>25508</v>
      </c>
      <c r="B121" s="4">
        <v>8.8499999999999995E-2</v>
      </c>
      <c r="C121" s="6">
        <f t="shared" si="4"/>
        <v>7.3130011000940714E-2</v>
      </c>
      <c r="G121" s="3">
        <v>25508</v>
      </c>
      <c r="H121" s="4">
        <v>8.8499999999999995E-2</v>
      </c>
      <c r="I121" s="6">
        <v>7.3130011000940714E-2</v>
      </c>
      <c r="J121" s="6">
        <f t="shared" si="5"/>
        <v>3.3944427244582048E-2</v>
      </c>
      <c r="K121" s="21">
        <f t="shared" si="6"/>
        <v>2.3623656183120333E-4</v>
      </c>
      <c r="L121">
        <f t="shared" si="7"/>
        <v>17.367219207976589</v>
      </c>
    </row>
    <row r="122" spans="1:12" x14ac:dyDescent="0.15">
      <c r="A122" s="3">
        <f>DATE(1969,12,1)</f>
        <v>25538</v>
      </c>
      <c r="B122" s="4">
        <v>8.9700000000000002E-2</v>
      </c>
      <c r="C122" s="6">
        <f t="shared" si="4"/>
        <v>7.466700990084664E-2</v>
      </c>
      <c r="G122" s="3">
        <v>25538</v>
      </c>
      <c r="H122" s="4">
        <v>8.9700000000000002E-2</v>
      </c>
      <c r="I122" s="6">
        <v>7.466700990084664E-2</v>
      </c>
      <c r="J122" s="6">
        <f t="shared" si="5"/>
        <v>3.5144427244582055E-2</v>
      </c>
      <c r="K122" s="21">
        <f t="shared" si="6"/>
        <v>2.2599079132124301E-4</v>
      </c>
      <c r="L122">
        <f t="shared" si="7"/>
        <v>16.759186286681562</v>
      </c>
    </row>
    <row r="123" spans="1:12" x14ac:dyDescent="0.15">
      <c r="A123" s="3">
        <f>DATE(1970,1,1)</f>
        <v>25569</v>
      </c>
      <c r="B123" s="4">
        <v>8.9800000000000005E-2</v>
      </c>
      <c r="C123" s="6">
        <f t="shared" si="4"/>
        <v>7.6170308910761986E-2</v>
      </c>
      <c r="G123" s="3">
        <v>25569</v>
      </c>
      <c r="H123" s="4">
        <v>8.9800000000000005E-2</v>
      </c>
      <c r="I123" s="6">
        <v>7.6170308910761986E-2</v>
      </c>
      <c r="J123" s="6">
        <f t="shared" si="5"/>
        <v>3.5244427244582058E-2</v>
      </c>
      <c r="K123" s="21">
        <f t="shared" si="6"/>
        <v>1.8576847918805425E-4</v>
      </c>
      <c r="L123">
        <f t="shared" si="7"/>
        <v>15.177829720755032</v>
      </c>
    </row>
    <row r="124" spans="1:12" x14ac:dyDescent="0.15">
      <c r="A124" s="3">
        <f>DATE(1970,2,1)</f>
        <v>25600</v>
      </c>
      <c r="B124" s="4">
        <v>8.9800000000000005E-2</v>
      </c>
      <c r="C124" s="6">
        <f t="shared" si="4"/>
        <v>7.7533278019685792E-2</v>
      </c>
      <c r="G124" s="3">
        <v>25600</v>
      </c>
      <c r="H124" s="4">
        <v>8.9800000000000005E-2</v>
      </c>
      <c r="I124" s="6">
        <v>7.7533278019685792E-2</v>
      </c>
      <c r="J124" s="6">
        <f t="shared" si="5"/>
        <v>3.5244427244582058E-2</v>
      </c>
      <c r="K124" s="21">
        <f t="shared" si="6"/>
        <v>1.5047246814232383E-4</v>
      </c>
      <c r="L124">
        <f t="shared" si="7"/>
        <v>13.660046748679525</v>
      </c>
    </row>
    <row r="125" spans="1:12" x14ac:dyDescent="0.15">
      <c r="A125" s="3">
        <f>DATE(1970,3,1)</f>
        <v>25628</v>
      </c>
      <c r="B125" s="4">
        <v>7.7600000000000002E-2</v>
      </c>
      <c r="C125" s="6">
        <f t="shared" si="4"/>
        <v>7.8759950217717214E-2</v>
      </c>
      <c r="G125" s="3">
        <v>25628</v>
      </c>
      <c r="H125" s="4">
        <v>7.7600000000000002E-2</v>
      </c>
      <c r="I125" s="6">
        <v>7.8759950217717214E-2</v>
      </c>
      <c r="J125" s="6">
        <f t="shared" si="5"/>
        <v>2.3044427244582055E-2</v>
      </c>
      <c r="K125" s="21">
        <f t="shared" si="6"/>
        <v>1.345484507582208E-6</v>
      </c>
      <c r="L125">
        <f t="shared" si="7"/>
        <v>1.4947812083984693</v>
      </c>
    </row>
    <row r="126" spans="1:12" x14ac:dyDescent="0.15">
      <c r="A126" s="3">
        <f>DATE(1970,4,1)</f>
        <v>25659</v>
      </c>
      <c r="B126" s="4">
        <v>8.1000000000000003E-2</v>
      </c>
      <c r="C126" s="6">
        <f t="shared" si="4"/>
        <v>7.8643955195945497E-2</v>
      </c>
      <c r="G126" s="3">
        <v>25659</v>
      </c>
      <c r="H126" s="4">
        <v>8.1000000000000003E-2</v>
      </c>
      <c r="I126" s="6">
        <v>7.8643955195945497E-2</v>
      </c>
      <c r="J126" s="6">
        <f t="shared" si="5"/>
        <v>2.6444427244582056E-2</v>
      </c>
      <c r="K126" s="21">
        <f t="shared" si="6"/>
        <v>5.5509471187122316E-6</v>
      </c>
      <c r="L126">
        <f t="shared" si="7"/>
        <v>2.9086972889561791</v>
      </c>
    </row>
    <row r="127" spans="1:12" x14ac:dyDescent="0.15">
      <c r="A127" s="3">
        <f>DATE(1970,5,1)</f>
        <v>25689</v>
      </c>
      <c r="B127" s="4">
        <v>7.9399999999999998E-2</v>
      </c>
      <c r="C127" s="6">
        <f t="shared" si="4"/>
        <v>7.8879559676350949E-2</v>
      </c>
      <c r="G127" s="3">
        <v>25689</v>
      </c>
      <c r="H127" s="4">
        <v>7.9399999999999998E-2</v>
      </c>
      <c r="I127" s="6">
        <v>7.8879559676350949E-2</v>
      </c>
      <c r="J127" s="6">
        <f t="shared" si="5"/>
        <v>2.4844427244582051E-2</v>
      </c>
      <c r="K127" s="21">
        <f t="shared" si="6"/>
        <v>2.7085813047992688E-7</v>
      </c>
      <c r="L127">
        <f t="shared" si="7"/>
        <v>0.65546640258066635</v>
      </c>
    </row>
    <row r="128" spans="1:12" x14ac:dyDescent="0.15">
      <c r="A128" s="3">
        <f>DATE(1970,6,1)</f>
        <v>25720</v>
      </c>
      <c r="B128" s="4">
        <v>7.5999999999999998E-2</v>
      </c>
      <c r="C128" s="6">
        <f t="shared" si="4"/>
        <v>7.8931603708715853E-2</v>
      </c>
      <c r="G128" s="3">
        <v>25720</v>
      </c>
      <c r="H128" s="4">
        <v>7.5999999999999998E-2</v>
      </c>
      <c r="I128" s="6">
        <v>7.8931603708715853E-2</v>
      </c>
      <c r="J128" s="6">
        <f t="shared" si="5"/>
        <v>2.1444427244582051E-2</v>
      </c>
      <c r="K128" s="21">
        <f t="shared" si="6"/>
        <v>8.5943003049565537E-6</v>
      </c>
      <c r="L128">
        <f t="shared" si="7"/>
        <v>3.8573733009419144</v>
      </c>
    </row>
    <row r="129" spans="1:12" x14ac:dyDescent="0.15">
      <c r="A129" s="3">
        <f>DATE(1970,7,1)</f>
        <v>25750</v>
      </c>
      <c r="B129" s="4">
        <v>7.2099999999999997E-2</v>
      </c>
      <c r="C129" s="6">
        <f t="shared" si="4"/>
        <v>7.8638443337844269E-2</v>
      </c>
      <c r="G129" s="3">
        <v>25750</v>
      </c>
      <c r="H129" s="4">
        <v>7.2099999999999997E-2</v>
      </c>
      <c r="I129" s="6">
        <v>7.8638443337844269E-2</v>
      </c>
      <c r="J129" s="6">
        <f t="shared" si="5"/>
        <v>1.754442724458205E-2</v>
      </c>
      <c r="K129" s="21">
        <f t="shared" si="6"/>
        <v>4.2751241282200136E-5</v>
      </c>
      <c r="L129">
        <f t="shared" si="7"/>
        <v>9.0685760580364381</v>
      </c>
    </row>
    <row r="130" spans="1:12" x14ac:dyDescent="0.15">
      <c r="A130" s="3">
        <f>DATE(1970,8,1)</f>
        <v>25781</v>
      </c>
      <c r="B130" s="4">
        <v>6.6100000000000006E-2</v>
      </c>
      <c r="C130" s="6">
        <f t="shared" si="4"/>
        <v>7.7984599004059837E-2</v>
      </c>
      <c r="G130" s="3">
        <v>25781</v>
      </c>
      <c r="H130" s="4">
        <v>6.6100000000000006E-2</v>
      </c>
      <c r="I130" s="6">
        <v>7.7984599004059837E-2</v>
      </c>
      <c r="J130" s="6">
        <f t="shared" si="5"/>
        <v>1.1544427244582059E-2</v>
      </c>
      <c r="K130" s="21">
        <f t="shared" si="6"/>
        <v>1.4124369348729994E-4</v>
      </c>
      <c r="L130">
        <f t="shared" si="7"/>
        <v>17.979726178607912</v>
      </c>
    </row>
    <row r="131" spans="1:12" x14ac:dyDescent="0.15">
      <c r="A131" s="3">
        <f>DATE(1970,9,1)</f>
        <v>25812</v>
      </c>
      <c r="B131" s="4">
        <v>6.2899999999999998E-2</v>
      </c>
      <c r="C131" s="6">
        <f t="shared" si="4"/>
        <v>7.6796139103653863E-2</v>
      </c>
      <c r="G131" s="3">
        <v>25812</v>
      </c>
      <c r="H131" s="4">
        <v>6.2899999999999998E-2</v>
      </c>
      <c r="I131" s="6">
        <v>7.6796139103653863E-2</v>
      </c>
      <c r="J131" s="6">
        <f t="shared" si="5"/>
        <v>8.3444272445820505E-3</v>
      </c>
      <c r="K131" s="21">
        <f t="shared" si="6"/>
        <v>1.9310268198809806E-4</v>
      </c>
      <c r="L131">
        <f t="shared" si="7"/>
        <v>22.092431007398833</v>
      </c>
    </row>
    <row r="132" spans="1:12" x14ac:dyDescent="0.15">
      <c r="A132" s="3">
        <f>DATE(1970,10,1)</f>
        <v>25842</v>
      </c>
      <c r="B132" s="4">
        <v>6.2E-2</v>
      </c>
      <c r="C132" s="6">
        <f t="shared" si="4"/>
        <v>7.5406525193288484E-2</v>
      </c>
      <c r="G132" s="3">
        <v>25842</v>
      </c>
      <c r="H132" s="4">
        <v>6.2E-2</v>
      </c>
      <c r="I132" s="6">
        <v>7.5406525193288484E-2</v>
      </c>
      <c r="J132" s="6">
        <f t="shared" si="5"/>
        <v>7.4444272445820525E-3</v>
      </c>
      <c r="K132" s="21">
        <f t="shared" si="6"/>
        <v>1.7973491775827885E-4</v>
      </c>
      <c r="L132">
        <f t="shared" si="7"/>
        <v>21.623427731110461</v>
      </c>
    </row>
    <row r="133" spans="1:12" x14ac:dyDescent="0.15">
      <c r="A133" s="3">
        <f>DATE(1970,11,1)</f>
        <v>25873</v>
      </c>
      <c r="B133" s="4">
        <v>5.5999999999999994E-2</v>
      </c>
      <c r="C133" s="6">
        <f t="shared" ref="C133:C196" si="8">0.1*B132+0.9*C132</f>
        <v>7.4065872673959629E-2</v>
      </c>
      <c r="G133" s="3">
        <v>25873</v>
      </c>
      <c r="H133" s="4">
        <v>5.5999999999999994E-2</v>
      </c>
      <c r="I133" s="6">
        <v>7.4065872673959629E-2</v>
      </c>
      <c r="J133" s="6">
        <f t="shared" ref="J133:J196" si="9">ABS(H133-$P$6)</f>
        <v>1.4444272445820472E-3</v>
      </c>
      <c r="K133" s="21">
        <f t="shared" ref="K133:K196" si="10">(H133-I133)^2</f>
        <v>3.2637575547172143E-4</v>
      </c>
      <c r="L133">
        <f t="shared" ref="L133:L196" si="11">ABS(I133-H133)/H133*100</f>
        <v>32.260486917785066</v>
      </c>
    </row>
    <row r="134" spans="1:12" x14ac:dyDescent="0.15">
      <c r="A134" s="3">
        <f>DATE(1970,12,1)</f>
        <v>25903</v>
      </c>
      <c r="B134" s="4">
        <v>4.9000000000000002E-2</v>
      </c>
      <c r="C134" s="6">
        <f t="shared" si="8"/>
        <v>7.2259285406563664E-2</v>
      </c>
      <c r="G134" s="3">
        <v>25903</v>
      </c>
      <c r="H134" s="4">
        <v>4.9000000000000002E-2</v>
      </c>
      <c r="I134" s="6">
        <v>7.2259285406563664E-2</v>
      </c>
      <c r="J134" s="6">
        <f t="shared" si="9"/>
        <v>5.5555727554179452E-3</v>
      </c>
      <c r="K134" s="21">
        <f t="shared" si="10"/>
        <v>5.4099435762398538E-4</v>
      </c>
      <c r="L134">
        <f t="shared" si="11"/>
        <v>47.467929401150329</v>
      </c>
    </row>
    <row r="135" spans="1:12" x14ac:dyDescent="0.15">
      <c r="A135" s="3">
        <f>DATE(1971,1,1)</f>
        <v>25934</v>
      </c>
      <c r="B135" s="4">
        <v>4.1399999999999999E-2</v>
      </c>
      <c r="C135" s="6">
        <f t="shared" si="8"/>
        <v>6.9933356865907306E-2</v>
      </c>
      <c r="G135" s="3">
        <v>25934</v>
      </c>
      <c r="H135" s="4">
        <v>4.1399999999999999E-2</v>
      </c>
      <c r="I135" s="6">
        <v>6.9933356865907306E-2</v>
      </c>
      <c r="J135" s="6">
        <f t="shared" si="9"/>
        <v>1.3155572755417948E-2</v>
      </c>
      <c r="K135" s="21">
        <f t="shared" si="10"/>
        <v>8.1415245403721967E-4</v>
      </c>
      <c r="L135">
        <f t="shared" si="11"/>
        <v>68.921151850017651</v>
      </c>
    </row>
    <row r="136" spans="1:12" x14ac:dyDescent="0.15">
      <c r="A136" s="3">
        <f>DATE(1971,2,1)</f>
        <v>25965</v>
      </c>
      <c r="B136" s="4">
        <v>3.7200000000000004E-2</v>
      </c>
      <c r="C136" s="6">
        <f t="shared" si="8"/>
        <v>6.7080021179316579E-2</v>
      </c>
      <c r="G136" s="3">
        <v>25965</v>
      </c>
      <c r="H136" s="4">
        <v>3.7200000000000004E-2</v>
      </c>
      <c r="I136" s="6">
        <v>6.7080021179316579E-2</v>
      </c>
      <c r="J136" s="6">
        <f t="shared" si="9"/>
        <v>1.7355572755417943E-2</v>
      </c>
      <c r="K136" s="21">
        <f t="shared" si="10"/>
        <v>8.9281566567640705E-4</v>
      </c>
      <c r="L136">
        <f t="shared" si="11"/>
        <v>80.322637578807985</v>
      </c>
    </row>
    <row r="137" spans="1:12" x14ac:dyDescent="0.15">
      <c r="A137" s="3">
        <f>DATE(1971,3,1)</f>
        <v>25993</v>
      </c>
      <c r="B137" s="4">
        <v>3.7100000000000001E-2</v>
      </c>
      <c r="C137" s="6">
        <f t="shared" si="8"/>
        <v>6.4092019061384925E-2</v>
      </c>
      <c r="G137" s="3">
        <v>25993</v>
      </c>
      <c r="H137" s="4">
        <v>3.7100000000000001E-2</v>
      </c>
      <c r="I137" s="6">
        <v>6.4092019061384925E-2</v>
      </c>
      <c r="J137" s="6">
        <f t="shared" si="9"/>
        <v>1.7455572755417946E-2</v>
      </c>
      <c r="K137" s="21">
        <f t="shared" si="10"/>
        <v>7.2856909301016704E-4</v>
      </c>
      <c r="L137">
        <f t="shared" si="11"/>
        <v>72.7547683595281</v>
      </c>
    </row>
    <row r="138" spans="1:12" x14ac:dyDescent="0.15">
      <c r="A138" s="3">
        <f>DATE(1971,4,1)</f>
        <v>26024</v>
      </c>
      <c r="B138" s="4">
        <v>4.1500000000000002E-2</v>
      </c>
      <c r="C138" s="6">
        <f t="shared" si="8"/>
        <v>6.1392817155246429E-2</v>
      </c>
      <c r="G138" s="3">
        <v>26024</v>
      </c>
      <c r="H138" s="4">
        <v>4.1500000000000002E-2</v>
      </c>
      <c r="I138" s="6">
        <v>6.1392817155246429E-2</v>
      </c>
      <c r="J138" s="6">
        <f t="shared" si="9"/>
        <v>1.3055572755417945E-2</v>
      </c>
      <c r="K138" s="21">
        <f t="shared" si="10"/>
        <v>3.9572417437206656E-4</v>
      </c>
      <c r="L138">
        <f t="shared" si="11"/>
        <v>47.934499169268499</v>
      </c>
    </row>
    <row r="139" spans="1:12" x14ac:dyDescent="0.15">
      <c r="A139" s="3">
        <f>DATE(1971,5,1)</f>
        <v>26054</v>
      </c>
      <c r="B139" s="4">
        <v>4.6300000000000001E-2</v>
      </c>
      <c r="C139" s="6">
        <f t="shared" si="8"/>
        <v>5.9403535439721787E-2</v>
      </c>
      <c r="G139" s="3">
        <v>26054</v>
      </c>
      <c r="H139" s="4">
        <v>4.6300000000000001E-2</v>
      </c>
      <c r="I139" s="6">
        <v>5.9403535439721787E-2</v>
      </c>
      <c r="J139" s="6">
        <f t="shared" si="9"/>
        <v>8.2555727554179462E-3</v>
      </c>
      <c r="K139" s="21">
        <f t="shared" si="10"/>
        <v>1.7170264102004483E-4</v>
      </c>
      <c r="L139">
        <f t="shared" si="11"/>
        <v>28.30137244000386</v>
      </c>
    </row>
    <row r="140" spans="1:12" x14ac:dyDescent="0.15">
      <c r="A140" s="3">
        <f>DATE(1971,6,1)</f>
        <v>26085</v>
      </c>
      <c r="B140" s="4">
        <v>4.9100000000000005E-2</v>
      </c>
      <c r="C140" s="6">
        <f t="shared" si="8"/>
        <v>5.8093181895749614E-2</v>
      </c>
      <c r="G140" s="3">
        <v>26085</v>
      </c>
      <c r="H140" s="4">
        <v>4.9100000000000005E-2</v>
      </c>
      <c r="I140" s="6">
        <v>5.8093181895749614E-2</v>
      </c>
      <c r="J140" s="6">
        <f t="shared" si="9"/>
        <v>5.4555727554179423E-3</v>
      </c>
      <c r="K140" s="21">
        <f t="shared" si="10"/>
        <v>8.0877320610038536E-5</v>
      </c>
      <c r="L140">
        <f t="shared" si="11"/>
        <v>18.31605274083423</v>
      </c>
    </row>
    <row r="141" spans="1:12" x14ac:dyDescent="0.15">
      <c r="A141" s="3">
        <f>DATE(1971,7,1)</f>
        <v>26115</v>
      </c>
      <c r="B141" s="4">
        <v>5.3099999999999994E-2</v>
      </c>
      <c r="C141" s="6">
        <f t="shared" si="8"/>
        <v>5.7193863706174658E-2</v>
      </c>
      <c r="G141" s="3">
        <v>26115</v>
      </c>
      <c r="H141" s="4">
        <v>5.3099999999999994E-2</v>
      </c>
      <c r="I141" s="6">
        <v>5.7193863706174658E-2</v>
      </c>
      <c r="J141" s="6">
        <f t="shared" si="9"/>
        <v>1.4555727554179526E-3</v>
      </c>
      <c r="K141" s="21">
        <f t="shared" si="10"/>
        <v>1.6759720044734151E-5</v>
      </c>
      <c r="L141">
        <f t="shared" si="11"/>
        <v>7.7097244937375962</v>
      </c>
    </row>
    <row r="142" spans="1:12" x14ac:dyDescent="0.15">
      <c r="A142" s="3">
        <f>DATE(1971,8,1)</f>
        <v>26146</v>
      </c>
      <c r="B142" s="4">
        <v>5.5599999999999997E-2</v>
      </c>
      <c r="C142" s="6">
        <f t="shared" si="8"/>
        <v>5.6784477335557193E-2</v>
      </c>
      <c r="G142" s="3">
        <v>26146</v>
      </c>
      <c r="H142" s="4">
        <v>5.5599999999999997E-2</v>
      </c>
      <c r="I142" s="6">
        <v>5.6784477335557193E-2</v>
      </c>
      <c r="J142" s="6">
        <f t="shared" si="9"/>
        <v>1.0444272445820496E-3</v>
      </c>
      <c r="K142" s="21">
        <f t="shared" si="10"/>
        <v>1.4029865584486752E-6</v>
      </c>
      <c r="L142">
        <f t="shared" si="11"/>
        <v>2.1303549200669001</v>
      </c>
    </row>
    <row r="143" spans="1:12" x14ac:dyDescent="0.15">
      <c r="A143" s="3">
        <f>DATE(1971,9,1)</f>
        <v>26177</v>
      </c>
      <c r="B143" s="4">
        <v>5.5500000000000001E-2</v>
      </c>
      <c r="C143" s="6">
        <f t="shared" si="8"/>
        <v>5.6666029602001476E-2</v>
      </c>
      <c r="G143" s="3">
        <v>26177</v>
      </c>
      <c r="H143" s="4">
        <v>5.5500000000000001E-2</v>
      </c>
      <c r="I143" s="6">
        <v>5.6666029602001476E-2</v>
      </c>
      <c r="J143" s="6">
        <f t="shared" si="9"/>
        <v>9.4442724458205368E-4</v>
      </c>
      <c r="K143" s="21">
        <f t="shared" si="10"/>
        <v>1.3596250327437191E-6</v>
      </c>
      <c r="L143">
        <f t="shared" si="11"/>
        <v>2.1009542378404964</v>
      </c>
    </row>
    <row r="144" spans="1:12" x14ac:dyDescent="0.15">
      <c r="A144" s="3">
        <f>DATE(1971,10,1)</f>
        <v>26207</v>
      </c>
      <c r="B144" s="4">
        <v>5.2000000000000005E-2</v>
      </c>
      <c r="C144" s="6">
        <f t="shared" si="8"/>
        <v>5.6549426641801327E-2</v>
      </c>
      <c r="G144" s="3">
        <v>26207</v>
      </c>
      <c r="H144" s="4">
        <v>5.2000000000000005E-2</v>
      </c>
      <c r="I144" s="6">
        <v>5.6549426641801327E-2</v>
      </c>
      <c r="J144" s="6">
        <f t="shared" si="9"/>
        <v>2.5555727554179425E-3</v>
      </c>
      <c r="K144" s="21">
        <f t="shared" si="10"/>
        <v>2.0697282769131659E-5</v>
      </c>
      <c r="L144">
        <f t="shared" si="11"/>
        <v>8.7488973880794649</v>
      </c>
    </row>
    <row r="145" spans="1:12" x14ac:dyDescent="0.15">
      <c r="A145" s="3">
        <f>DATE(1971,11,1)</f>
        <v>26238</v>
      </c>
      <c r="B145" s="4">
        <v>4.9100000000000005E-2</v>
      </c>
      <c r="C145" s="6">
        <f t="shared" si="8"/>
        <v>5.60944839776212E-2</v>
      </c>
      <c r="G145" s="3">
        <v>26238</v>
      </c>
      <c r="H145" s="4">
        <v>4.9100000000000005E-2</v>
      </c>
      <c r="I145" s="6">
        <v>5.60944839776212E-2</v>
      </c>
      <c r="J145" s="6">
        <f t="shared" si="9"/>
        <v>5.4555727554179423E-3</v>
      </c>
      <c r="K145" s="21">
        <f t="shared" si="10"/>
        <v>4.8922806113199612E-5</v>
      </c>
      <c r="L145">
        <f t="shared" si="11"/>
        <v>14.24538488313889</v>
      </c>
    </row>
    <row r="146" spans="1:12" x14ac:dyDescent="0.15">
      <c r="A146" s="3">
        <f>DATE(1971,12,1)</f>
        <v>26268</v>
      </c>
      <c r="B146" s="4">
        <v>4.1399999999999999E-2</v>
      </c>
      <c r="C146" s="6">
        <f t="shared" si="8"/>
        <v>5.5395035579859087E-2</v>
      </c>
      <c r="G146" s="3">
        <v>26268</v>
      </c>
      <c r="H146" s="4">
        <v>4.1399999999999999E-2</v>
      </c>
      <c r="I146" s="6">
        <v>5.5395035579859087E-2</v>
      </c>
      <c r="J146" s="6">
        <f t="shared" si="9"/>
        <v>1.3155572755417948E-2</v>
      </c>
      <c r="K146" s="21">
        <f t="shared" si="10"/>
        <v>1.9586102088152177E-4</v>
      </c>
      <c r="L146">
        <f t="shared" si="11"/>
        <v>33.804433767775571</v>
      </c>
    </row>
    <row r="147" spans="1:12" x14ac:dyDescent="0.15">
      <c r="A147" s="3">
        <f>DATE(1972,1,1)</f>
        <v>26299</v>
      </c>
      <c r="B147" s="4">
        <v>3.5000000000000003E-2</v>
      </c>
      <c r="C147" s="6">
        <f t="shared" si="8"/>
        <v>5.3995532021873176E-2</v>
      </c>
      <c r="G147" s="3">
        <v>26299</v>
      </c>
      <c r="H147" s="4">
        <v>3.5000000000000003E-2</v>
      </c>
      <c r="I147" s="6">
        <v>5.3995532021873176E-2</v>
      </c>
      <c r="J147" s="6">
        <f t="shared" si="9"/>
        <v>1.9555572755417944E-2</v>
      </c>
      <c r="K147" s="21">
        <f t="shared" si="10"/>
        <v>3.6083023679400907E-4</v>
      </c>
      <c r="L147">
        <f t="shared" si="11"/>
        <v>54.272948633923349</v>
      </c>
    </row>
    <row r="148" spans="1:12" x14ac:dyDescent="0.15">
      <c r="A148" s="3">
        <f>DATE(1972,2,1)</f>
        <v>26330</v>
      </c>
      <c r="B148" s="4">
        <v>3.2899999999999999E-2</v>
      </c>
      <c r="C148" s="6">
        <f t="shared" si="8"/>
        <v>5.2095978819685862E-2</v>
      </c>
      <c r="G148" s="3">
        <v>26330</v>
      </c>
      <c r="H148" s="4">
        <v>3.2899999999999999E-2</v>
      </c>
      <c r="I148" s="6">
        <v>5.2095978819685862E-2</v>
      </c>
      <c r="J148" s="6">
        <f t="shared" si="9"/>
        <v>2.1655572755417948E-2</v>
      </c>
      <c r="K148" s="21">
        <f t="shared" si="10"/>
        <v>3.6848560284582826E-4</v>
      </c>
      <c r="L148">
        <f t="shared" si="11"/>
        <v>58.346440181416007</v>
      </c>
    </row>
    <row r="149" spans="1:12" x14ac:dyDescent="0.15">
      <c r="A149" s="3">
        <f>DATE(1972,3,1)</f>
        <v>26359</v>
      </c>
      <c r="B149" s="4">
        <v>3.8300000000000001E-2</v>
      </c>
      <c r="C149" s="6">
        <f t="shared" si="8"/>
        <v>5.0176380937717278E-2</v>
      </c>
      <c r="G149" s="3">
        <v>26359</v>
      </c>
      <c r="H149" s="4">
        <v>3.8300000000000001E-2</v>
      </c>
      <c r="I149" s="6">
        <v>5.0176380937717278E-2</v>
      </c>
      <c r="J149" s="6">
        <f t="shared" si="9"/>
        <v>1.6255572755417946E-2</v>
      </c>
      <c r="K149" s="21">
        <f t="shared" si="10"/>
        <v>1.4104842417777432E-4</v>
      </c>
      <c r="L149">
        <f t="shared" si="11"/>
        <v>31.008827513622133</v>
      </c>
    </row>
    <row r="150" spans="1:12" x14ac:dyDescent="0.15">
      <c r="A150" s="3">
        <f>DATE(1972,4,1)</f>
        <v>26390</v>
      </c>
      <c r="B150" s="4">
        <v>4.1700000000000001E-2</v>
      </c>
      <c r="C150" s="6">
        <f t="shared" si="8"/>
        <v>4.8988742843945554E-2</v>
      </c>
      <c r="G150" s="3">
        <v>26390</v>
      </c>
      <c r="H150" s="4">
        <v>4.1700000000000001E-2</v>
      </c>
      <c r="I150" s="6">
        <v>4.8988742843945554E-2</v>
      </c>
      <c r="J150" s="6">
        <f t="shared" si="9"/>
        <v>1.2855572755417946E-2</v>
      </c>
      <c r="K150" s="21">
        <f t="shared" si="10"/>
        <v>5.3125772245167509E-5</v>
      </c>
      <c r="L150">
        <f t="shared" si="11"/>
        <v>17.478999625768711</v>
      </c>
    </row>
    <row r="151" spans="1:12" x14ac:dyDescent="0.15">
      <c r="A151" s="3">
        <f>DATE(1972,5,1)</f>
        <v>26420</v>
      </c>
      <c r="B151" s="4">
        <v>4.2699999999999995E-2</v>
      </c>
      <c r="C151" s="6">
        <f t="shared" si="8"/>
        <v>4.8259868559551E-2</v>
      </c>
      <c r="G151" s="3">
        <v>26420</v>
      </c>
      <c r="H151" s="4">
        <v>4.2699999999999995E-2</v>
      </c>
      <c r="I151" s="6">
        <v>4.8259868559551E-2</v>
      </c>
      <c r="J151" s="6">
        <f t="shared" si="9"/>
        <v>1.1855572755417952E-2</v>
      </c>
      <c r="K151" s="21">
        <f t="shared" si="10"/>
        <v>3.0912138399483773E-5</v>
      </c>
      <c r="L151">
        <f t="shared" si="11"/>
        <v>13.020769460306806</v>
      </c>
    </row>
    <row r="152" spans="1:12" x14ac:dyDescent="0.15">
      <c r="A152" s="3">
        <f>DATE(1972,6,1)</f>
        <v>26451</v>
      </c>
      <c r="B152" s="4">
        <v>4.4600000000000001E-2</v>
      </c>
      <c r="C152" s="6">
        <f t="shared" si="8"/>
        <v>4.7703881703595907E-2</v>
      </c>
      <c r="G152" s="3">
        <v>26451</v>
      </c>
      <c r="H152" s="4">
        <v>4.4600000000000001E-2</v>
      </c>
      <c r="I152" s="6">
        <v>4.7703881703595907E-2</v>
      </c>
      <c r="J152" s="6">
        <f t="shared" si="9"/>
        <v>9.9555727554179463E-3</v>
      </c>
      <c r="K152" s="21">
        <f t="shared" si="10"/>
        <v>9.6340816299174264E-6</v>
      </c>
      <c r="L152">
        <f t="shared" si="11"/>
        <v>6.9593760170311807</v>
      </c>
    </row>
    <row r="153" spans="1:12" x14ac:dyDescent="0.15">
      <c r="A153" s="3">
        <f>DATE(1972,7,1)</f>
        <v>26481</v>
      </c>
      <c r="B153" s="4">
        <v>4.5499999999999999E-2</v>
      </c>
      <c r="C153" s="6">
        <f t="shared" si="8"/>
        <v>4.7393493533236318E-2</v>
      </c>
      <c r="G153" s="3">
        <v>26481</v>
      </c>
      <c r="H153" s="4">
        <v>4.5499999999999999E-2</v>
      </c>
      <c r="I153" s="6">
        <v>4.7393493533236318E-2</v>
      </c>
      <c r="J153" s="6">
        <f t="shared" si="9"/>
        <v>9.0555727554179483E-3</v>
      </c>
      <c r="K153" s="21">
        <f t="shared" si="10"/>
        <v>3.5853177604077602E-6</v>
      </c>
      <c r="L153">
        <f t="shared" si="11"/>
        <v>4.1615242488710313</v>
      </c>
    </row>
    <row r="154" spans="1:12" x14ac:dyDescent="0.15">
      <c r="A154" s="3">
        <f>DATE(1972,8,1)</f>
        <v>26512</v>
      </c>
      <c r="B154" s="4">
        <v>4.8000000000000001E-2</v>
      </c>
      <c r="C154" s="6">
        <f t="shared" si="8"/>
        <v>4.7204144179912685E-2</v>
      </c>
      <c r="G154" s="3">
        <v>26512</v>
      </c>
      <c r="H154" s="4">
        <v>4.8000000000000001E-2</v>
      </c>
      <c r="I154" s="6">
        <v>4.7204144179912685E-2</v>
      </c>
      <c r="J154" s="6">
        <f t="shared" si="9"/>
        <v>6.555572755417946E-3</v>
      </c>
      <c r="K154" s="21">
        <f t="shared" si="10"/>
        <v>6.3338648636685362E-7</v>
      </c>
      <c r="L154">
        <f t="shared" si="11"/>
        <v>1.6580329585152407</v>
      </c>
    </row>
    <row r="155" spans="1:12" x14ac:dyDescent="0.15">
      <c r="A155" s="3">
        <f>DATE(1972,9,1)</f>
        <v>26543</v>
      </c>
      <c r="B155" s="4">
        <v>4.87E-2</v>
      </c>
      <c r="C155" s="6">
        <f t="shared" si="8"/>
        <v>4.7283729761921418E-2</v>
      </c>
      <c r="G155" s="3">
        <v>26543</v>
      </c>
      <c r="H155" s="4">
        <v>4.87E-2</v>
      </c>
      <c r="I155" s="6">
        <v>4.7283729761921418E-2</v>
      </c>
      <c r="J155" s="6">
        <f t="shared" si="9"/>
        <v>5.8555727554179468E-3</v>
      </c>
      <c r="K155" s="21">
        <f t="shared" si="10"/>
        <v>2.0058213872671632E-6</v>
      </c>
      <c r="L155">
        <f t="shared" si="11"/>
        <v>2.9081524395864102</v>
      </c>
    </row>
    <row r="156" spans="1:12" x14ac:dyDescent="0.15">
      <c r="A156" s="3">
        <f>DATE(1972,10,1)</f>
        <v>26573</v>
      </c>
      <c r="B156" s="4">
        <v>5.04E-2</v>
      </c>
      <c r="C156" s="6">
        <f t="shared" si="8"/>
        <v>4.7425356785729275E-2</v>
      </c>
      <c r="G156" s="3">
        <v>26573</v>
      </c>
      <c r="H156" s="4">
        <v>5.04E-2</v>
      </c>
      <c r="I156" s="6">
        <v>4.7425356785729275E-2</v>
      </c>
      <c r="J156" s="6">
        <f t="shared" si="9"/>
        <v>4.1555727554179467E-3</v>
      </c>
      <c r="K156" s="21">
        <f t="shared" si="10"/>
        <v>8.848502252206871E-6</v>
      </c>
      <c r="L156">
        <f t="shared" si="11"/>
        <v>5.9020698695847722</v>
      </c>
    </row>
    <row r="157" spans="1:12" x14ac:dyDescent="0.15">
      <c r="A157" s="3">
        <f>DATE(1972,11,1)</f>
        <v>26604</v>
      </c>
      <c r="B157" s="4">
        <v>5.0599999999999999E-2</v>
      </c>
      <c r="C157" s="6">
        <f t="shared" si="8"/>
        <v>4.7722821107156352E-2</v>
      </c>
      <c r="G157" s="3">
        <v>26604</v>
      </c>
      <c r="H157" s="4">
        <v>5.0599999999999999E-2</v>
      </c>
      <c r="I157" s="6">
        <v>4.7722821107156352E-2</v>
      </c>
      <c r="J157" s="6">
        <f t="shared" si="9"/>
        <v>3.9555727554179479E-3</v>
      </c>
      <c r="K157" s="21">
        <f t="shared" si="10"/>
        <v>8.2781583814249957E-6</v>
      </c>
      <c r="L157">
        <f t="shared" si="11"/>
        <v>5.6861242941574064</v>
      </c>
    </row>
    <row r="158" spans="1:12" x14ac:dyDescent="0.15">
      <c r="A158" s="3">
        <f>DATE(1972,12,1)</f>
        <v>26634</v>
      </c>
      <c r="B158" s="4">
        <v>5.33E-2</v>
      </c>
      <c r="C158" s="6">
        <f t="shared" si="8"/>
        <v>4.801053899644072E-2</v>
      </c>
      <c r="G158" s="3">
        <v>26634</v>
      </c>
      <c r="H158" s="4">
        <v>5.33E-2</v>
      </c>
      <c r="I158" s="6">
        <v>4.801053899644072E-2</v>
      </c>
      <c r="J158" s="6">
        <f t="shared" si="9"/>
        <v>1.2555727554179469E-3</v>
      </c>
      <c r="K158" s="21">
        <f t="shared" si="10"/>
        <v>2.7978397708174348E-5</v>
      </c>
      <c r="L158">
        <f t="shared" si="11"/>
        <v>9.9239418453269792</v>
      </c>
    </row>
    <row r="159" spans="1:12" x14ac:dyDescent="0.15">
      <c r="A159" s="3">
        <f>DATE(1973,1,1)</f>
        <v>26665</v>
      </c>
      <c r="B159" s="4">
        <v>5.9400000000000001E-2</v>
      </c>
      <c r="C159" s="6">
        <f t="shared" si="8"/>
        <v>4.8539485096796647E-2</v>
      </c>
      <c r="G159" s="3">
        <v>26665</v>
      </c>
      <c r="H159" s="4">
        <v>5.9400000000000001E-2</v>
      </c>
      <c r="I159" s="6">
        <v>4.8539485096796647E-2</v>
      </c>
      <c r="J159" s="6">
        <f t="shared" si="9"/>
        <v>4.8444272445820544E-3</v>
      </c>
      <c r="K159" s="21">
        <f t="shared" si="10"/>
        <v>1.1795078396270216E-4</v>
      </c>
      <c r="L159">
        <f t="shared" si="11"/>
        <v>18.283695123237969</v>
      </c>
    </row>
    <row r="160" spans="1:12" x14ac:dyDescent="0.15">
      <c r="A160" s="3">
        <f>DATE(1973,2,1)</f>
        <v>26696</v>
      </c>
      <c r="B160" s="4">
        <v>6.5799999999999997E-2</v>
      </c>
      <c r="C160" s="6">
        <f t="shared" si="8"/>
        <v>4.9625536587116985E-2</v>
      </c>
      <c r="G160" s="3">
        <v>26696</v>
      </c>
      <c r="H160" s="4">
        <v>6.5799999999999997E-2</v>
      </c>
      <c r="I160" s="6">
        <v>4.9625536587116985E-2</v>
      </c>
      <c r="J160" s="6">
        <f t="shared" si="9"/>
        <v>1.124442724458205E-2</v>
      </c>
      <c r="K160" s="21">
        <f t="shared" si="10"/>
        <v>2.6161326669469118E-4</v>
      </c>
      <c r="L160">
        <f t="shared" si="11"/>
        <v>24.581251387360204</v>
      </c>
    </row>
    <row r="161" spans="1:12" x14ac:dyDescent="0.15">
      <c r="A161" s="3">
        <f>DATE(1973,3,1)</f>
        <v>26724</v>
      </c>
      <c r="B161" s="4">
        <v>7.0900000000000005E-2</v>
      </c>
      <c r="C161" s="6">
        <f t="shared" si="8"/>
        <v>5.124298292840529E-2</v>
      </c>
      <c r="G161" s="3">
        <v>26724</v>
      </c>
      <c r="H161" s="4">
        <v>7.0900000000000005E-2</v>
      </c>
      <c r="I161" s="6">
        <v>5.124298292840529E-2</v>
      </c>
      <c r="J161" s="6">
        <f t="shared" si="9"/>
        <v>1.6344427244582058E-2</v>
      </c>
      <c r="K161" s="21">
        <f t="shared" si="10"/>
        <v>3.8639832015296608E-4</v>
      </c>
      <c r="L161">
        <f t="shared" si="11"/>
        <v>27.724988817481965</v>
      </c>
    </row>
    <row r="162" spans="1:12" x14ac:dyDescent="0.15">
      <c r="A162" s="3">
        <f>DATE(1973,4,1)</f>
        <v>26755</v>
      </c>
      <c r="B162" s="4">
        <v>7.1199999999999999E-2</v>
      </c>
      <c r="C162" s="6">
        <f t="shared" si="8"/>
        <v>5.320868463556476E-2</v>
      </c>
      <c r="G162" s="3">
        <v>26755</v>
      </c>
      <c r="H162" s="4">
        <v>7.1199999999999999E-2</v>
      </c>
      <c r="I162" s="6">
        <v>5.320868463556476E-2</v>
      </c>
      <c r="J162" s="6">
        <f t="shared" si="9"/>
        <v>1.6644427244582052E-2</v>
      </c>
      <c r="K162" s="21">
        <f t="shared" si="10"/>
        <v>3.2368742854256354E-4</v>
      </c>
      <c r="L162">
        <f t="shared" si="11"/>
        <v>25.268701354543875</v>
      </c>
    </row>
    <row r="163" spans="1:12" x14ac:dyDescent="0.15">
      <c r="A163" s="3">
        <f>DATE(1973,5,1)</f>
        <v>26785</v>
      </c>
      <c r="B163" s="4">
        <v>7.8399999999999997E-2</v>
      </c>
      <c r="C163" s="6">
        <f t="shared" si="8"/>
        <v>5.5007816172008284E-2</v>
      </c>
      <c r="G163" s="3">
        <v>26785</v>
      </c>
      <c r="H163" s="4">
        <v>7.8399999999999997E-2</v>
      </c>
      <c r="I163" s="6">
        <v>5.5007816172008284E-2</v>
      </c>
      <c r="J163" s="6">
        <f t="shared" si="9"/>
        <v>2.384442724458205E-2</v>
      </c>
      <c r="K163" s="21">
        <f t="shared" si="10"/>
        <v>5.4719426424255707E-4</v>
      </c>
      <c r="L163">
        <f t="shared" si="11"/>
        <v>29.836969168356781</v>
      </c>
    </row>
    <row r="164" spans="1:12" x14ac:dyDescent="0.15">
      <c r="A164" s="3">
        <f>DATE(1973,6,1)</f>
        <v>26816</v>
      </c>
      <c r="B164" s="4">
        <v>8.4900000000000003E-2</v>
      </c>
      <c r="C164" s="6">
        <f t="shared" si="8"/>
        <v>5.7347034554807455E-2</v>
      </c>
      <c r="G164" s="3">
        <v>26816</v>
      </c>
      <c r="H164" s="4">
        <v>8.4900000000000003E-2</v>
      </c>
      <c r="I164" s="6">
        <v>5.7347034554807455E-2</v>
      </c>
      <c r="J164" s="6">
        <f t="shared" si="9"/>
        <v>3.0344427244582056E-2</v>
      </c>
      <c r="K164" s="21">
        <f t="shared" si="10"/>
        <v>7.5916590482397455E-4</v>
      </c>
      <c r="L164">
        <f t="shared" si="11"/>
        <v>32.453433975491812</v>
      </c>
    </row>
    <row r="165" spans="1:12" x14ac:dyDescent="0.15">
      <c r="A165" s="3">
        <f>DATE(1973,7,1)</f>
        <v>26846</v>
      </c>
      <c r="B165" s="4">
        <v>0.10400000000000001</v>
      </c>
      <c r="C165" s="6">
        <f t="shared" si="8"/>
        <v>6.0102331099326708E-2</v>
      </c>
      <c r="G165" s="3">
        <v>26846</v>
      </c>
      <c r="H165" s="4">
        <v>0.10400000000000001</v>
      </c>
      <c r="I165" s="6">
        <v>6.0102331099326708E-2</v>
      </c>
      <c r="J165" s="6">
        <f t="shared" si="9"/>
        <v>4.9444427244582062E-2</v>
      </c>
      <c r="K165" s="21">
        <f t="shared" si="10"/>
        <v>1.9270053349131398E-3</v>
      </c>
      <c r="L165">
        <f t="shared" si="11"/>
        <v>42.209297019878171</v>
      </c>
    </row>
    <row r="166" spans="1:12" x14ac:dyDescent="0.15">
      <c r="A166" s="3">
        <f>DATE(1973,8,1)</f>
        <v>26877</v>
      </c>
      <c r="B166" s="4">
        <v>0.105</v>
      </c>
      <c r="C166" s="6">
        <f t="shared" si="8"/>
        <v>6.4492097989394037E-2</v>
      </c>
      <c r="G166" s="3">
        <v>26877</v>
      </c>
      <c r="H166" s="4">
        <v>0.105</v>
      </c>
      <c r="I166" s="6">
        <v>6.4492097989394037E-2</v>
      </c>
      <c r="J166" s="6">
        <f t="shared" si="9"/>
        <v>5.0444427244582049E-2</v>
      </c>
      <c r="K166" s="21">
        <f t="shared" si="10"/>
        <v>1.6408901253008542E-3</v>
      </c>
      <c r="L166">
        <f t="shared" si="11"/>
        <v>38.578954295815201</v>
      </c>
    </row>
    <row r="167" spans="1:12" x14ac:dyDescent="0.15">
      <c r="A167" s="3">
        <f>DATE(1973,9,1)</f>
        <v>26908</v>
      </c>
      <c r="B167" s="4">
        <v>0.10779999999999999</v>
      </c>
      <c r="C167" s="6">
        <f t="shared" si="8"/>
        <v>6.8542888190454634E-2</v>
      </c>
      <c r="G167" s="3">
        <v>26908</v>
      </c>
      <c r="H167" s="4">
        <v>0.10779999999999999</v>
      </c>
      <c r="I167" s="6">
        <v>6.8542888190454634E-2</v>
      </c>
      <c r="J167" s="6">
        <f t="shared" si="9"/>
        <v>5.3244427244582046E-2</v>
      </c>
      <c r="K167" s="21">
        <f t="shared" si="10"/>
        <v>1.5411208276271456E-3</v>
      </c>
      <c r="L167">
        <f t="shared" si="11"/>
        <v>36.416615778799041</v>
      </c>
    </row>
    <row r="168" spans="1:12" x14ac:dyDescent="0.15">
      <c r="A168" s="3">
        <f>DATE(1973,10,1)</f>
        <v>26938</v>
      </c>
      <c r="B168" s="4">
        <v>0.10009999999999999</v>
      </c>
      <c r="C168" s="6">
        <f t="shared" si="8"/>
        <v>7.2468599371409176E-2</v>
      </c>
      <c r="G168" s="3">
        <v>26938</v>
      </c>
      <c r="H168" s="4">
        <v>0.10009999999999999</v>
      </c>
      <c r="I168" s="6">
        <v>7.2468599371409176E-2</v>
      </c>
      <c r="J168" s="6">
        <f t="shared" si="9"/>
        <v>4.5544427244582047E-2</v>
      </c>
      <c r="K168" s="21">
        <f t="shared" si="10"/>
        <v>7.6349430069768906E-4</v>
      </c>
      <c r="L168">
        <f t="shared" si="11"/>
        <v>27.603796831759059</v>
      </c>
    </row>
    <row r="169" spans="1:12" x14ac:dyDescent="0.15">
      <c r="A169" s="3">
        <f>DATE(1973,11,1)</f>
        <v>26969</v>
      </c>
      <c r="B169" s="4">
        <v>0.1003</v>
      </c>
      <c r="C169" s="6">
        <f t="shared" si="8"/>
        <v>7.5231739434268266E-2</v>
      </c>
      <c r="G169" s="3">
        <v>26969</v>
      </c>
      <c r="H169" s="4">
        <v>0.1003</v>
      </c>
      <c r="I169" s="6">
        <v>7.5231739434268266E-2</v>
      </c>
      <c r="J169" s="6">
        <f t="shared" si="9"/>
        <v>4.5744427244582053E-2</v>
      </c>
      <c r="K169" s="21">
        <f t="shared" si="10"/>
        <v>6.2841768779142075E-4</v>
      </c>
      <c r="L169">
        <f t="shared" si="11"/>
        <v>24.99328072356105</v>
      </c>
    </row>
    <row r="170" spans="1:12" x14ac:dyDescent="0.15">
      <c r="A170" s="3">
        <f>DATE(1973,12,1)</f>
        <v>26999</v>
      </c>
      <c r="B170" s="4">
        <v>9.9499999999999991E-2</v>
      </c>
      <c r="C170" s="6">
        <f t="shared" si="8"/>
        <v>7.7738565490841433E-2</v>
      </c>
      <c r="G170" s="3">
        <v>26999</v>
      </c>
      <c r="H170" s="4">
        <v>9.9499999999999991E-2</v>
      </c>
      <c r="I170" s="6">
        <v>7.7738565490841433E-2</v>
      </c>
      <c r="J170" s="6">
        <f t="shared" si="9"/>
        <v>4.4944427244582044E-2</v>
      </c>
      <c r="K170" s="21">
        <f t="shared" si="10"/>
        <v>4.7356003189639702E-4</v>
      </c>
      <c r="L170">
        <f t="shared" si="11"/>
        <v>21.870788451415638</v>
      </c>
    </row>
    <row r="171" spans="1:12" x14ac:dyDescent="0.15">
      <c r="A171" s="3">
        <f>DATE(1974,1,1)</f>
        <v>27030</v>
      </c>
      <c r="B171" s="4">
        <v>9.6500000000000002E-2</v>
      </c>
      <c r="C171" s="6">
        <f t="shared" si="8"/>
        <v>7.9914708941757298E-2</v>
      </c>
      <c r="G171" s="3">
        <v>27030</v>
      </c>
      <c r="H171" s="4">
        <v>9.6500000000000002E-2</v>
      </c>
      <c r="I171" s="6">
        <v>7.9914708941757298E-2</v>
      </c>
      <c r="J171" s="6">
        <f t="shared" si="9"/>
        <v>4.1944427244582055E-2</v>
      </c>
      <c r="K171" s="21">
        <f t="shared" si="10"/>
        <v>2.750718794866254E-4</v>
      </c>
      <c r="L171">
        <f t="shared" si="11"/>
        <v>17.186830112168604</v>
      </c>
    </row>
    <row r="172" spans="1:12" x14ac:dyDescent="0.15">
      <c r="A172" s="3">
        <f>DATE(1974,2,1)</f>
        <v>27061</v>
      </c>
      <c r="B172" s="4">
        <v>8.9700000000000002E-2</v>
      </c>
      <c r="C172" s="6">
        <f t="shared" si="8"/>
        <v>8.157323804758157E-2</v>
      </c>
      <c r="G172" s="3">
        <v>27061</v>
      </c>
      <c r="H172" s="4">
        <v>8.9700000000000002E-2</v>
      </c>
      <c r="I172" s="6">
        <v>8.157323804758157E-2</v>
      </c>
      <c r="J172" s="6">
        <f t="shared" si="9"/>
        <v>3.5144427244582055E-2</v>
      </c>
      <c r="K172" s="21">
        <f t="shared" si="10"/>
        <v>6.6044259831275846E-5</v>
      </c>
      <c r="L172">
        <f t="shared" si="11"/>
        <v>9.0599352869770691</v>
      </c>
    </row>
    <row r="173" spans="1:12" x14ac:dyDescent="0.15">
      <c r="A173" s="3">
        <f>DATE(1974,3,1)</f>
        <v>27089</v>
      </c>
      <c r="B173" s="4">
        <v>9.35E-2</v>
      </c>
      <c r="C173" s="6">
        <f t="shared" si="8"/>
        <v>8.2385914242823419E-2</v>
      </c>
      <c r="G173" s="3">
        <v>27089</v>
      </c>
      <c r="H173" s="4">
        <v>9.35E-2</v>
      </c>
      <c r="I173" s="6">
        <v>8.2385914242823419E-2</v>
      </c>
      <c r="J173" s="6">
        <f t="shared" si="9"/>
        <v>3.8944427244582053E-2</v>
      </c>
      <c r="K173" s="21">
        <f t="shared" si="10"/>
        <v>1.2352290221787535E-4</v>
      </c>
      <c r="L173">
        <f t="shared" si="11"/>
        <v>11.886722734948215</v>
      </c>
    </row>
    <row r="174" spans="1:12" x14ac:dyDescent="0.15">
      <c r="A174" s="3">
        <f>DATE(1974,4,1)</f>
        <v>27120</v>
      </c>
      <c r="B174" s="4">
        <v>0.1051</v>
      </c>
      <c r="C174" s="6">
        <f t="shared" si="8"/>
        <v>8.3497322818541081E-2</v>
      </c>
      <c r="G174" s="3">
        <v>27120</v>
      </c>
      <c r="H174" s="4">
        <v>0.1051</v>
      </c>
      <c r="I174" s="6">
        <v>8.3497322818541081E-2</v>
      </c>
      <c r="J174" s="6">
        <f t="shared" si="9"/>
        <v>5.0544427244582052E-2</v>
      </c>
      <c r="K174" s="21">
        <f t="shared" si="10"/>
        <v>4.6667566140632581E-4</v>
      </c>
      <c r="L174">
        <f t="shared" si="11"/>
        <v>20.554402646488029</v>
      </c>
    </row>
    <row r="175" spans="1:12" x14ac:dyDescent="0.15">
      <c r="A175" s="3">
        <f>DATE(1974,5,1)</f>
        <v>27150</v>
      </c>
      <c r="B175" s="4">
        <v>0.11310000000000001</v>
      </c>
      <c r="C175" s="6">
        <f t="shared" si="8"/>
        <v>8.5657590536686978E-2</v>
      </c>
      <c r="G175" s="3">
        <v>27150</v>
      </c>
      <c r="H175" s="4">
        <v>0.11310000000000001</v>
      </c>
      <c r="I175" s="6">
        <v>8.5657590536686978E-2</v>
      </c>
      <c r="J175" s="6">
        <f t="shared" si="9"/>
        <v>5.8544427244582059E-2</v>
      </c>
      <c r="K175" s="21">
        <f t="shared" si="10"/>
        <v>7.5308583715213246E-4</v>
      </c>
      <c r="L175">
        <f t="shared" si="11"/>
        <v>24.263845679321864</v>
      </c>
    </row>
    <row r="176" spans="1:12" x14ac:dyDescent="0.15">
      <c r="A176" s="3">
        <f>DATE(1974,6,1)</f>
        <v>27181</v>
      </c>
      <c r="B176" s="4">
        <v>0.1193</v>
      </c>
      <c r="C176" s="6">
        <f t="shared" si="8"/>
        <v>8.8401831483018278E-2</v>
      </c>
      <c r="G176" s="3">
        <v>27181</v>
      </c>
      <c r="H176" s="4">
        <v>0.1193</v>
      </c>
      <c r="I176" s="6">
        <v>8.8401831483018278E-2</v>
      </c>
      <c r="J176" s="6">
        <f t="shared" si="9"/>
        <v>6.4744427244582056E-2</v>
      </c>
      <c r="K176" s="21">
        <f t="shared" si="10"/>
        <v>9.5469681770380061E-4</v>
      </c>
      <c r="L176">
        <f t="shared" si="11"/>
        <v>25.899554498727344</v>
      </c>
    </row>
    <row r="177" spans="1:12" x14ac:dyDescent="0.15">
      <c r="A177" s="3">
        <f>DATE(1974,7,1)</f>
        <v>27211</v>
      </c>
      <c r="B177" s="4">
        <v>0.12920000000000001</v>
      </c>
      <c r="C177" s="6">
        <f t="shared" si="8"/>
        <v>9.1491648334716444E-2</v>
      </c>
      <c r="G177" s="3">
        <v>27211</v>
      </c>
      <c r="H177" s="4">
        <v>0.12920000000000001</v>
      </c>
      <c r="I177" s="6">
        <v>9.1491648334716444E-2</v>
      </c>
      <c r="J177" s="6">
        <f t="shared" si="9"/>
        <v>7.4644427244582062E-2</v>
      </c>
      <c r="K177" s="21">
        <f t="shared" si="10"/>
        <v>1.4219197853126938E-3</v>
      </c>
      <c r="L177">
        <f t="shared" si="11"/>
        <v>29.186030700683872</v>
      </c>
    </row>
    <row r="178" spans="1:12" x14ac:dyDescent="0.15">
      <c r="A178" s="3">
        <f>DATE(1974,8,1)</f>
        <v>27242</v>
      </c>
      <c r="B178" s="4">
        <v>0.1201</v>
      </c>
      <c r="C178" s="6">
        <f t="shared" si="8"/>
        <v>9.5262483501244805E-2</v>
      </c>
      <c r="G178" s="3">
        <v>27242</v>
      </c>
      <c r="H178" s="4">
        <v>0.1201</v>
      </c>
      <c r="I178" s="6">
        <v>9.5262483501244805E-2</v>
      </c>
      <c r="J178" s="6">
        <f t="shared" si="9"/>
        <v>6.5544427244582051E-2</v>
      </c>
      <c r="K178" s="21">
        <f t="shared" si="10"/>
        <v>6.1690222582593641E-4</v>
      </c>
      <c r="L178">
        <f t="shared" si="11"/>
        <v>20.680696501877762</v>
      </c>
    </row>
    <row r="179" spans="1:12" x14ac:dyDescent="0.15">
      <c r="A179" s="3">
        <f>DATE(1974,9,1)</f>
        <v>27273</v>
      </c>
      <c r="B179" s="4">
        <v>0.1134</v>
      </c>
      <c r="C179" s="6">
        <f t="shared" si="8"/>
        <v>9.7746235151120325E-2</v>
      </c>
      <c r="G179" s="3">
        <v>27273</v>
      </c>
      <c r="H179" s="4">
        <v>0.1134</v>
      </c>
      <c r="I179" s="6">
        <v>9.7746235151120325E-2</v>
      </c>
      <c r="J179" s="6">
        <f t="shared" si="9"/>
        <v>5.8844427244582054E-2</v>
      </c>
      <c r="K179" s="21">
        <f t="shared" si="10"/>
        <v>2.4504035394402093E-4</v>
      </c>
      <c r="L179">
        <f t="shared" si="11"/>
        <v>13.804025439929166</v>
      </c>
    </row>
    <row r="180" spans="1:12" x14ac:dyDescent="0.15">
      <c r="A180" s="3">
        <f>DATE(1974,10,1)</f>
        <v>27303</v>
      </c>
      <c r="B180" s="4">
        <v>0.10060000000000001</v>
      </c>
      <c r="C180" s="6">
        <f t="shared" si="8"/>
        <v>9.9311611636008296E-2</v>
      </c>
      <c r="G180" s="3">
        <v>27303</v>
      </c>
      <c r="H180" s="4">
        <v>0.10060000000000001</v>
      </c>
      <c r="I180" s="6">
        <v>9.9311611636008296E-2</v>
      </c>
      <c r="J180" s="6">
        <f t="shared" si="9"/>
        <v>4.6044427244582062E-2</v>
      </c>
      <c r="K180" s="21">
        <f t="shared" si="10"/>
        <v>1.6599445764692432E-6</v>
      </c>
      <c r="L180">
        <f t="shared" si="11"/>
        <v>1.2807041391567724</v>
      </c>
    </row>
    <row r="181" spans="1:12" x14ac:dyDescent="0.15">
      <c r="A181" s="3">
        <f>DATE(1974,11,1)</f>
        <v>27334</v>
      </c>
      <c r="B181" s="4">
        <v>9.4499999999999987E-2</v>
      </c>
      <c r="C181" s="6">
        <f t="shared" si="8"/>
        <v>9.9440450472407474E-2</v>
      </c>
      <c r="G181" s="3">
        <v>27334</v>
      </c>
      <c r="H181" s="4">
        <v>9.4499999999999987E-2</v>
      </c>
      <c r="I181" s="6">
        <v>9.9440450472407474E-2</v>
      </c>
      <c r="J181" s="6">
        <f t="shared" si="9"/>
        <v>3.994442724458204E-2</v>
      </c>
      <c r="K181" s="21">
        <f t="shared" si="10"/>
        <v>2.4408050870311362E-5</v>
      </c>
      <c r="L181">
        <f t="shared" si="11"/>
        <v>5.227989917891521</v>
      </c>
    </row>
    <row r="182" spans="1:12" x14ac:dyDescent="0.15">
      <c r="A182" s="3">
        <f>DATE(1974,12,1)</f>
        <v>27364</v>
      </c>
      <c r="B182" s="4">
        <v>8.5299999999999987E-2</v>
      </c>
      <c r="C182" s="6">
        <f t="shared" si="8"/>
        <v>9.8946405425166722E-2</v>
      </c>
      <c r="G182" s="3">
        <v>27364</v>
      </c>
      <c r="H182" s="4">
        <v>8.5299999999999987E-2</v>
      </c>
      <c r="I182" s="6">
        <v>9.8946405425166722E-2</v>
      </c>
      <c r="J182" s="6">
        <f t="shared" si="9"/>
        <v>3.074442724458204E-2</v>
      </c>
      <c r="K182" s="21">
        <f t="shared" si="10"/>
        <v>1.8622438102802011E-4</v>
      </c>
      <c r="L182">
        <f t="shared" si="11"/>
        <v>15.998130627393598</v>
      </c>
    </row>
    <row r="183" spans="1:12" x14ac:dyDescent="0.15">
      <c r="A183" s="3">
        <f>DATE(1975,1,1)</f>
        <v>27395</v>
      </c>
      <c r="B183" s="4">
        <v>7.1300000000000002E-2</v>
      </c>
      <c r="C183" s="6">
        <f t="shared" si="8"/>
        <v>9.7581764882650052E-2</v>
      </c>
      <c r="G183" s="3">
        <v>27395</v>
      </c>
      <c r="H183" s="4">
        <v>7.1300000000000002E-2</v>
      </c>
      <c r="I183" s="6">
        <v>9.7581764882650052E-2</v>
      </c>
      <c r="J183" s="6">
        <f t="shared" si="9"/>
        <v>1.6744427244582055E-2</v>
      </c>
      <c r="K183" s="21">
        <f t="shared" si="10"/>
        <v>6.907311653468974E-4</v>
      </c>
      <c r="L183">
        <f t="shared" si="11"/>
        <v>36.86082031227216</v>
      </c>
    </row>
    <row r="184" spans="1:12" x14ac:dyDescent="0.15">
      <c r="A184" s="3">
        <f>DATE(1975,2,1)</f>
        <v>27426</v>
      </c>
      <c r="B184" s="4">
        <v>6.2400000000000004E-2</v>
      </c>
      <c r="C184" s="6">
        <f t="shared" si="8"/>
        <v>9.4953588394385044E-2</v>
      </c>
      <c r="G184" s="3">
        <v>27426</v>
      </c>
      <c r="H184" s="4">
        <v>6.2400000000000004E-2</v>
      </c>
      <c r="I184" s="6">
        <v>9.4953588394385044E-2</v>
      </c>
      <c r="J184" s="6">
        <f t="shared" si="9"/>
        <v>7.844427244582057E-3</v>
      </c>
      <c r="K184" s="21">
        <f t="shared" si="10"/>
        <v>1.0597361173510403E-3</v>
      </c>
      <c r="L184">
        <f t="shared" si="11"/>
        <v>52.169212170488841</v>
      </c>
    </row>
    <row r="185" spans="1:12" x14ac:dyDescent="0.15">
      <c r="A185" s="3">
        <f>DATE(1975,3,1)</f>
        <v>27454</v>
      </c>
      <c r="B185" s="4">
        <v>5.5399999999999998E-2</v>
      </c>
      <c r="C185" s="6">
        <f t="shared" si="8"/>
        <v>9.1698229554946539E-2</v>
      </c>
      <c r="G185" s="3">
        <v>27454</v>
      </c>
      <c r="H185" s="4">
        <v>5.5399999999999998E-2</v>
      </c>
      <c r="I185" s="6">
        <v>9.1698229554946539E-2</v>
      </c>
      <c r="J185" s="6">
        <f t="shared" si="9"/>
        <v>8.4442724458205082E-4</v>
      </c>
      <c r="K185" s="21">
        <f t="shared" si="10"/>
        <v>1.3175614688235946E-3</v>
      </c>
      <c r="L185">
        <f t="shared" si="11"/>
        <v>65.520269954777149</v>
      </c>
    </row>
    <row r="186" spans="1:12" x14ac:dyDescent="0.15">
      <c r="A186" s="3">
        <f>DATE(1975,4,1)</f>
        <v>27485</v>
      </c>
      <c r="B186" s="4">
        <v>5.4900000000000004E-2</v>
      </c>
      <c r="C186" s="6">
        <f t="shared" si="8"/>
        <v>8.8068406599451893E-2</v>
      </c>
      <c r="G186" s="3">
        <v>27485</v>
      </c>
      <c r="H186" s="4">
        <v>5.4900000000000004E-2</v>
      </c>
      <c r="I186" s="6">
        <v>8.8068406599451893E-2</v>
      </c>
      <c r="J186" s="6">
        <f t="shared" si="9"/>
        <v>3.4442724458205731E-4</v>
      </c>
      <c r="K186" s="21">
        <f t="shared" si="10"/>
        <v>1.1001431963465636E-3</v>
      </c>
      <c r="L186">
        <f t="shared" si="11"/>
        <v>60.41604116475753</v>
      </c>
    </row>
    <row r="187" spans="1:12" x14ac:dyDescent="0.15">
      <c r="A187" s="3">
        <f>DATE(1975,5,1)</f>
        <v>27515</v>
      </c>
      <c r="B187" s="4">
        <v>5.2199999999999996E-2</v>
      </c>
      <c r="C187" s="6">
        <f t="shared" si="8"/>
        <v>8.4751565939506696E-2</v>
      </c>
      <c r="G187" s="3">
        <v>27515</v>
      </c>
      <c r="H187" s="4">
        <v>5.2199999999999996E-2</v>
      </c>
      <c r="I187" s="6">
        <v>8.4751565939506696E-2</v>
      </c>
      <c r="J187" s="6">
        <f t="shared" si="9"/>
        <v>2.3555727554179506E-3</v>
      </c>
      <c r="K187" s="21">
        <f t="shared" si="10"/>
        <v>1.0596044451140526E-3</v>
      </c>
      <c r="L187">
        <f t="shared" si="11"/>
        <v>62.35932172319292</v>
      </c>
    </row>
    <row r="188" spans="1:12" x14ac:dyDescent="0.15">
      <c r="A188" s="3">
        <f>DATE(1975,6,1)</f>
        <v>27546</v>
      </c>
      <c r="B188" s="4">
        <v>5.5500000000000001E-2</v>
      </c>
      <c r="C188" s="6">
        <f t="shared" si="8"/>
        <v>8.1496409345556034E-2</v>
      </c>
      <c r="G188" s="3">
        <v>27546</v>
      </c>
      <c r="H188" s="4">
        <v>5.5500000000000001E-2</v>
      </c>
      <c r="I188" s="6">
        <v>8.1496409345556034E-2</v>
      </c>
      <c r="J188" s="6">
        <f t="shared" si="9"/>
        <v>9.4442724458205368E-4</v>
      </c>
      <c r="K188" s="21">
        <f t="shared" si="10"/>
        <v>6.7581329886171309E-4</v>
      </c>
      <c r="L188">
        <f t="shared" si="11"/>
        <v>46.840377199200063</v>
      </c>
    </row>
    <row r="189" spans="1:12" x14ac:dyDescent="0.15">
      <c r="A189" s="3">
        <f>DATE(1975,7,1)</f>
        <v>27576</v>
      </c>
      <c r="B189" s="4">
        <v>6.0999999999999999E-2</v>
      </c>
      <c r="C189" s="6">
        <f t="shared" si="8"/>
        <v>7.8896768411000434E-2</v>
      </c>
      <c r="G189" s="3">
        <v>27576</v>
      </c>
      <c r="H189" s="4">
        <v>6.0999999999999999E-2</v>
      </c>
      <c r="I189" s="6">
        <v>7.8896768411000434E-2</v>
      </c>
      <c r="J189" s="6">
        <f t="shared" si="9"/>
        <v>6.4444272445820516E-3</v>
      </c>
      <c r="K189" s="21">
        <f t="shared" si="10"/>
        <v>3.2029431955698303E-4</v>
      </c>
      <c r="L189">
        <f t="shared" si="11"/>
        <v>29.338964608197436</v>
      </c>
    </row>
    <row r="190" spans="1:12" x14ac:dyDescent="0.15">
      <c r="A190" s="3">
        <f>DATE(1975,8,1)</f>
        <v>27607</v>
      </c>
      <c r="B190" s="4">
        <v>6.1399999999999996E-2</v>
      </c>
      <c r="C190" s="6">
        <f t="shared" si="8"/>
        <v>7.7107091569900393E-2</v>
      </c>
      <c r="G190" s="3">
        <v>27607</v>
      </c>
      <c r="H190" s="4">
        <v>6.1399999999999996E-2</v>
      </c>
      <c r="I190" s="6">
        <v>7.7107091569900393E-2</v>
      </c>
      <c r="J190" s="6">
        <f t="shared" si="9"/>
        <v>6.8444272445820492E-3</v>
      </c>
      <c r="K190" s="21">
        <f t="shared" si="10"/>
        <v>2.4671272558523611E-4</v>
      </c>
      <c r="L190">
        <f t="shared" si="11"/>
        <v>25.581582361401299</v>
      </c>
    </row>
    <row r="191" spans="1:12" x14ac:dyDescent="0.15">
      <c r="A191" s="3">
        <f>DATE(1975,9,1)</f>
        <v>27638</v>
      </c>
      <c r="B191" s="4">
        <v>6.2400000000000004E-2</v>
      </c>
      <c r="C191" s="6">
        <f t="shared" si="8"/>
        <v>7.5536382412910358E-2</v>
      </c>
      <c r="G191" s="3">
        <v>27638</v>
      </c>
      <c r="H191" s="4">
        <v>6.2400000000000004E-2</v>
      </c>
      <c r="I191" s="6">
        <v>7.5536382412910358E-2</v>
      </c>
      <c r="J191" s="6">
        <f t="shared" si="9"/>
        <v>7.844427244582057E-3</v>
      </c>
      <c r="K191" s="21">
        <f t="shared" si="10"/>
        <v>1.7256454289822043E-4</v>
      </c>
      <c r="L191">
        <f t="shared" si="11"/>
        <v>21.05189489248454</v>
      </c>
    </row>
    <row r="192" spans="1:12" x14ac:dyDescent="0.15">
      <c r="A192" s="3">
        <f>DATE(1975,10,1)</f>
        <v>27668</v>
      </c>
      <c r="B192" s="4">
        <v>5.8200000000000002E-2</v>
      </c>
      <c r="C192" s="6">
        <f t="shared" si="8"/>
        <v>7.4222744171619323E-2</v>
      </c>
      <c r="G192" s="3">
        <v>27668</v>
      </c>
      <c r="H192" s="4">
        <v>5.8200000000000002E-2</v>
      </c>
      <c r="I192" s="6">
        <v>7.4222744171619323E-2</v>
      </c>
      <c r="J192" s="6">
        <f t="shared" si="9"/>
        <v>3.6444272445820547E-3</v>
      </c>
      <c r="K192" s="21">
        <f t="shared" si="10"/>
        <v>2.5672833078916094E-4</v>
      </c>
      <c r="L192">
        <f t="shared" si="11"/>
        <v>27.530488267387149</v>
      </c>
    </row>
    <row r="193" spans="1:12" x14ac:dyDescent="0.15">
      <c r="A193" s="3">
        <f>DATE(1975,11,1)</f>
        <v>27699</v>
      </c>
      <c r="B193" s="4">
        <v>5.2199999999999996E-2</v>
      </c>
      <c r="C193" s="6">
        <f t="shared" si="8"/>
        <v>7.2620469754457392E-2</v>
      </c>
      <c r="G193" s="3">
        <v>27699</v>
      </c>
      <c r="H193" s="4">
        <v>5.2199999999999996E-2</v>
      </c>
      <c r="I193" s="6">
        <v>7.2620469754457392E-2</v>
      </c>
      <c r="J193" s="6">
        <f t="shared" si="9"/>
        <v>2.3555727554179506E-3</v>
      </c>
      <c r="K193" s="21">
        <f t="shared" si="10"/>
        <v>4.169955849927093E-4</v>
      </c>
      <c r="L193">
        <f t="shared" si="11"/>
        <v>39.119673859113789</v>
      </c>
    </row>
    <row r="194" spans="1:12" x14ac:dyDescent="0.15">
      <c r="A194" s="3">
        <f>DATE(1975,12,1)</f>
        <v>27729</v>
      </c>
      <c r="B194" s="4">
        <v>5.2000000000000005E-2</v>
      </c>
      <c r="C194" s="6">
        <f t="shared" si="8"/>
        <v>7.0578422779011663E-2</v>
      </c>
      <c r="G194" s="3">
        <v>27729</v>
      </c>
      <c r="H194" s="4">
        <v>5.2000000000000005E-2</v>
      </c>
      <c r="I194" s="6">
        <v>7.0578422779011663E-2</v>
      </c>
      <c r="J194" s="6">
        <f t="shared" si="9"/>
        <v>2.5555727554179425E-3</v>
      </c>
      <c r="K194" s="21">
        <f t="shared" si="10"/>
        <v>3.4515779295569927E-4</v>
      </c>
      <c r="L194">
        <f t="shared" si="11"/>
        <v>35.727736113483957</v>
      </c>
    </row>
    <row r="195" spans="1:12" x14ac:dyDescent="0.15">
      <c r="A195" s="3">
        <f>DATE(1976,1,1)</f>
        <v>27760</v>
      </c>
      <c r="B195" s="4">
        <v>4.87E-2</v>
      </c>
      <c r="C195" s="6">
        <f t="shared" si="8"/>
        <v>6.872058050111049E-2</v>
      </c>
      <c r="G195" s="3">
        <v>27760</v>
      </c>
      <c r="H195" s="4">
        <v>4.87E-2</v>
      </c>
      <c r="I195" s="6">
        <v>6.872058050111049E-2</v>
      </c>
      <c r="J195" s="6">
        <f t="shared" si="9"/>
        <v>5.8555727554179468E-3</v>
      </c>
      <c r="K195" s="21">
        <f t="shared" si="10"/>
        <v>4.0082364360144554E-4</v>
      </c>
      <c r="L195">
        <f t="shared" si="11"/>
        <v>41.110021562855216</v>
      </c>
    </row>
    <row r="196" spans="1:12" x14ac:dyDescent="0.15">
      <c r="A196" s="3">
        <f>DATE(1976,2,1)</f>
        <v>27791</v>
      </c>
      <c r="B196" s="4">
        <v>4.7699999999999992E-2</v>
      </c>
      <c r="C196" s="6">
        <f t="shared" si="8"/>
        <v>6.6718522450999448E-2</v>
      </c>
      <c r="G196" s="3">
        <v>27791</v>
      </c>
      <c r="H196" s="4">
        <v>4.7699999999999992E-2</v>
      </c>
      <c r="I196" s="6">
        <v>6.6718522450999448E-2</v>
      </c>
      <c r="J196" s="6">
        <f t="shared" si="9"/>
        <v>6.8555727554179546E-3</v>
      </c>
      <c r="K196" s="21">
        <f t="shared" si="10"/>
        <v>3.6170419621917038E-4</v>
      </c>
      <c r="L196">
        <f t="shared" si="11"/>
        <v>39.87111624947476</v>
      </c>
    </row>
    <row r="197" spans="1:12" x14ac:dyDescent="0.15">
      <c r="A197" s="3">
        <f>DATE(1976,3,1)</f>
        <v>27820</v>
      </c>
      <c r="B197" s="4">
        <v>4.8399999999999999E-2</v>
      </c>
      <c r="C197" s="6">
        <f t="shared" ref="C197:C260" si="12">0.1*B196+0.9*C196</f>
        <v>6.4816670205899499E-2</v>
      </c>
      <c r="G197" s="3">
        <v>27820</v>
      </c>
      <c r="H197" s="4">
        <v>4.8399999999999999E-2</v>
      </c>
      <c r="I197" s="6">
        <v>6.4816670205899499E-2</v>
      </c>
      <c r="J197" s="6">
        <f t="shared" ref="J197:J260" si="13">ABS(H197-$P$6)</f>
        <v>6.1555727554179485E-3</v>
      </c>
      <c r="K197" s="21">
        <f t="shared" ref="K197:K260" si="14">(H197-I197)^2</f>
        <v>2.6950706064926832E-4</v>
      </c>
      <c r="L197">
        <f t="shared" ref="L197:L260" si="15">ABS(I197-H197)/H197*100</f>
        <v>33.91874009483368</v>
      </c>
    </row>
    <row r="198" spans="1:12" x14ac:dyDescent="0.15">
      <c r="A198" s="3">
        <f>DATE(1976,4,1)</f>
        <v>27851</v>
      </c>
      <c r="B198" s="4">
        <v>4.82E-2</v>
      </c>
      <c r="C198" s="6">
        <f t="shared" si="12"/>
        <v>6.3175003185309553E-2</v>
      </c>
      <c r="G198" s="3">
        <v>27851</v>
      </c>
      <c r="H198" s="4">
        <v>4.82E-2</v>
      </c>
      <c r="I198" s="6">
        <v>6.3175003185309553E-2</v>
      </c>
      <c r="J198" s="6">
        <f t="shared" si="13"/>
        <v>6.3555727554179473E-3</v>
      </c>
      <c r="K198" s="21">
        <f t="shared" si="14"/>
        <v>2.2425072040003127E-4</v>
      </c>
      <c r="L198">
        <f t="shared" si="15"/>
        <v>31.068471338816501</v>
      </c>
    </row>
    <row r="199" spans="1:12" x14ac:dyDescent="0.15">
      <c r="A199" s="3">
        <f>DATE(1976,5,1)</f>
        <v>27881</v>
      </c>
      <c r="B199" s="4">
        <v>5.2900000000000003E-2</v>
      </c>
      <c r="C199" s="6">
        <f t="shared" si="12"/>
        <v>6.1677502866778595E-2</v>
      </c>
      <c r="G199" s="3">
        <v>27881</v>
      </c>
      <c r="H199" s="4">
        <v>5.2900000000000003E-2</v>
      </c>
      <c r="I199" s="6">
        <v>6.1677502866778595E-2</v>
      </c>
      <c r="J199" s="6">
        <f t="shared" si="13"/>
        <v>1.6555727554179445E-3</v>
      </c>
      <c r="K199" s="21">
        <f t="shared" si="14"/>
        <v>7.7044556576306422E-5</v>
      </c>
      <c r="L199">
        <f t="shared" si="15"/>
        <v>16.592633018485049</v>
      </c>
    </row>
    <row r="200" spans="1:12" x14ac:dyDescent="0.15">
      <c r="A200" s="3">
        <f>DATE(1976,6,1)</f>
        <v>27912</v>
      </c>
      <c r="B200" s="4">
        <v>5.4800000000000001E-2</v>
      </c>
      <c r="C200" s="6">
        <f t="shared" si="12"/>
        <v>6.0799752580100737E-2</v>
      </c>
      <c r="G200" s="3">
        <v>27912</v>
      </c>
      <c r="H200" s="4">
        <v>5.4800000000000001E-2</v>
      </c>
      <c r="I200" s="6">
        <v>6.0799752580100737E-2</v>
      </c>
      <c r="J200" s="6">
        <f t="shared" si="13"/>
        <v>2.4442724458205445E-4</v>
      </c>
      <c r="K200" s="21">
        <f t="shared" si="14"/>
        <v>3.5997031022425434E-5</v>
      </c>
      <c r="L200">
        <f t="shared" si="15"/>
        <v>10.94845361332251</v>
      </c>
    </row>
    <row r="201" spans="1:12" x14ac:dyDescent="0.15">
      <c r="A201" s="3">
        <f>DATE(1976,7,1)</f>
        <v>27942</v>
      </c>
      <c r="B201" s="4">
        <v>5.3099999999999994E-2</v>
      </c>
      <c r="C201" s="6">
        <f t="shared" si="12"/>
        <v>6.0199777322090663E-2</v>
      </c>
      <c r="G201" s="3">
        <v>27942</v>
      </c>
      <c r="H201" s="4">
        <v>5.3099999999999994E-2</v>
      </c>
      <c r="I201" s="6">
        <v>6.0199777322090663E-2</v>
      </c>
      <c r="J201" s="6">
        <f t="shared" si="13"/>
        <v>1.4555727554179526E-3</v>
      </c>
      <c r="K201" s="21">
        <f t="shared" si="14"/>
        <v>5.0406838023272939E-5</v>
      </c>
      <c r="L201">
        <f t="shared" si="15"/>
        <v>13.370578760999377</v>
      </c>
    </row>
    <row r="202" spans="1:12" x14ac:dyDescent="0.15">
      <c r="A202" s="3">
        <f>DATE(1976,8,1)</f>
        <v>27973</v>
      </c>
      <c r="B202" s="4">
        <v>5.2900000000000003E-2</v>
      </c>
      <c r="C202" s="6">
        <f t="shared" si="12"/>
        <v>5.9489799589881598E-2</v>
      </c>
      <c r="G202" s="3">
        <v>27973</v>
      </c>
      <c r="H202" s="4">
        <v>5.2900000000000003E-2</v>
      </c>
      <c r="I202" s="6">
        <v>5.9489799589881598E-2</v>
      </c>
      <c r="J202" s="6">
        <f t="shared" si="13"/>
        <v>1.6555727554179445E-3</v>
      </c>
      <c r="K202" s="21">
        <f t="shared" si="14"/>
        <v>4.3425458634803643E-5</v>
      </c>
      <c r="L202">
        <f t="shared" si="15"/>
        <v>12.457088071609821</v>
      </c>
    </row>
    <row r="203" spans="1:12" x14ac:dyDescent="0.15">
      <c r="A203" s="3">
        <f>DATE(1976,9,1)</f>
        <v>28004</v>
      </c>
      <c r="B203" s="4">
        <v>5.2499999999999998E-2</v>
      </c>
      <c r="C203" s="6">
        <f t="shared" si="12"/>
        <v>5.8830819630893441E-2</v>
      </c>
      <c r="G203" s="3">
        <v>28004</v>
      </c>
      <c r="H203" s="4">
        <v>5.2499999999999998E-2</v>
      </c>
      <c r="I203" s="6">
        <v>5.8830819630893441E-2</v>
      </c>
      <c r="J203" s="6">
        <f t="shared" si="13"/>
        <v>2.055572755417949E-3</v>
      </c>
      <c r="K203" s="21">
        <f t="shared" si="14"/>
        <v>4.0079277198905791E-5</v>
      </c>
      <c r="L203">
        <f t="shared" si="15"/>
        <v>12.058704058844654</v>
      </c>
    </row>
    <row r="204" spans="1:12" x14ac:dyDescent="0.15">
      <c r="A204" s="3">
        <f>DATE(1976,10,1)</f>
        <v>28034</v>
      </c>
      <c r="B204" s="4">
        <v>5.0199999999999995E-2</v>
      </c>
      <c r="C204" s="6">
        <f t="shared" si="12"/>
        <v>5.8197737667804096E-2</v>
      </c>
      <c r="G204" s="3">
        <v>28034</v>
      </c>
      <c r="H204" s="4">
        <v>5.0199999999999995E-2</v>
      </c>
      <c r="I204" s="6">
        <v>5.8197737667804096E-2</v>
      </c>
      <c r="J204" s="6">
        <f t="shared" si="13"/>
        <v>4.3555727554179524E-3</v>
      </c>
      <c r="K204" s="21">
        <f t="shared" si="14"/>
        <v>6.3963807803012589E-5</v>
      </c>
      <c r="L204">
        <f t="shared" si="15"/>
        <v>15.931748342239246</v>
      </c>
    </row>
    <row r="205" spans="1:12" x14ac:dyDescent="0.15">
      <c r="A205" s="3">
        <f>DATE(1976,11,1)</f>
        <v>28065</v>
      </c>
      <c r="B205" s="4">
        <v>4.9500000000000002E-2</v>
      </c>
      <c r="C205" s="6">
        <f t="shared" si="12"/>
        <v>5.7397963901023683E-2</v>
      </c>
      <c r="G205" s="3">
        <v>28065</v>
      </c>
      <c r="H205" s="4">
        <v>4.9500000000000002E-2</v>
      </c>
      <c r="I205" s="6">
        <v>5.7397963901023683E-2</v>
      </c>
      <c r="J205" s="6">
        <f t="shared" si="13"/>
        <v>5.0555727554179447E-3</v>
      </c>
      <c r="K205" s="21">
        <f t="shared" si="14"/>
        <v>6.2377833781873191E-5</v>
      </c>
      <c r="L205">
        <f t="shared" si="15"/>
        <v>15.955482628330667</v>
      </c>
    </row>
    <row r="206" spans="1:12" x14ac:dyDescent="0.15">
      <c r="A206" s="3">
        <f>DATE(1976,12,1)</f>
        <v>28095</v>
      </c>
      <c r="B206" s="4">
        <v>4.6500000000000007E-2</v>
      </c>
      <c r="C206" s="6">
        <f t="shared" si="12"/>
        <v>5.660816751092132E-2</v>
      </c>
      <c r="G206" s="3">
        <v>28095</v>
      </c>
      <c r="H206" s="4">
        <v>4.6500000000000007E-2</v>
      </c>
      <c r="I206" s="6">
        <v>5.660816751092132E-2</v>
      </c>
      <c r="J206" s="6">
        <f t="shared" si="13"/>
        <v>8.0555727554179404E-3</v>
      </c>
      <c r="K206" s="21">
        <f t="shared" si="14"/>
        <v>1.0217505042884519E-4</v>
      </c>
      <c r="L206">
        <f t="shared" si="15"/>
        <v>21.737994647142607</v>
      </c>
    </row>
    <row r="207" spans="1:12" x14ac:dyDescent="0.15">
      <c r="A207" s="3">
        <f>DATE(1977,1,1)</f>
        <v>28126</v>
      </c>
      <c r="B207" s="4">
        <v>4.6100000000000002E-2</v>
      </c>
      <c r="C207" s="6">
        <f t="shared" si="12"/>
        <v>5.5597350759829189E-2</v>
      </c>
      <c r="G207" s="3">
        <v>28126</v>
      </c>
      <c r="H207" s="4">
        <v>4.6100000000000002E-2</v>
      </c>
      <c r="I207" s="6">
        <v>5.5597350759829189E-2</v>
      </c>
      <c r="J207" s="6">
        <f t="shared" si="13"/>
        <v>8.455572755417945E-3</v>
      </c>
      <c r="K207" s="21">
        <f t="shared" si="14"/>
        <v>9.0199671455228042E-5</v>
      </c>
      <c r="L207">
        <f t="shared" si="15"/>
        <v>20.601628546267218</v>
      </c>
    </row>
    <row r="208" spans="1:12" x14ac:dyDescent="0.15">
      <c r="A208" s="3">
        <f>DATE(1977,2,1)</f>
        <v>28157</v>
      </c>
      <c r="B208" s="4">
        <v>4.6799999999999994E-2</v>
      </c>
      <c r="C208" s="6">
        <f t="shared" si="12"/>
        <v>5.4647615683846275E-2</v>
      </c>
      <c r="G208" s="3">
        <v>28157</v>
      </c>
      <c r="H208" s="4">
        <v>4.6799999999999994E-2</v>
      </c>
      <c r="I208" s="6">
        <v>5.4647615683846275E-2</v>
      </c>
      <c r="J208" s="6">
        <f t="shared" si="13"/>
        <v>7.7555727554179527E-3</v>
      </c>
      <c r="K208" s="21">
        <f t="shared" si="14"/>
        <v>6.1585071921350129E-5</v>
      </c>
      <c r="L208">
        <f t="shared" si="15"/>
        <v>16.768409580868123</v>
      </c>
    </row>
    <row r="209" spans="1:12" x14ac:dyDescent="0.15">
      <c r="A209" s="3">
        <f>DATE(1977,3,1)</f>
        <v>28185</v>
      </c>
      <c r="B209" s="4">
        <v>4.6900000000000004E-2</v>
      </c>
      <c r="C209" s="6">
        <f t="shared" si="12"/>
        <v>5.3862854115461642E-2</v>
      </c>
      <c r="G209" s="3">
        <v>28185</v>
      </c>
      <c r="H209" s="4">
        <v>4.6900000000000004E-2</v>
      </c>
      <c r="I209" s="6">
        <v>5.3862854115461642E-2</v>
      </c>
      <c r="J209" s="6">
        <f t="shared" si="13"/>
        <v>7.6555727554179429E-3</v>
      </c>
      <c r="K209" s="21">
        <f t="shared" si="14"/>
        <v>4.8481337433201063E-5</v>
      </c>
      <c r="L209">
        <f t="shared" si="15"/>
        <v>14.846170821879824</v>
      </c>
    </row>
    <row r="210" spans="1:12" x14ac:dyDescent="0.15">
      <c r="A210" s="3">
        <f>DATE(1977,4,1)</f>
        <v>28216</v>
      </c>
      <c r="B210" s="4">
        <v>4.7300000000000002E-2</v>
      </c>
      <c r="C210" s="6">
        <f t="shared" si="12"/>
        <v>5.3166568703915479E-2</v>
      </c>
      <c r="G210" s="3">
        <v>28216</v>
      </c>
      <c r="H210" s="4">
        <v>4.7300000000000002E-2</v>
      </c>
      <c r="I210" s="6">
        <v>5.3166568703915479E-2</v>
      </c>
      <c r="J210" s="6">
        <f t="shared" si="13"/>
        <v>7.2555727554179453E-3</v>
      </c>
      <c r="K210" s="21">
        <f t="shared" si="14"/>
        <v>3.4416628357760522E-5</v>
      </c>
      <c r="L210">
        <f t="shared" si="15"/>
        <v>12.40289366578325</v>
      </c>
    </row>
    <row r="211" spans="1:12" x14ac:dyDescent="0.15">
      <c r="A211" s="3">
        <f>DATE(1977,5,1)</f>
        <v>28246</v>
      </c>
      <c r="B211" s="4">
        <v>5.3499999999999999E-2</v>
      </c>
      <c r="C211" s="6">
        <f t="shared" si="12"/>
        <v>5.257991183352393E-2</v>
      </c>
      <c r="G211" s="3">
        <v>28246</v>
      </c>
      <c r="H211" s="4">
        <v>5.3499999999999999E-2</v>
      </c>
      <c r="I211" s="6">
        <v>5.257991183352393E-2</v>
      </c>
      <c r="J211" s="6">
        <f t="shared" si="13"/>
        <v>1.0555727554179481E-3</v>
      </c>
      <c r="K211" s="21">
        <f t="shared" si="14"/>
        <v>8.4656223408929356E-7</v>
      </c>
      <c r="L211">
        <f t="shared" si="15"/>
        <v>1.7197909653758292</v>
      </c>
    </row>
    <row r="212" spans="1:12" x14ac:dyDescent="0.15">
      <c r="A212" s="3">
        <f>DATE(1977,6,1)</f>
        <v>28277</v>
      </c>
      <c r="B212" s="4">
        <v>5.3899999999999997E-2</v>
      </c>
      <c r="C212" s="6">
        <f t="shared" si="12"/>
        <v>5.2671920650171539E-2</v>
      </c>
      <c r="G212" s="3">
        <v>28277</v>
      </c>
      <c r="H212" s="4">
        <v>5.3899999999999997E-2</v>
      </c>
      <c r="I212" s="6">
        <v>5.2671920650171539E-2</v>
      </c>
      <c r="J212" s="6">
        <f t="shared" si="13"/>
        <v>6.5557275541795051E-4</v>
      </c>
      <c r="K212" s="21">
        <f t="shared" si="14"/>
        <v>1.5081788894750876E-6</v>
      </c>
      <c r="L212">
        <f t="shared" si="15"/>
        <v>2.2784403521863785</v>
      </c>
    </row>
    <row r="213" spans="1:12" x14ac:dyDescent="0.15">
      <c r="A213" s="3">
        <f>DATE(1977,7,1)</f>
        <v>28307</v>
      </c>
      <c r="B213" s="4">
        <v>5.4199999999999998E-2</v>
      </c>
      <c r="C213" s="6">
        <f t="shared" si="12"/>
        <v>5.2794728585154382E-2</v>
      </c>
      <c r="G213" s="3">
        <v>28307</v>
      </c>
      <c r="H213" s="4">
        <v>5.4199999999999998E-2</v>
      </c>
      <c r="I213" s="6">
        <v>5.2794728585154382E-2</v>
      </c>
      <c r="J213" s="6">
        <f t="shared" si="13"/>
        <v>3.5557275541794886E-4</v>
      </c>
      <c r="K213" s="21">
        <f t="shared" si="14"/>
        <v>1.9747877493821987E-6</v>
      </c>
      <c r="L213">
        <f t="shared" si="15"/>
        <v>2.5927516879070405</v>
      </c>
    </row>
    <row r="214" spans="1:12" x14ac:dyDescent="0.15">
      <c r="A214" s="3">
        <f>DATE(1977,8,1)</f>
        <v>28338</v>
      </c>
      <c r="B214" s="4">
        <v>5.9000000000000004E-2</v>
      </c>
      <c r="C214" s="6">
        <f t="shared" si="12"/>
        <v>5.2935255726638944E-2</v>
      </c>
      <c r="G214" s="3">
        <v>28338</v>
      </c>
      <c r="H214" s="4">
        <v>5.9000000000000004E-2</v>
      </c>
      <c r="I214" s="6">
        <v>5.2935255726638944E-2</v>
      </c>
      <c r="J214" s="6">
        <f t="shared" si="13"/>
        <v>4.4444272445820568E-3</v>
      </c>
      <c r="K214" s="21">
        <f t="shared" si="14"/>
        <v>3.6781123101265773E-5</v>
      </c>
      <c r="L214">
        <f t="shared" si="15"/>
        <v>10.279227581967898</v>
      </c>
    </row>
    <row r="215" spans="1:12" x14ac:dyDescent="0.15">
      <c r="A215" s="3">
        <f>DATE(1977,9,1)</f>
        <v>28369</v>
      </c>
      <c r="B215" s="4">
        <v>6.1399999999999996E-2</v>
      </c>
      <c r="C215" s="6">
        <f t="shared" si="12"/>
        <v>5.3541730153975051E-2</v>
      </c>
      <c r="G215" s="3">
        <v>28369</v>
      </c>
      <c r="H215" s="4">
        <v>6.1399999999999996E-2</v>
      </c>
      <c r="I215" s="6">
        <v>5.3541730153975051E-2</v>
      </c>
      <c r="J215" s="6">
        <f t="shared" si="13"/>
        <v>6.8444272445820492E-3</v>
      </c>
      <c r="K215" s="21">
        <f t="shared" si="14"/>
        <v>6.1752404972944923E-5</v>
      </c>
      <c r="L215">
        <f t="shared" si="15"/>
        <v>12.798485091245841</v>
      </c>
    </row>
    <row r="216" spans="1:12" x14ac:dyDescent="0.15">
      <c r="A216" s="3">
        <f>DATE(1977,10,1)</f>
        <v>28399</v>
      </c>
      <c r="B216" s="4">
        <v>6.4699999999999994E-2</v>
      </c>
      <c r="C216" s="6">
        <f t="shared" si="12"/>
        <v>5.4327557138577544E-2</v>
      </c>
      <c r="G216" s="3">
        <v>28399</v>
      </c>
      <c r="H216" s="4">
        <v>6.4699999999999994E-2</v>
      </c>
      <c r="I216" s="6">
        <v>5.4327557138577544E-2</v>
      </c>
      <c r="J216" s="6">
        <f t="shared" si="13"/>
        <v>1.0144427244582047E-2</v>
      </c>
      <c r="K216" s="21">
        <f t="shared" si="14"/>
        <v>1.0758757091347353E-4</v>
      </c>
      <c r="L216">
        <f t="shared" si="15"/>
        <v>16.031596385506106</v>
      </c>
    </row>
    <row r="217" spans="1:12" x14ac:dyDescent="0.15">
      <c r="A217" s="3">
        <f>DATE(1977,11,1)</f>
        <v>28430</v>
      </c>
      <c r="B217" s="4">
        <v>6.5099999999999991E-2</v>
      </c>
      <c r="C217" s="6">
        <f t="shared" si="12"/>
        <v>5.5364801424719792E-2</v>
      </c>
      <c r="G217" s="3">
        <v>28430</v>
      </c>
      <c r="H217" s="4">
        <v>6.5099999999999991E-2</v>
      </c>
      <c r="I217" s="6">
        <v>5.5364801424719792E-2</v>
      </c>
      <c r="J217" s="6">
        <f t="shared" si="13"/>
        <v>1.0544427244582044E-2</v>
      </c>
      <c r="K217" s="21">
        <f t="shared" si="14"/>
        <v>9.4774091300137614E-5</v>
      </c>
      <c r="L217">
        <f t="shared" si="15"/>
        <v>14.954222081843627</v>
      </c>
    </row>
    <row r="218" spans="1:12" x14ac:dyDescent="0.15">
      <c r="A218" s="3">
        <f>DATE(1977,12,1)</f>
        <v>28460</v>
      </c>
      <c r="B218" s="4">
        <v>6.5599999999999992E-2</v>
      </c>
      <c r="C218" s="6">
        <f t="shared" si="12"/>
        <v>5.6338321282247819E-2</v>
      </c>
      <c r="G218" s="3">
        <v>28460</v>
      </c>
      <c r="H218" s="4">
        <v>6.5599999999999992E-2</v>
      </c>
      <c r="I218" s="6">
        <v>5.6338321282247819E-2</v>
      </c>
      <c r="J218" s="6">
        <f t="shared" si="13"/>
        <v>1.1044427244582045E-2</v>
      </c>
      <c r="K218" s="21">
        <f t="shared" si="14"/>
        <v>8.5778692670863529E-5</v>
      </c>
      <c r="L218">
        <f t="shared" si="15"/>
        <v>14.118412679500263</v>
      </c>
    </row>
    <row r="219" spans="1:12" x14ac:dyDescent="0.15">
      <c r="A219" s="3">
        <f>DATE(1978,1,1)</f>
        <v>28491</v>
      </c>
      <c r="B219" s="4">
        <v>6.7000000000000004E-2</v>
      </c>
      <c r="C219" s="6">
        <f t="shared" si="12"/>
        <v>5.7264489154023032E-2</v>
      </c>
      <c r="G219" s="3">
        <v>28491</v>
      </c>
      <c r="H219" s="4">
        <v>6.7000000000000004E-2</v>
      </c>
      <c r="I219" s="6">
        <v>5.7264489154023032E-2</v>
      </c>
      <c r="J219" s="6">
        <f t="shared" si="13"/>
        <v>1.2444427244582057E-2</v>
      </c>
      <c r="K219" s="21">
        <f t="shared" si="14"/>
        <v>9.4780171432135249E-5</v>
      </c>
      <c r="L219">
        <f t="shared" si="15"/>
        <v>14.530613202950704</v>
      </c>
    </row>
    <row r="220" spans="1:12" x14ac:dyDescent="0.15">
      <c r="A220" s="3">
        <f>DATE(1978,2,1)</f>
        <v>28522</v>
      </c>
      <c r="B220" s="4">
        <v>6.7799999999999999E-2</v>
      </c>
      <c r="C220" s="6">
        <f t="shared" si="12"/>
        <v>5.8238040238620725E-2</v>
      </c>
      <c r="G220" s="3">
        <v>28522</v>
      </c>
      <c r="H220" s="4">
        <v>6.7799999999999999E-2</v>
      </c>
      <c r="I220" s="6">
        <v>5.8238040238620725E-2</v>
      </c>
      <c r="J220" s="6">
        <f t="shared" si="13"/>
        <v>1.3244427244582052E-2</v>
      </c>
      <c r="K220" s="21">
        <f t="shared" si="14"/>
        <v>9.1431074478236376E-5</v>
      </c>
      <c r="L220">
        <f t="shared" si="15"/>
        <v>14.103185488759992</v>
      </c>
    </row>
    <row r="221" spans="1:12" x14ac:dyDescent="0.15">
      <c r="A221" s="3">
        <f>DATE(1978,3,1)</f>
        <v>28550</v>
      </c>
      <c r="B221" s="4">
        <v>6.7900000000000002E-2</v>
      </c>
      <c r="C221" s="6">
        <f t="shared" si="12"/>
        <v>5.9194236214758653E-2</v>
      </c>
      <c r="G221" s="3">
        <v>28550</v>
      </c>
      <c r="H221" s="4">
        <v>6.7900000000000002E-2</v>
      </c>
      <c r="I221" s="6">
        <v>5.9194236214758653E-2</v>
      </c>
      <c r="J221" s="6">
        <f t="shared" si="13"/>
        <v>1.3344427244582055E-2</v>
      </c>
      <c r="K221" s="21">
        <f t="shared" si="14"/>
        <v>7.5790323084419791E-5</v>
      </c>
      <c r="L221">
        <f t="shared" si="15"/>
        <v>12.821448873698598</v>
      </c>
    </row>
    <row r="222" spans="1:12" x14ac:dyDescent="0.15">
      <c r="A222" s="3">
        <f>DATE(1978,4,1)</f>
        <v>28581</v>
      </c>
      <c r="B222" s="4">
        <v>6.8900000000000003E-2</v>
      </c>
      <c r="C222" s="6">
        <f t="shared" si="12"/>
        <v>6.0064812593282793E-2</v>
      </c>
      <c r="G222" s="3">
        <v>28581</v>
      </c>
      <c r="H222" s="4">
        <v>6.8900000000000003E-2</v>
      </c>
      <c r="I222" s="6">
        <v>6.0064812593282793E-2</v>
      </c>
      <c r="J222" s="6">
        <f t="shared" si="13"/>
        <v>1.4344427244582056E-2</v>
      </c>
      <c r="K222" s="21">
        <f t="shared" si="14"/>
        <v>7.8060536511814381E-5</v>
      </c>
      <c r="L222">
        <f t="shared" si="15"/>
        <v>12.823203783334122</v>
      </c>
    </row>
    <row r="223" spans="1:12" x14ac:dyDescent="0.15">
      <c r="A223" s="3">
        <f>DATE(1978,5,1)</f>
        <v>28611</v>
      </c>
      <c r="B223" s="4">
        <v>7.3599999999999999E-2</v>
      </c>
      <c r="C223" s="6">
        <f t="shared" si="12"/>
        <v>6.0948331333954518E-2</v>
      </c>
      <c r="G223" s="3">
        <v>28611</v>
      </c>
      <c r="H223" s="4">
        <v>7.3599999999999999E-2</v>
      </c>
      <c r="I223" s="6">
        <v>6.0948331333954518E-2</v>
      </c>
      <c r="J223" s="6">
        <f t="shared" si="13"/>
        <v>1.9044427244582052E-2</v>
      </c>
      <c r="K223" s="21">
        <f t="shared" si="14"/>
        <v>1.6006472003539702E-4</v>
      </c>
      <c r="L223">
        <f t="shared" si="15"/>
        <v>17.189767209300925</v>
      </c>
    </row>
    <row r="224" spans="1:12" x14ac:dyDescent="0.15">
      <c r="A224" s="3">
        <f>DATE(1978,6,1)</f>
        <v>28642</v>
      </c>
      <c r="B224" s="4">
        <v>7.5999999999999998E-2</v>
      </c>
      <c r="C224" s="6">
        <f t="shared" si="12"/>
        <v>6.2213498200559068E-2</v>
      </c>
      <c r="G224" s="3">
        <v>28642</v>
      </c>
      <c r="H224" s="4">
        <v>7.5999999999999998E-2</v>
      </c>
      <c r="I224" s="6">
        <v>6.2213498200559068E-2</v>
      </c>
      <c r="J224" s="6">
        <f t="shared" si="13"/>
        <v>2.1444427244582051E-2</v>
      </c>
      <c r="K224" s="21">
        <f t="shared" si="14"/>
        <v>1.9006763186598798E-4</v>
      </c>
      <c r="L224">
        <f t="shared" si="15"/>
        <v>18.140133946632801</v>
      </c>
    </row>
    <row r="225" spans="1:12" x14ac:dyDescent="0.15">
      <c r="A225" s="3">
        <f>DATE(1978,7,1)</f>
        <v>28672</v>
      </c>
      <c r="B225" s="4">
        <v>7.8100000000000003E-2</v>
      </c>
      <c r="C225" s="6">
        <f t="shared" si="12"/>
        <v>6.3592148380503158E-2</v>
      </c>
      <c r="G225" s="3">
        <v>28672</v>
      </c>
      <c r="H225" s="4">
        <v>7.8100000000000003E-2</v>
      </c>
      <c r="I225" s="6">
        <v>6.3592148380503158E-2</v>
      </c>
      <c r="J225" s="6">
        <f t="shared" si="13"/>
        <v>2.3544427244582056E-2</v>
      </c>
      <c r="K225" s="21">
        <f t="shared" si="14"/>
        <v>2.1047775861333723E-4</v>
      </c>
      <c r="L225">
        <f t="shared" si="15"/>
        <v>18.575994391161132</v>
      </c>
    </row>
    <row r="226" spans="1:12" x14ac:dyDescent="0.15">
      <c r="A226" s="3">
        <f>DATE(1978,8,1)</f>
        <v>28703</v>
      </c>
      <c r="B226" s="4">
        <v>8.0399999999999985E-2</v>
      </c>
      <c r="C226" s="6">
        <f t="shared" si="12"/>
        <v>6.5042933542452844E-2</v>
      </c>
      <c r="G226" s="3">
        <v>28703</v>
      </c>
      <c r="H226" s="4">
        <v>8.0399999999999985E-2</v>
      </c>
      <c r="I226" s="6">
        <v>6.5042933542452844E-2</v>
      </c>
      <c r="J226" s="6">
        <f t="shared" si="13"/>
        <v>2.5844427244582038E-2</v>
      </c>
      <c r="K226" s="21">
        <f t="shared" si="14"/>
        <v>2.3583949018151951E-4</v>
      </c>
      <c r="L226">
        <f t="shared" si="15"/>
        <v>19.100828927297446</v>
      </c>
    </row>
    <row r="227" spans="1:12" x14ac:dyDescent="0.15">
      <c r="A227" s="3">
        <f>DATE(1978,9,1)</f>
        <v>28734</v>
      </c>
      <c r="B227" s="4">
        <v>8.4499999999999992E-2</v>
      </c>
      <c r="C227" s="6">
        <f t="shared" si="12"/>
        <v>6.6578640188207555E-2</v>
      </c>
      <c r="G227" s="3">
        <v>28734</v>
      </c>
      <c r="H227" s="4">
        <v>8.4499999999999992E-2</v>
      </c>
      <c r="I227" s="6">
        <v>6.6578640188207555E-2</v>
      </c>
      <c r="J227" s="6">
        <f t="shared" si="13"/>
        <v>2.9944427244582045E-2</v>
      </c>
      <c r="K227" s="21">
        <f t="shared" si="14"/>
        <v>3.2117513750372904E-4</v>
      </c>
      <c r="L227">
        <f t="shared" si="15"/>
        <v>21.208709836440757</v>
      </c>
    </row>
    <row r="228" spans="1:12" x14ac:dyDescent="0.15">
      <c r="A228" s="3">
        <f>DATE(1978,10,1)</f>
        <v>28764</v>
      </c>
      <c r="B228" s="4">
        <v>8.9600000000000013E-2</v>
      </c>
      <c r="C228" s="6">
        <f t="shared" si="12"/>
        <v>6.8370776169386804E-2</v>
      </c>
      <c r="G228" s="3">
        <v>28764</v>
      </c>
      <c r="H228" s="4">
        <v>8.9600000000000013E-2</v>
      </c>
      <c r="I228" s="6">
        <v>6.8370776169386804E-2</v>
      </c>
      <c r="J228" s="6">
        <f t="shared" si="13"/>
        <v>3.5044427244582066E-2</v>
      </c>
      <c r="K228" s="21">
        <f t="shared" si="14"/>
        <v>4.5067994445027574E-4</v>
      </c>
      <c r="L228">
        <f t="shared" si="15"/>
        <v>23.693330168095095</v>
      </c>
    </row>
    <row r="229" spans="1:12" x14ac:dyDescent="0.15">
      <c r="A229" s="3">
        <f>DATE(1978,11,1)</f>
        <v>28795</v>
      </c>
      <c r="B229" s="4">
        <v>9.7599999999999992E-2</v>
      </c>
      <c r="C229" s="6">
        <f t="shared" si="12"/>
        <v>7.0493698552448122E-2</v>
      </c>
      <c r="G229" s="3">
        <v>28795</v>
      </c>
      <c r="H229" s="4">
        <v>9.7599999999999992E-2</v>
      </c>
      <c r="I229" s="6">
        <v>7.0493698552448122E-2</v>
      </c>
      <c r="J229" s="6">
        <f t="shared" si="13"/>
        <v>4.3044427244582045E-2</v>
      </c>
      <c r="K229" s="21">
        <f t="shared" si="14"/>
        <v>7.3475157816555261E-4</v>
      </c>
      <c r="L229">
        <f t="shared" si="15"/>
        <v>27.772849843803151</v>
      </c>
    </row>
    <row r="230" spans="1:12" x14ac:dyDescent="0.15">
      <c r="A230" s="3">
        <f>DATE(1978,12,1)</f>
        <v>28825</v>
      </c>
      <c r="B230" s="4">
        <v>0.1003</v>
      </c>
      <c r="C230" s="6">
        <f t="shared" si="12"/>
        <v>7.3204328697203322E-2</v>
      </c>
      <c r="G230" s="3">
        <v>28825</v>
      </c>
      <c r="H230" s="4">
        <v>0.1003</v>
      </c>
      <c r="I230" s="6">
        <v>7.3204328697203322E-2</v>
      </c>
      <c r="J230" s="6">
        <f t="shared" si="13"/>
        <v>4.5744427244582053E-2</v>
      </c>
      <c r="K230" s="21">
        <f t="shared" si="14"/>
        <v>7.3417540334919941E-4</v>
      </c>
      <c r="L230">
        <f t="shared" si="15"/>
        <v>27.014627420535074</v>
      </c>
    </row>
    <row r="231" spans="1:12" x14ac:dyDescent="0.15">
      <c r="A231" s="3">
        <f>DATE(1979,1,1)</f>
        <v>28856</v>
      </c>
      <c r="B231" s="4">
        <v>0.1007</v>
      </c>
      <c r="C231" s="6">
        <f t="shared" si="12"/>
        <v>7.5913895827482994E-2</v>
      </c>
      <c r="G231" s="3">
        <v>28856</v>
      </c>
      <c r="H231" s="4">
        <v>0.1007</v>
      </c>
      <c r="I231" s="6">
        <v>7.5913895827482994E-2</v>
      </c>
      <c r="J231" s="6">
        <f t="shared" si="13"/>
        <v>4.6144427244582051E-2</v>
      </c>
      <c r="K231" s="21">
        <f t="shared" si="14"/>
        <v>6.1435096005086481E-4</v>
      </c>
      <c r="L231">
        <f t="shared" si="15"/>
        <v>24.613807519877859</v>
      </c>
    </row>
    <row r="232" spans="1:12" x14ac:dyDescent="0.15">
      <c r="A232" s="3">
        <f>DATE(1979,2,1)</f>
        <v>28887</v>
      </c>
      <c r="B232" s="4">
        <v>0.10060000000000001</v>
      </c>
      <c r="C232" s="6">
        <f t="shared" si="12"/>
        <v>7.8392506244734692E-2</v>
      </c>
      <c r="G232" s="3">
        <v>28887</v>
      </c>
      <c r="H232" s="4">
        <v>0.10060000000000001</v>
      </c>
      <c r="I232" s="6">
        <v>7.8392506244734692E-2</v>
      </c>
      <c r="J232" s="6">
        <f t="shared" si="13"/>
        <v>4.6044427244582062E-2</v>
      </c>
      <c r="K232" s="21">
        <f t="shared" si="14"/>
        <v>4.9317277889014807E-4</v>
      </c>
      <c r="L232">
        <f t="shared" si="15"/>
        <v>22.075043494299518</v>
      </c>
    </row>
    <row r="233" spans="1:12" x14ac:dyDescent="0.15">
      <c r="A233" s="3">
        <f>DATE(1979,3,1)</f>
        <v>28915</v>
      </c>
      <c r="B233" s="4">
        <v>0.1009</v>
      </c>
      <c r="C233" s="6">
        <f t="shared" si="12"/>
        <v>8.0613255620261226E-2</v>
      </c>
      <c r="G233" s="3">
        <v>28915</v>
      </c>
      <c r="H233" s="4">
        <v>0.1009</v>
      </c>
      <c r="I233" s="6">
        <v>8.0613255620261226E-2</v>
      </c>
      <c r="J233" s="6">
        <f t="shared" si="13"/>
        <v>4.6344427244582057E-2</v>
      </c>
      <c r="K233" s="21">
        <f t="shared" si="14"/>
        <v>4.1155199752886286E-4</v>
      </c>
      <c r="L233">
        <f t="shared" si="15"/>
        <v>20.105792249493337</v>
      </c>
    </row>
    <row r="234" spans="1:12" x14ac:dyDescent="0.15">
      <c r="A234" s="3">
        <f>DATE(1979,4,1)</f>
        <v>28946</v>
      </c>
      <c r="B234" s="4">
        <v>0.10009999999999999</v>
      </c>
      <c r="C234" s="6">
        <f t="shared" si="12"/>
        <v>8.2641930058235114E-2</v>
      </c>
      <c r="G234" s="3">
        <v>28946</v>
      </c>
      <c r="H234" s="4">
        <v>0.10009999999999999</v>
      </c>
      <c r="I234" s="6">
        <v>8.2641930058235114E-2</v>
      </c>
      <c r="J234" s="6">
        <f t="shared" si="13"/>
        <v>4.5544427244582047E-2</v>
      </c>
      <c r="K234" s="21">
        <f t="shared" si="14"/>
        <v>3.0478420609155441E-4</v>
      </c>
      <c r="L234">
        <f t="shared" si="15"/>
        <v>17.44062931245243</v>
      </c>
    </row>
    <row r="235" spans="1:12" x14ac:dyDescent="0.15">
      <c r="A235" s="3">
        <f>DATE(1979,5,1)</f>
        <v>28976</v>
      </c>
      <c r="B235" s="4">
        <v>0.1024</v>
      </c>
      <c r="C235" s="6">
        <f t="shared" si="12"/>
        <v>8.4387737052411607E-2</v>
      </c>
      <c r="G235" s="3">
        <v>28976</v>
      </c>
      <c r="H235" s="4">
        <v>0.1024</v>
      </c>
      <c r="I235" s="6">
        <v>8.4387737052411607E-2</v>
      </c>
      <c r="J235" s="6">
        <f t="shared" si="13"/>
        <v>4.7844427244582058E-2</v>
      </c>
      <c r="K235" s="21">
        <f t="shared" si="14"/>
        <v>3.2444161649306587E-4</v>
      </c>
      <c r="L235">
        <f t="shared" si="15"/>
        <v>17.590100534754292</v>
      </c>
    </row>
    <row r="236" spans="1:12" x14ac:dyDescent="0.15">
      <c r="A236" s="3">
        <f>DATE(1979,6,1)</f>
        <v>29007</v>
      </c>
      <c r="B236" s="4">
        <v>0.10289999999999999</v>
      </c>
      <c r="C236" s="6">
        <f t="shared" si="12"/>
        <v>8.6188963347170452E-2</v>
      </c>
      <c r="G236" s="3">
        <v>29007</v>
      </c>
      <c r="H236" s="4">
        <v>0.10289999999999999</v>
      </c>
      <c r="I236" s="6">
        <v>8.6188963347170452E-2</v>
      </c>
      <c r="J236" s="6">
        <f t="shared" si="13"/>
        <v>4.8344427244582044E-2</v>
      </c>
      <c r="K236" s="21">
        <f t="shared" si="14"/>
        <v>2.7925874601221229E-4</v>
      </c>
      <c r="L236">
        <f t="shared" si="15"/>
        <v>16.240074492545713</v>
      </c>
    </row>
    <row r="237" spans="1:12" x14ac:dyDescent="0.15">
      <c r="A237" s="3">
        <f>DATE(1979,7,1)</f>
        <v>29037</v>
      </c>
      <c r="B237" s="4">
        <v>0.1047</v>
      </c>
      <c r="C237" s="6">
        <f t="shared" si="12"/>
        <v>8.7860067012453413E-2</v>
      </c>
      <c r="G237" s="3">
        <v>29037</v>
      </c>
      <c r="H237" s="4">
        <v>0.1047</v>
      </c>
      <c r="I237" s="6">
        <v>8.7860067012453413E-2</v>
      </c>
      <c r="J237" s="6">
        <f t="shared" si="13"/>
        <v>5.0144427244582054E-2</v>
      </c>
      <c r="K237" s="21">
        <f t="shared" si="14"/>
        <v>2.8358334302505976E-4</v>
      </c>
      <c r="L237">
        <f t="shared" si="15"/>
        <v>16.083985661458058</v>
      </c>
    </row>
    <row r="238" spans="1:12" x14ac:dyDescent="0.15">
      <c r="A238" s="3">
        <f>DATE(1979,8,1)</f>
        <v>29068</v>
      </c>
      <c r="B238" s="4">
        <v>0.1094</v>
      </c>
      <c r="C238" s="6">
        <f t="shared" si="12"/>
        <v>8.9544060311208068E-2</v>
      </c>
      <c r="G238" s="3">
        <v>29068</v>
      </c>
      <c r="H238" s="4">
        <v>0.1094</v>
      </c>
      <c r="I238" s="6">
        <v>8.9544060311208068E-2</v>
      </c>
      <c r="J238" s="6">
        <f t="shared" si="13"/>
        <v>5.484442724458205E-2</v>
      </c>
      <c r="K238" s="21">
        <f t="shared" si="14"/>
        <v>3.9425834092494255E-4</v>
      </c>
      <c r="L238">
        <f t="shared" si="15"/>
        <v>18.149853463246739</v>
      </c>
    </row>
    <row r="239" spans="1:12" x14ac:dyDescent="0.15">
      <c r="A239" s="3">
        <f>DATE(1979,9,1)</f>
        <v>29099</v>
      </c>
      <c r="B239" s="4">
        <v>0.1143</v>
      </c>
      <c r="C239" s="6">
        <f t="shared" si="12"/>
        <v>9.1529654280087275E-2</v>
      </c>
      <c r="G239" s="3">
        <v>29099</v>
      </c>
      <c r="H239" s="4">
        <v>0.1143</v>
      </c>
      <c r="I239" s="6">
        <v>9.1529654280087275E-2</v>
      </c>
      <c r="J239" s="6">
        <f t="shared" si="13"/>
        <v>5.9744427244582052E-2</v>
      </c>
      <c r="K239" s="21">
        <f t="shared" si="14"/>
        <v>5.1848864420434774E-4</v>
      </c>
      <c r="L239">
        <f t="shared" si="15"/>
        <v>19.921562309634929</v>
      </c>
    </row>
    <row r="240" spans="1:12" x14ac:dyDescent="0.15">
      <c r="A240" s="3">
        <f>DATE(1979,10,1)</f>
        <v>29129</v>
      </c>
      <c r="B240" s="4">
        <v>0.13769999999999999</v>
      </c>
      <c r="C240" s="6">
        <f t="shared" si="12"/>
        <v>9.3806688852078546E-2</v>
      </c>
      <c r="G240" s="3">
        <v>29129</v>
      </c>
      <c r="H240" s="4">
        <v>0.13769999999999999</v>
      </c>
      <c r="I240" s="6">
        <v>9.3806688852078546E-2</v>
      </c>
      <c r="J240" s="6">
        <f t="shared" si="13"/>
        <v>8.3144427244582042E-2</v>
      </c>
      <c r="K240" s="21">
        <f t="shared" si="14"/>
        <v>1.9266227635282448E-3</v>
      </c>
      <c r="L240">
        <f t="shared" si="15"/>
        <v>31.87604295419132</v>
      </c>
    </row>
    <row r="241" spans="1:12" x14ac:dyDescent="0.15">
      <c r="A241" s="3">
        <f>DATE(1979,11,1)</f>
        <v>29160</v>
      </c>
      <c r="B241" s="4">
        <v>0.1318</v>
      </c>
      <c r="C241" s="6">
        <f t="shared" si="12"/>
        <v>9.8196019966870704E-2</v>
      </c>
      <c r="G241" s="3">
        <v>29160</v>
      </c>
      <c r="H241" s="4">
        <v>0.1318</v>
      </c>
      <c r="I241" s="6">
        <v>9.8196019966870704E-2</v>
      </c>
      <c r="J241" s="6">
        <f t="shared" si="13"/>
        <v>7.7244427244582053E-2</v>
      </c>
      <c r="K241" s="21">
        <f t="shared" si="14"/>
        <v>1.1292274740669524E-3</v>
      </c>
      <c r="L241">
        <f t="shared" si="15"/>
        <v>25.496191223922075</v>
      </c>
    </row>
    <row r="242" spans="1:12" x14ac:dyDescent="0.15">
      <c r="A242" s="3">
        <f>DATE(1979,12,1)</f>
        <v>29190</v>
      </c>
      <c r="B242" s="4">
        <v>0.13780000000000001</v>
      </c>
      <c r="C242" s="6">
        <f t="shared" si="12"/>
        <v>0.10155641797018364</v>
      </c>
      <c r="G242" s="3">
        <v>29190</v>
      </c>
      <c r="H242" s="4">
        <v>0.13780000000000001</v>
      </c>
      <c r="I242" s="6">
        <v>0.10155641797018364</v>
      </c>
      <c r="J242" s="6">
        <f t="shared" si="13"/>
        <v>8.3244427244582059E-2</v>
      </c>
      <c r="K242" s="21">
        <f t="shared" si="14"/>
        <v>1.3135972383520279E-3</v>
      </c>
      <c r="L242">
        <f t="shared" si="15"/>
        <v>26.301583475918989</v>
      </c>
    </row>
    <row r="243" spans="1:12" x14ac:dyDescent="0.15">
      <c r="A243" s="3">
        <f>DATE(1980,1,1)</f>
        <v>29221</v>
      </c>
      <c r="B243" s="4">
        <v>0.13819999999999999</v>
      </c>
      <c r="C243" s="6">
        <f t="shared" si="12"/>
        <v>0.10518077617316528</v>
      </c>
      <c r="G243" s="3">
        <v>29221</v>
      </c>
      <c r="H243" s="4">
        <v>0.13819999999999999</v>
      </c>
      <c r="I243" s="6">
        <v>0.10518077617316528</v>
      </c>
      <c r="J243" s="6">
        <f t="shared" si="13"/>
        <v>8.3644427244582042E-2</v>
      </c>
      <c r="K243" s="21">
        <f t="shared" si="14"/>
        <v>1.0902691421266091E-3</v>
      </c>
      <c r="L243">
        <f t="shared" si="15"/>
        <v>23.8923471974202</v>
      </c>
    </row>
    <row r="244" spans="1:12" x14ac:dyDescent="0.15">
      <c r="A244" s="3">
        <f>DATE(1980,2,1)</f>
        <v>29252</v>
      </c>
      <c r="B244" s="4">
        <v>0.14130000000000001</v>
      </c>
      <c r="C244" s="6">
        <f t="shared" si="12"/>
        <v>0.10848269855584874</v>
      </c>
      <c r="G244" s="3">
        <v>29252</v>
      </c>
      <c r="H244" s="4">
        <v>0.14130000000000001</v>
      </c>
      <c r="I244" s="6">
        <v>0.10848269855584874</v>
      </c>
      <c r="J244" s="6">
        <f t="shared" si="13"/>
        <v>8.6744427244582062E-2</v>
      </c>
      <c r="K244" s="21">
        <f t="shared" si="14"/>
        <v>1.0769752740762927E-3</v>
      </c>
      <c r="L244">
        <f t="shared" si="15"/>
        <v>23.225266414827502</v>
      </c>
    </row>
    <row r="245" spans="1:12" x14ac:dyDescent="0.15">
      <c r="A245" s="3">
        <f>DATE(1980,3,1)</f>
        <v>29281</v>
      </c>
      <c r="B245" s="4">
        <v>0.17190000000000003</v>
      </c>
      <c r="C245" s="6">
        <f t="shared" si="12"/>
        <v>0.11176442870026387</v>
      </c>
      <c r="G245" s="3">
        <v>29281</v>
      </c>
      <c r="H245" s="4">
        <v>0.17190000000000003</v>
      </c>
      <c r="I245" s="6">
        <v>0.11176442870026387</v>
      </c>
      <c r="J245" s="6">
        <f t="shared" si="13"/>
        <v>0.11734442724458208</v>
      </c>
      <c r="K245" s="21">
        <f t="shared" si="14"/>
        <v>3.6162869355456503E-3</v>
      </c>
      <c r="L245">
        <f t="shared" si="15"/>
        <v>34.982880337251977</v>
      </c>
    </row>
    <row r="246" spans="1:12" x14ac:dyDescent="0.15">
      <c r="A246" s="3">
        <f>DATE(1980,4,1)</f>
        <v>29312</v>
      </c>
      <c r="B246" s="4">
        <v>0.17610000000000001</v>
      </c>
      <c r="C246" s="6">
        <f t="shared" si="12"/>
        <v>0.11777798583023749</v>
      </c>
      <c r="G246" s="3">
        <v>29312</v>
      </c>
      <c r="H246" s="4">
        <v>0.17610000000000001</v>
      </c>
      <c r="I246" s="6">
        <v>0.11777798583023749</v>
      </c>
      <c r="J246" s="6">
        <f t="shared" si="13"/>
        <v>0.12154442724458206</v>
      </c>
      <c r="K246" s="21">
        <f t="shared" si="14"/>
        <v>3.4014573368179794E-3</v>
      </c>
      <c r="L246">
        <f t="shared" si="15"/>
        <v>33.118690613153049</v>
      </c>
    </row>
    <row r="247" spans="1:12" x14ac:dyDescent="0.15">
      <c r="A247" s="3">
        <f>DATE(1980,5,1)</f>
        <v>29342</v>
      </c>
      <c r="B247" s="4">
        <v>0.10980000000000001</v>
      </c>
      <c r="C247" s="6">
        <f t="shared" si="12"/>
        <v>0.12361018724721375</v>
      </c>
      <c r="G247" s="3">
        <v>29342</v>
      </c>
      <c r="H247" s="4">
        <v>0.10980000000000001</v>
      </c>
      <c r="I247" s="6">
        <v>0.12361018724721375</v>
      </c>
      <c r="J247" s="6">
        <f t="shared" si="13"/>
        <v>5.5244427244582062E-2</v>
      </c>
      <c r="K247" s="21">
        <f t="shared" si="14"/>
        <v>1.9072127180310493E-4</v>
      </c>
      <c r="L247">
        <f t="shared" si="15"/>
        <v>12.57758401385586</v>
      </c>
    </row>
    <row r="248" spans="1:12" x14ac:dyDescent="0.15">
      <c r="A248" s="3">
        <f>DATE(1980,6,1)</f>
        <v>29373</v>
      </c>
      <c r="B248" s="4">
        <v>9.4700000000000006E-2</v>
      </c>
      <c r="C248" s="6">
        <f t="shared" si="12"/>
        <v>0.12222916852249238</v>
      </c>
      <c r="G248" s="3">
        <v>29373</v>
      </c>
      <c r="H248" s="4">
        <v>9.4700000000000006E-2</v>
      </c>
      <c r="I248" s="6">
        <v>0.12222916852249238</v>
      </c>
      <c r="J248" s="6">
        <f t="shared" si="13"/>
        <v>4.0144427244582059E-2</v>
      </c>
      <c r="K248" s="21">
        <f t="shared" si="14"/>
        <v>7.5785511953978507E-4</v>
      </c>
      <c r="L248">
        <f t="shared" si="15"/>
        <v>29.069871723856782</v>
      </c>
    </row>
    <row r="249" spans="1:12" x14ac:dyDescent="0.15">
      <c r="A249" s="3">
        <f>DATE(1980,7,1)</f>
        <v>29403</v>
      </c>
      <c r="B249" s="4">
        <v>9.0299999999999991E-2</v>
      </c>
      <c r="C249" s="6">
        <f t="shared" si="12"/>
        <v>0.11947625167024316</v>
      </c>
      <c r="G249" s="3">
        <v>29403</v>
      </c>
      <c r="H249" s="4">
        <v>9.0299999999999991E-2</v>
      </c>
      <c r="I249" s="6">
        <v>0.11947625167024316</v>
      </c>
      <c r="J249" s="6">
        <f t="shared" si="13"/>
        <v>3.5744427244582044E-2</v>
      </c>
      <c r="K249" s="21">
        <f t="shared" si="14"/>
        <v>8.512536615253672E-4</v>
      </c>
      <c r="L249">
        <f t="shared" si="15"/>
        <v>32.310356223968071</v>
      </c>
    </row>
    <row r="250" spans="1:12" x14ac:dyDescent="0.15">
      <c r="A250" s="3">
        <f>DATE(1980,8,1)</f>
        <v>29434</v>
      </c>
      <c r="B250" s="4">
        <v>9.6099999999999991E-2</v>
      </c>
      <c r="C250" s="6">
        <f t="shared" si="12"/>
        <v>0.11655862650321884</v>
      </c>
      <c r="G250" s="3">
        <v>29434</v>
      </c>
      <c r="H250" s="4">
        <v>9.6099999999999991E-2</v>
      </c>
      <c r="I250" s="6">
        <v>0.11655862650321884</v>
      </c>
      <c r="J250" s="6">
        <f t="shared" si="13"/>
        <v>4.1544427244582044E-2</v>
      </c>
      <c r="K250" s="21">
        <f t="shared" si="14"/>
        <v>4.1855539839820872E-4</v>
      </c>
      <c r="L250">
        <f t="shared" si="15"/>
        <v>21.288893343620032</v>
      </c>
    </row>
    <row r="251" spans="1:12" x14ac:dyDescent="0.15">
      <c r="A251" s="3">
        <f>DATE(1980,9,1)</f>
        <v>29465</v>
      </c>
      <c r="B251" s="4">
        <v>0.10869999999999999</v>
      </c>
      <c r="C251" s="6">
        <f t="shared" si="12"/>
        <v>0.11451276385289696</v>
      </c>
      <c r="G251" s="3">
        <v>29465</v>
      </c>
      <c r="H251" s="4">
        <v>0.10869999999999999</v>
      </c>
      <c r="I251" s="6">
        <v>0.11451276385289696</v>
      </c>
      <c r="J251" s="6">
        <f t="shared" si="13"/>
        <v>5.4144427244582044E-2</v>
      </c>
      <c r="K251" s="21">
        <f t="shared" si="14"/>
        <v>3.378822360954567E-5</v>
      </c>
      <c r="L251">
        <f t="shared" si="15"/>
        <v>5.3475288435114763</v>
      </c>
    </row>
    <row r="252" spans="1:12" x14ac:dyDescent="0.15">
      <c r="A252" s="3">
        <f>DATE(1980,10,1)</f>
        <v>29495</v>
      </c>
      <c r="B252" s="4">
        <v>0.12809999999999999</v>
      </c>
      <c r="C252" s="6">
        <f t="shared" si="12"/>
        <v>0.11393148746760727</v>
      </c>
      <c r="G252" s="3">
        <v>29495</v>
      </c>
      <c r="H252" s="4">
        <v>0.12809999999999999</v>
      </c>
      <c r="I252" s="6">
        <v>0.11393148746760727</v>
      </c>
      <c r="J252" s="6">
        <f t="shared" si="13"/>
        <v>7.3544427244582045E-2</v>
      </c>
      <c r="K252" s="21">
        <f t="shared" si="14"/>
        <v>2.0074674738056962E-4</v>
      </c>
      <c r="L252">
        <f t="shared" si="15"/>
        <v>11.060509392968559</v>
      </c>
    </row>
    <row r="253" spans="1:12" x14ac:dyDescent="0.15">
      <c r="A253" s="3">
        <f>DATE(1980,11,1)</f>
        <v>29526</v>
      </c>
      <c r="B253" s="4">
        <v>0.1585</v>
      </c>
      <c r="C253" s="6">
        <f t="shared" si="12"/>
        <v>0.11534833872084654</v>
      </c>
      <c r="G253" s="3">
        <v>29526</v>
      </c>
      <c r="H253" s="4">
        <v>0.1585</v>
      </c>
      <c r="I253" s="6">
        <v>0.11534833872084654</v>
      </c>
      <c r="J253" s="6">
        <f t="shared" si="13"/>
        <v>0.10394442724458205</v>
      </c>
      <c r="K253" s="21">
        <f t="shared" si="14"/>
        <v>1.8620658711507919E-3</v>
      </c>
      <c r="L253">
        <f t="shared" si="15"/>
        <v>27.225022889055811</v>
      </c>
    </row>
    <row r="254" spans="1:12" x14ac:dyDescent="0.15">
      <c r="A254" s="3">
        <f>DATE(1980,12,1)</f>
        <v>29556</v>
      </c>
      <c r="B254" s="4">
        <v>0.18899999999999997</v>
      </c>
      <c r="C254" s="6">
        <f t="shared" si="12"/>
        <v>0.1196635048487619</v>
      </c>
      <c r="G254" s="3">
        <v>29556</v>
      </c>
      <c r="H254" s="4">
        <v>0.18899999999999997</v>
      </c>
      <c r="I254" s="6">
        <v>0.1196635048487619</v>
      </c>
      <c r="J254" s="6">
        <f t="shared" si="13"/>
        <v>0.13444442724458203</v>
      </c>
      <c r="K254" s="21">
        <f t="shared" si="14"/>
        <v>4.8075495598576615E-3</v>
      </c>
      <c r="L254">
        <f t="shared" si="15"/>
        <v>36.68597627049634</v>
      </c>
    </row>
    <row r="255" spans="1:12" x14ac:dyDescent="0.15">
      <c r="A255" s="3">
        <f>DATE(1981,1,1)</f>
        <v>29587</v>
      </c>
      <c r="B255" s="4">
        <v>0.19079999999999997</v>
      </c>
      <c r="C255" s="6">
        <f t="shared" si="12"/>
        <v>0.12659715436388572</v>
      </c>
      <c r="G255" s="3">
        <v>29587</v>
      </c>
      <c r="H255" s="4">
        <v>0.19079999999999997</v>
      </c>
      <c r="I255" s="6">
        <v>0.12659715436388572</v>
      </c>
      <c r="J255" s="6">
        <f t="shared" si="13"/>
        <v>0.13624442724458202</v>
      </c>
      <c r="K255" s="21">
        <f t="shared" si="14"/>
        <v>4.1220053877747149E-3</v>
      </c>
      <c r="L255">
        <f t="shared" si="15"/>
        <v>33.649290165678337</v>
      </c>
    </row>
    <row r="256" spans="1:12" x14ac:dyDescent="0.15">
      <c r="A256" s="3">
        <f>DATE(1981,2,1)</f>
        <v>29618</v>
      </c>
      <c r="B256" s="4">
        <v>0.1593</v>
      </c>
      <c r="C256" s="6">
        <f t="shared" si="12"/>
        <v>0.13301743892749715</v>
      </c>
      <c r="G256" s="3">
        <v>29618</v>
      </c>
      <c r="H256" s="4">
        <v>0.1593</v>
      </c>
      <c r="I256" s="6">
        <v>0.13301743892749715</v>
      </c>
      <c r="J256" s="6">
        <f t="shared" si="13"/>
        <v>0.10474442724458205</v>
      </c>
      <c r="K256" s="21">
        <f t="shared" si="14"/>
        <v>6.9077301652984205E-4</v>
      </c>
      <c r="L256">
        <f t="shared" si="15"/>
        <v>16.498782845262301</v>
      </c>
    </row>
    <row r="257" spans="1:12" x14ac:dyDescent="0.15">
      <c r="A257" s="3">
        <f>DATE(1981,3,1)</f>
        <v>29646</v>
      </c>
      <c r="B257" s="4">
        <v>0.14699999999999999</v>
      </c>
      <c r="C257" s="6">
        <f t="shared" si="12"/>
        <v>0.13564569503474744</v>
      </c>
      <c r="G257" s="3">
        <v>29646</v>
      </c>
      <c r="H257" s="4">
        <v>0.14699999999999999</v>
      </c>
      <c r="I257" s="6">
        <v>0.13564569503474744</v>
      </c>
      <c r="J257" s="6">
        <f t="shared" si="13"/>
        <v>9.2444427244582045E-2</v>
      </c>
      <c r="K257" s="21">
        <f t="shared" si="14"/>
        <v>1.2892024124395882E-4</v>
      </c>
      <c r="L257">
        <f t="shared" si="15"/>
        <v>7.7240169831650034</v>
      </c>
    </row>
    <row r="258" spans="1:12" x14ac:dyDescent="0.15">
      <c r="A258" s="3">
        <f>DATE(1981,4,1)</f>
        <v>29677</v>
      </c>
      <c r="B258" s="4">
        <v>0.15720000000000001</v>
      </c>
      <c r="C258" s="6">
        <f t="shared" si="12"/>
        <v>0.1367811255312727</v>
      </c>
      <c r="G258" s="3">
        <v>29677</v>
      </c>
      <c r="H258" s="4">
        <v>0.15720000000000001</v>
      </c>
      <c r="I258" s="6">
        <v>0.1367811255312727</v>
      </c>
      <c r="J258" s="6">
        <f t="shared" si="13"/>
        <v>0.10264442724458206</v>
      </c>
      <c r="K258" s="21">
        <f t="shared" si="14"/>
        <v>4.1693043456964403E-4</v>
      </c>
      <c r="L258">
        <f t="shared" si="15"/>
        <v>12.989105896136966</v>
      </c>
    </row>
    <row r="259" spans="1:12" x14ac:dyDescent="0.15">
      <c r="A259" s="3">
        <f>DATE(1981,5,1)</f>
        <v>29707</v>
      </c>
      <c r="B259" s="4">
        <v>0.1852</v>
      </c>
      <c r="C259" s="6">
        <f t="shared" si="12"/>
        <v>0.13882301297814542</v>
      </c>
      <c r="G259" s="3">
        <v>29707</v>
      </c>
      <c r="H259" s="4">
        <v>0.1852</v>
      </c>
      <c r="I259" s="6">
        <v>0.13882301297814542</v>
      </c>
      <c r="J259" s="6">
        <f t="shared" si="13"/>
        <v>0.13064442724458206</v>
      </c>
      <c r="K259" s="21">
        <f t="shared" si="14"/>
        <v>2.1508249252252683E-3</v>
      </c>
      <c r="L259">
        <f t="shared" si="15"/>
        <v>25.041569666228174</v>
      </c>
    </row>
    <row r="260" spans="1:12" x14ac:dyDescent="0.15">
      <c r="A260" s="3">
        <f>DATE(1981,6,1)</f>
        <v>29738</v>
      </c>
      <c r="B260" s="4">
        <v>0.191</v>
      </c>
      <c r="C260" s="6">
        <f t="shared" si="12"/>
        <v>0.14346071168033089</v>
      </c>
      <c r="G260" s="3">
        <v>29738</v>
      </c>
      <c r="H260" s="4">
        <v>0.191</v>
      </c>
      <c r="I260" s="6">
        <v>0.14346071168033089</v>
      </c>
      <c r="J260" s="6">
        <f t="shared" si="13"/>
        <v>0.13644442724458206</v>
      </c>
      <c r="K260" s="21">
        <f t="shared" si="14"/>
        <v>2.2599839339406277E-3</v>
      </c>
      <c r="L260">
        <f t="shared" si="15"/>
        <v>24.889679748517857</v>
      </c>
    </row>
    <row r="261" spans="1:12" x14ac:dyDescent="0.15">
      <c r="A261" s="3">
        <f>DATE(1981,7,1)</f>
        <v>29768</v>
      </c>
      <c r="B261" s="4">
        <v>0.19039999999999999</v>
      </c>
      <c r="C261" s="6">
        <f t="shared" ref="C261:C324" si="16">0.1*B260+0.9*C260</f>
        <v>0.14821464051229782</v>
      </c>
      <c r="G261" s="3">
        <v>29768</v>
      </c>
      <c r="H261" s="4">
        <v>0.19039999999999999</v>
      </c>
      <c r="I261" s="6">
        <v>0.14821464051229782</v>
      </c>
      <c r="J261" s="6">
        <f t="shared" ref="J261:J324" si="17">ABS(H261-$P$6)</f>
        <v>0.13584442724458204</v>
      </c>
      <c r="K261" s="21">
        <f t="shared" ref="K261:K324" si="18">(H261-I261)^2</f>
        <v>1.7796045551066628E-3</v>
      </c>
      <c r="L261">
        <f t="shared" ref="L261:L324" si="19">ABS(I261-H261)/H261*100</f>
        <v>22.156176201524246</v>
      </c>
    </row>
    <row r="262" spans="1:12" x14ac:dyDescent="0.15">
      <c r="A262" s="3">
        <f>DATE(1981,8,1)</f>
        <v>29799</v>
      </c>
      <c r="B262" s="4">
        <v>0.1782</v>
      </c>
      <c r="C262" s="6">
        <f t="shared" si="16"/>
        <v>0.15243317646106805</v>
      </c>
      <c r="G262" s="3">
        <v>29799</v>
      </c>
      <c r="H262" s="4">
        <v>0.1782</v>
      </c>
      <c r="I262" s="6">
        <v>0.15243317646106805</v>
      </c>
      <c r="J262" s="6">
        <f t="shared" si="17"/>
        <v>0.12364442724458205</v>
      </c>
      <c r="K262" s="21">
        <f t="shared" si="18"/>
        <v>6.6392919528645753E-4</v>
      </c>
      <c r="L262">
        <f t="shared" si="19"/>
        <v>14.459496935427582</v>
      </c>
    </row>
    <row r="263" spans="1:12" x14ac:dyDescent="0.15">
      <c r="A263" s="3">
        <f>DATE(1981,9,1)</f>
        <v>29830</v>
      </c>
      <c r="B263" s="4">
        <v>0.15869999999999998</v>
      </c>
      <c r="C263" s="6">
        <f t="shared" si="16"/>
        <v>0.15500985881496124</v>
      </c>
      <c r="G263" s="3">
        <v>29830</v>
      </c>
      <c r="H263" s="4">
        <v>0.15869999999999998</v>
      </c>
      <c r="I263" s="6">
        <v>0.15500985881496124</v>
      </c>
      <c r="J263" s="6">
        <f t="shared" si="17"/>
        <v>0.10414442724458203</v>
      </c>
      <c r="K263" s="21">
        <f t="shared" si="18"/>
        <v>1.3617141965519132E-5</v>
      </c>
      <c r="L263">
        <f t="shared" si="19"/>
        <v>2.3252307404150869</v>
      </c>
    </row>
    <row r="264" spans="1:12" x14ac:dyDescent="0.15">
      <c r="A264" s="3">
        <f>DATE(1981,10,1)</f>
        <v>29860</v>
      </c>
      <c r="B264" s="4">
        <v>0.15079999999999999</v>
      </c>
      <c r="C264" s="6">
        <f t="shared" si="16"/>
        <v>0.15537887293346511</v>
      </c>
      <c r="G264" s="3">
        <v>29860</v>
      </c>
      <c r="H264" s="4">
        <v>0.15079999999999999</v>
      </c>
      <c r="I264" s="6">
        <v>0.15537887293346511</v>
      </c>
      <c r="J264" s="6">
        <f t="shared" si="17"/>
        <v>9.6244427244582043E-2</v>
      </c>
      <c r="K264" s="21">
        <f t="shared" si="18"/>
        <v>2.0966077340819494E-5</v>
      </c>
      <c r="L264">
        <f t="shared" si="19"/>
        <v>3.0363878869132113</v>
      </c>
    </row>
    <row r="265" spans="1:12" x14ac:dyDescent="0.15">
      <c r="A265" s="3">
        <f>DATE(1981,11,1)</f>
        <v>29891</v>
      </c>
      <c r="B265" s="4">
        <v>0.1331</v>
      </c>
      <c r="C265" s="6">
        <f t="shared" si="16"/>
        <v>0.15492098564011861</v>
      </c>
      <c r="G265" s="3">
        <v>29891</v>
      </c>
      <c r="H265" s="4">
        <v>0.1331</v>
      </c>
      <c r="I265" s="6">
        <v>0.15492098564011861</v>
      </c>
      <c r="J265" s="6">
        <f t="shared" si="17"/>
        <v>7.8544427244582049E-2</v>
      </c>
      <c r="K265" s="21">
        <f t="shared" si="18"/>
        <v>4.7615541430626266E-4</v>
      </c>
      <c r="L265">
        <f t="shared" si="19"/>
        <v>16.3944294816819</v>
      </c>
    </row>
    <row r="266" spans="1:12" x14ac:dyDescent="0.15">
      <c r="A266" s="3">
        <f>DATE(1981,12,1)</f>
        <v>29921</v>
      </c>
      <c r="B266" s="4">
        <v>0.12369999999999999</v>
      </c>
      <c r="C266" s="6">
        <f t="shared" si="16"/>
        <v>0.15273888707610675</v>
      </c>
      <c r="G266" s="3">
        <v>29921</v>
      </c>
      <c r="H266" s="4">
        <v>0.12369999999999999</v>
      </c>
      <c r="I266" s="6">
        <v>0.15273888707610675</v>
      </c>
      <c r="J266" s="6">
        <f t="shared" si="17"/>
        <v>6.9144427244582043E-2</v>
      </c>
      <c r="K266" s="21">
        <f t="shared" si="18"/>
        <v>8.4325696261888013E-4</v>
      </c>
      <c r="L266">
        <f t="shared" si="19"/>
        <v>23.475252284645727</v>
      </c>
    </row>
    <row r="267" spans="1:12" x14ac:dyDescent="0.15">
      <c r="A267" s="3">
        <f>DATE(1982,1,1)</f>
        <v>29952</v>
      </c>
      <c r="B267" s="4">
        <v>0.13220000000000001</v>
      </c>
      <c r="C267" s="6">
        <f t="shared" si="16"/>
        <v>0.14983499836849606</v>
      </c>
      <c r="G267" s="3">
        <v>29952</v>
      </c>
      <c r="H267" s="4">
        <v>0.13220000000000001</v>
      </c>
      <c r="I267" s="6">
        <v>0.14983499836849606</v>
      </c>
      <c r="J267" s="6">
        <f t="shared" si="17"/>
        <v>7.7644427244582065E-2</v>
      </c>
      <c r="K267" s="21">
        <f t="shared" si="18"/>
        <v>3.1099316745685841E-4</v>
      </c>
      <c r="L267">
        <f t="shared" si="19"/>
        <v>13.339635679649056</v>
      </c>
    </row>
    <row r="268" spans="1:12" x14ac:dyDescent="0.15">
      <c r="A268" s="3">
        <f>DATE(1982,2,1)</f>
        <v>29983</v>
      </c>
      <c r="B268" s="4">
        <v>0.14779999999999999</v>
      </c>
      <c r="C268" s="6">
        <f t="shared" si="16"/>
        <v>0.14807149853164647</v>
      </c>
      <c r="G268" s="3">
        <v>29983</v>
      </c>
      <c r="H268" s="4">
        <v>0.14779999999999999</v>
      </c>
      <c r="I268" s="6">
        <v>0.14807149853164647</v>
      </c>
      <c r="J268" s="6">
        <f t="shared" si="17"/>
        <v>9.324442724458204E-2</v>
      </c>
      <c r="K268" s="21">
        <f t="shared" si="18"/>
        <v>7.3711452686197818E-8</v>
      </c>
      <c r="L268">
        <f t="shared" si="19"/>
        <v>0.18369318785283203</v>
      </c>
    </row>
    <row r="269" spans="1:12" x14ac:dyDescent="0.15">
      <c r="A269" s="3">
        <f>DATE(1982,3,1)</f>
        <v>30011</v>
      </c>
      <c r="B269" s="4">
        <v>0.14679999999999999</v>
      </c>
      <c r="C269" s="6">
        <f t="shared" si="16"/>
        <v>0.14804434867848182</v>
      </c>
      <c r="G269" s="3">
        <v>30011</v>
      </c>
      <c r="H269" s="4">
        <v>0.14679999999999999</v>
      </c>
      <c r="I269" s="6">
        <v>0.14804434867848182</v>
      </c>
      <c r="J269" s="6">
        <f t="shared" si="17"/>
        <v>9.2244427244582039E-2</v>
      </c>
      <c r="K269" s="21">
        <f t="shared" si="18"/>
        <v>1.548403633639483E-6</v>
      </c>
      <c r="L269">
        <f t="shared" si="19"/>
        <v>0.84764896354348263</v>
      </c>
    </row>
    <row r="270" spans="1:12" x14ac:dyDescent="0.15">
      <c r="A270" s="3">
        <f>DATE(1982,4,1)</f>
        <v>30042</v>
      </c>
      <c r="B270" s="4">
        <v>0.14940000000000001</v>
      </c>
      <c r="C270" s="6">
        <f t="shared" si="16"/>
        <v>0.14791991381063363</v>
      </c>
      <c r="G270" s="3">
        <v>30042</v>
      </c>
      <c r="H270" s="4">
        <v>0.14940000000000001</v>
      </c>
      <c r="I270" s="6">
        <v>0.14791991381063363</v>
      </c>
      <c r="J270" s="6">
        <f t="shared" si="17"/>
        <v>9.4844427244582058E-2</v>
      </c>
      <c r="K270" s="21">
        <f t="shared" si="18"/>
        <v>2.1906551279530777E-6</v>
      </c>
      <c r="L270">
        <f t="shared" si="19"/>
        <v>0.99068687373920705</v>
      </c>
    </row>
    <row r="271" spans="1:12" x14ac:dyDescent="0.15">
      <c r="A271" s="3">
        <f>DATE(1982,5,1)</f>
        <v>30072</v>
      </c>
      <c r="B271" s="4">
        <v>0.14449999999999999</v>
      </c>
      <c r="C271" s="6">
        <f t="shared" si="16"/>
        <v>0.14806792242957029</v>
      </c>
      <c r="G271" s="3">
        <v>30072</v>
      </c>
      <c r="H271" s="4">
        <v>0.14449999999999999</v>
      </c>
      <c r="I271" s="6">
        <v>0.14806792242957029</v>
      </c>
      <c r="J271" s="6">
        <f t="shared" si="17"/>
        <v>8.9944427244582043E-2</v>
      </c>
      <c r="K271" s="21">
        <f t="shared" si="18"/>
        <v>1.2730070463430812E-5</v>
      </c>
      <c r="L271">
        <f t="shared" si="19"/>
        <v>2.4691504702908635</v>
      </c>
    </row>
    <row r="272" spans="1:12" x14ac:dyDescent="0.15">
      <c r="A272" s="3">
        <f>DATE(1982,6,1)</f>
        <v>30103</v>
      </c>
      <c r="B272" s="4">
        <v>0.14150000000000001</v>
      </c>
      <c r="C272" s="6">
        <f t="shared" si="16"/>
        <v>0.14771113018661325</v>
      </c>
      <c r="G272" s="3">
        <v>30103</v>
      </c>
      <c r="H272" s="4">
        <v>0.14150000000000001</v>
      </c>
      <c r="I272" s="6">
        <v>0.14771113018661325</v>
      </c>
      <c r="J272" s="6">
        <f t="shared" si="17"/>
        <v>8.6944427244582068E-2</v>
      </c>
      <c r="K272" s="21">
        <f t="shared" si="18"/>
        <v>3.8578138195058149E-5</v>
      </c>
      <c r="L272">
        <f t="shared" si="19"/>
        <v>4.3894912979598821</v>
      </c>
    </row>
    <row r="273" spans="1:12" x14ac:dyDescent="0.15">
      <c r="A273" s="3">
        <f>DATE(1982,7,1)</f>
        <v>30133</v>
      </c>
      <c r="B273" s="4">
        <v>0.12590000000000001</v>
      </c>
      <c r="C273" s="6">
        <f t="shared" si="16"/>
        <v>0.14709001716795192</v>
      </c>
      <c r="G273" s="3">
        <v>30133</v>
      </c>
      <c r="H273" s="4">
        <v>0.12590000000000001</v>
      </c>
      <c r="I273" s="6">
        <v>0.14709001716795192</v>
      </c>
      <c r="J273" s="6">
        <f t="shared" si="17"/>
        <v>7.1344427244582065E-2</v>
      </c>
      <c r="K273" s="21">
        <f t="shared" si="18"/>
        <v>4.490168275780966E-4</v>
      </c>
      <c r="L273">
        <f t="shared" si="19"/>
        <v>16.830831745791823</v>
      </c>
    </row>
    <row r="274" spans="1:12" x14ac:dyDescent="0.15">
      <c r="A274" s="3">
        <f>DATE(1982,8,1)</f>
        <v>30164</v>
      </c>
      <c r="B274" s="4">
        <v>0.1012</v>
      </c>
      <c r="C274" s="6">
        <f t="shared" si="16"/>
        <v>0.14497101545115673</v>
      </c>
      <c r="G274" s="3">
        <v>30164</v>
      </c>
      <c r="H274" s="4">
        <v>0.1012</v>
      </c>
      <c r="I274" s="6">
        <v>0.14497101545115673</v>
      </c>
      <c r="J274" s="6">
        <f t="shared" si="17"/>
        <v>4.6644427244582051E-2</v>
      </c>
      <c r="K274" s="21">
        <f t="shared" si="18"/>
        <v>1.9159017936254015E-3</v>
      </c>
      <c r="L274">
        <f t="shared" si="19"/>
        <v>43.25199155252642</v>
      </c>
    </row>
    <row r="275" spans="1:12" x14ac:dyDescent="0.15">
      <c r="A275" s="3">
        <f>DATE(1982,9,1)</f>
        <v>30195</v>
      </c>
      <c r="B275" s="4">
        <v>0.10310000000000001</v>
      </c>
      <c r="C275" s="6">
        <f t="shared" si="16"/>
        <v>0.14059391390604106</v>
      </c>
      <c r="G275" s="3">
        <v>30195</v>
      </c>
      <c r="H275" s="4">
        <v>0.10310000000000001</v>
      </c>
      <c r="I275" s="6">
        <v>0.14059391390604106</v>
      </c>
      <c r="J275" s="6">
        <f t="shared" si="17"/>
        <v>4.8544427244582064E-2</v>
      </c>
      <c r="K275" s="21">
        <f t="shared" si="18"/>
        <v>1.4057935799936185E-3</v>
      </c>
      <c r="L275">
        <f t="shared" si="19"/>
        <v>36.366550830301698</v>
      </c>
    </row>
    <row r="276" spans="1:12" x14ac:dyDescent="0.15">
      <c r="A276" s="3">
        <f>DATE(1982,10,1)</f>
        <v>30225</v>
      </c>
      <c r="B276" s="4">
        <v>9.7100000000000006E-2</v>
      </c>
      <c r="C276" s="6">
        <f t="shared" si="16"/>
        <v>0.13684452251543697</v>
      </c>
      <c r="G276" s="3">
        <v>30225</v>
      </c>
      <c r="H276" s="4">
        <v>9.7100000000000006E-2</v>
      </c>
      <c r="I276" s="6">
        <v>0.13684452251543697</v>
      </c>
      <c r="J276" s="6">
        <f t="shared" si="17"/>
        <v>4.2544427244582059E-2</v>
      </c>
      <c r="K276" s="21">
        <f t="shared" si="18"/>
        <v>1.5796270699800757E-3</v>
      </c>
      <c r="L276">
        <f t="shared" si="19"/>
        <v>40.931537091078226</v>
      </c>
    </row>
    <row r="277" spans="1:12" x14ac:dyDescent="0.15">
      <c r="A277" s="3">
        <f>DATE(1982,11,1)</f>
        <v>30256</v>
      </c>
      <c r="B277" s="4">
        <v>9.1999999999999998E-2</v>
      </c>
      <c r="C277" s="6">
        <f t="shared" si="16"/>
        <v>0.13287007026389328</v>
      </c>
      <c r="G277" s="3">
        <v>30256</v>
      </c>
      <c r="H277" s="4">
        <v>9.1999999999999998E-2</v>
      </c>
      <c r="I277" s="6">
        <v>0.13287007026389328</v>
      </c>
      <c r="J277" s="6">
        <f t="shared" si="17"/>
        <v>3.7444427244582051E-2</v>
      </c>
      <c r="K277" s="21">
        <f t="shared" si="18"/>
        <v>1.6703626433755734E-3</v>
      </c>
      <c r="L277">
        <f t="shared" si="19"/>
        <v>44.423989417275301</v>
      </c>
    </row>
    <row r="278" spans="1:12" x14ac:dyDescent="0.15">
      <c r="A278" s="3">
        <f>DATE(1982,12,1)</f>
        <v>30286</v>
      </c>
      <c r="B278" s="4">
        <v>8.9499999999999996E-2</v>
      </c>
      <c r="C278" s="6">
        <f t="shared" si="16"/>
        <v>0.12878306323750394</v>
      </c>
      <c r="G278" s="3">
        <v>30286</v>
      </c>
      <c r="H278" s="4">
        <v>8.9499999999999996E-2</v>
      </c>
      <c r="I278" s="6">
        <v>0.12878306323750394</v>
      </c>
      <c r="J278" s="6">
        <f t="shared" si="17"/>
        <v>3.4944427244582049E-2</v>
      </c>
      <c r="K278" s="21">
        <f t="shared" si="18"/>
        <v>1.5431590573217336E-3</v>
      </c>
      <c r="L278">
        <f t="shared" si="19"/>
        <v>43.891690768160828</v>
      </c>
    </row>
    <row r="279" spans="1:12" x14ac:dyDescent="0.15">
      <c r="A279" s="3">
        <f>DATE(1983,1,1)</f>
        <v>30317</v>
      </c>
      <c r="B279" s="4">
        <v>8.6800000000000002E-2</v>
      </c>
      <c r="C279" s="6">
        <f t="shared" si="16"/>
        <v>0.12485475691375354</v>
      </c>
      <c r="G279" s="3">
        <v>30317</v>
      </c>
      <c r="H279" s="4">
        <v>8.6800000000000002E-2</v>
      </c>
      <c r="I279" s="6">
        <v>0.12485475691375354</v>
      </c>
      <c r="J279" s="6">
        <f t="shared" si="17"/>
        <v>3.2244427244582055E-2</v>
      </c>
      <c r="K279" s="21">
        <f t="shared" si="18"/>
        <v>1.4481645237648729E-3</v>
      </c>
      <c r="L279">
        <f t="shared" si="19"/>
        <v>43.841885845338183</v>
      </c>
    </row>
    <row r="280" spans="1:12" x14ac:dyDescent="0.15">
      <c r="A280" s="3">
        <f>DATE(1983,2,1)</f>
        <v>30348</v>
      </c>
      <c r="B280" s="4">
        <v>8.5099999999999995E-2</v>
      </c>
      <c r="C280" s="6">
        <f t="shared" si="16"/>
        <v>0.12104928122237818</v>
      </c>
      <c r="G280" s="3">
        <v>30348</v>
      </c>
      <c r="H280" s="4">
        <v>8.5099999999999995E-2</v>
      </c>
      <c r="I280" s="6">
        <v>0.12104928122237818</v>
      </c>
      <c r="J280" s="6">
        <f t="shared" si="17"/>
        <v>3.0544427244582048E-2</v>
      </c>
      <c r="K280" s="21">
        <f t="shared" si="18"/>
        <v>1.2923508204056328E-3</v>
      </c>
      <c r="L280">
        <f t="shared" si="19"/>
        <v>42.243573704322195</v>
      </c>
    </row>
    <row r="281" spans="1:12" x14ac:dyDescent="0.15">
      <c r="A281" s="3">
        <f>DATE(1983,3,1)</f>
        <v>30376</v>
      </c>
      <c r="B281" s="4">
        <v>8.77E-2</v>
      </c>
      <c r="C281" s="6">
        <f t="shared" si="16"/>
        <v>0.11745435310014037</v>
      </c>
      <c r="G281" s="3">
        <v>30376</v>
      </c>
      <c r="H281" s="4">
        <v>8.77E-2</v>
      </c>
      <c r="I281" s="6">
        <v>0.11745435310014037</v>
      </c>
      <c r="J281" s="6">
        <f t="shared" si="17"/>
        <v>3.3144427244582053E-2</v>
      </c>
      <c r="K281" s="21">
        <f t="shared" si="18"/>
        <v>8.8532152840783257E-4</v>
      </c>
      <c r="L281">
        <f t="shared" si="19"/>
        <v>33.927426568004975</v>
      </c>
    </row>
    <row r="282" spans="1:12" x14ac:dyDescent="0.15">
      <c r="A282" s="3">
        <f>DATE(1983,4,1)</f>
        <v>30407</v>
      </c>
      <c r="B282" s="4">
        <v>8.8000000000000009E-2</v>
      </c>
      <c r="C282" s="6">
        <f t="shared" si="16"/>
        <v>0.11447891779012632</v>
      </c>
      <c r="G282" s="3">
        <v>30407</v>
      </c>
      <c r="H282" s="4">
        <v>8.8000000000000009E-2</v>
      </c>
      <c r="I282" s="6">
        <v>0.11447891779012632</v>
      </c>
      <c r="J282" s="6">
        <f t="shared" si="17"/>
        <v>3.3444427244582062E-2</v>
      </c>
      <c r="K282" s="21">
        <f t="shared" si="18"/>
        <v>7.0113308733626793E-4</v>
      </c>
      <c r="L282">
        <f t="shared" si="19"/>
        <v>30.08967930696172</v>
      </c>
    </row>
    <row r="283" spans="1:12" x14ac:dyDescent="0.15">
      <c r="A283" s="3">
        <f>DATE(1983,5,1)</f>
        <v>30437</v>
      </c>
      <c r="B283" s="4">
        <v>8.6300000000000002E-2</v>
      </c>
      <c r="C283" s="6">
        <f t="shared" si="16"/>
        <v>0.11183102601111369</v>
      </c>
      <c r="G283" s="3">
        <v>30437</v>
      </c>
      <c r="H283" s="4">
        <v>8.6300000000000002E-2</v>
      </c>
      <c r="I283" s="6">
        <v>0.11183102601111369</v>
      </c>
      <c r="J283" s="6">
        <f t="shared" si="17"/>
        <v>3.1744427244582055E-2</v>
      </c>
      <c r="K283" s="21">
        <f t="shared" si="18"/>
        <v>6.5183328918016386E-4</v>
      </c>
      <c r="L283">
        <f t="shared" si="19"/>
        <v>29.584039410328728</v>
      </c>
    </row>
    <row r="284" spans="1:12" x14ac:dyDescent="0.15">
      <c r="A284" s="3">
        <f>DATE(1983,6,1)</f>
        <v>30468</v>
      </c>
      <c r="B284" s="4">
        <v>8.9800000000000005E-2</v>
      </c>
      <c r="C284" s="6">
        <f t="shared" si="16"/>
        <v>0.10927792341000232</v>
      </c>
      <c r="G284" s="3">
        <v>30468</v>
      </c>
      <c r="H284" s="4">
        <v>8.9800000000000005E-2</v>
      </c>
      <c r="I284" s="6">
        <v>0.10927792341000232</v>
      </c>
      <c r="J284" s="6">
        <f t="shared" si="17"/>
        <v>3.5244427244582058E-2</v>
      </c>
      <c r="K284" s="21">
        <f t="shared" si="18"/>
        <v>3.7938950036591634E-4</v>
      </c>
      <c r="L284">
        <f t="shared" si="19"/>
        <v>21.690337873053807</v>
      </c>
    </row>
    <row r="285" spans="1:12" x14ac:dyDescent="0.15">
      <c r="A285" s="3">
        <f>DATE(1983,7,1)</f>
        <v>30498</v>
      </c>
      <c r="B285" s="4">
        <v>9.3699999999999992E-2</v>
      </c>
      <c r="C285" s="6">
        <f t="shared" si="16"/>
        <v>0.10733013106900209</v>
      </c>
      <c r="G285" s="3">
        <v>30498</v>
      </c>
      <c r="H285" s="4">
        <v>9.3699999999999992E-2</v>
      </c>
      <c r="I285" s="6">
        <v>0.10733013106900209</v>
      </c>
      <c r="J285" s="6">
        <f t="shared" si="17"/>
        <v>3.9144427244582045E-2</v>
      </c>
      <c r="K285" s="21">
        <f t="shared" si="18"/>
        <v>1.8578047295817631E-4</v>
      </c>
      <c r="L285">
        <f t="shared" si="19"/>
        <v>14.546564641410994</v>
      </c>
    </row>
    <row r="286" spans="1:12" x14ac:dyDescent="0.15">
      <c r="A286" s="3">
        <f>DATE(1983,8,1)</f>
        <v>30529</v>
      </c>
      <c r="B286" s="4">
        <v>9.5600000000000004E-2</v>
      </c>
      <c r="C286" s="6">
        <f t="shared" si="16"/>
        <v>0.10596711796210188</v>
      </c>
      <c r="G286" s="3">
        <v>30529</v>
      </c>
      <c r="H286" s="4">
        <v>9.5600000000000004E-2</v>
      </c>
      <c r="I286" s="6">
        <v>0.10596711796210188</v>
      </c>
      <c r="J286" s="6">
        <f t="shared" si="17"/>
        <v>4.1044427244582057E-2</v>
      </c>
      <c r="K286" s="21">
        <f t="shared" si="18"/>
        <v>1.0747713484013542E-4</v>
      </c>
      <c r="L286">
        <f t="shared" si="19"/>
        <v>10.844265650734183</v>
      </c>
    </row>
    <row r="287" spans="1:12" x14ac:dyDescent="0.15">
      <c r="A287" s="3">
        <f>DATE(1983,9,1)</f>
        <v>30560</v>
      </c>
      <c r="B287" s="4">
        <v>9.4499999999999987E-2</v>
      </c>
      <c r="C287" s="6">
        <f t="shared" si="16"/>
        <v>0.10493040616589169</v>
      </c>
      <c r="G287" s="3">
        <v>30560</v>
      </c>
      <c r="H287" s="4">
        <v>9.4499999999999987E-2</v>
      </c>
      <c r="I287" s="6">
        <v>0.10493040616589169</v>
      </c>
      <c r="J287" s="6">
        <f t="shared" si="17"/>
        <v>3.994442724458204E-2</v>
      </c>
      <c r="K287" s="21">
        <f t="shared" si="18"/>
        <v>1.0879337278547172E-4</v>
      </c>
      <c r="L287">
        <f t="shared" si="19"/>
        <v>11.037466842213448</v>
      </c>
    </row>
    <row r="288" spans="1:12" x14ac:dyDescent="0.15">
      <c r="A288" s="3">
        <f>DATE(1983,10,1)</f>
        <v>30590</v>
      </c>
      <c r="B288" s="4">
        <v>9.4800000000000009E-2</v>
      </c>
      <c r="C288" s="6">
        <f t="shared" si="16"/>
        <v>0.10388736554930253</v>
      </c>
      <c r="G288" s="3">
        <v>30590</v>
      </c>
      <c r="H288" s="4">
        <v>9.4800000000000009E-2</v>
      </c>
      <c r="I288" s="6">
        <v>0.10388736554930253</v>
      </c>
      <c r="J288" s="6">
        <f t="shared" si="17"/>
        <v>4.0244427244582062E-2</v>
      </c>
      <c r="K288" s="21">
        <f t="shared" si="18"/>
        <v>8.2580212626650294E-5</v>
      </c>
      <c r="L288">
        <f t="shared" si="19"/>
        <v>9.5858286385047684</v>
      </c>
    </row>
    <row r="289" spans="1:12" x14ac:dyDescent="0.15">
      <c r="A289" s="3">
        <f>DATE(1983,11,1)</f>
        <v>30621</v>
      </c>
      <c r="B289" s="4">
        <v>9.3399999999999997E-2</v>
      </c>
      <c r="C289" s="6">
        <f t="shared" si="16"/>
        <v>0.10297862899437228</v>
      </c>
      <c r="G289" s="3">
        <v>30621</v>
      </c>
      <c r="H289" s="4">
        <v>9.3399999999999997E-2</v>
      </c>
      <c r="I289" s="6">
        <v>0.10297862899437228</v>
      </c>
      <c r="J289" s="6">
        <f t="shared" si="17"/>
        <v>3.884442724458205E-2</v>
      </c>
      <c r="K289" s="21">
        <f t="shared" si="18"/>
        <v>9.1750133411829402E-5</v>
      </c>
      <c r="L289">
        <f t="shared" si="19"/>
        <v>10.255491428664117</v>
      </c>
    </row>
    <row r="290" spans="1:12" x14ac:dyDescent="0.15">
      <c r="A290" s="3">
        <f>DATE(1983,12,1)</f>
        <v>30651</v>
      </c>
      <c r="B290" s="4">
        <v>9.4700000000000006E-2</v>
      </c>
      <c r="C290" s="6">
        <f t="shared" si="16"/>
        <v>0.10202076609493506</v>
      </c>
      <c r="G290" s="3">
        <v>30651</v>
      </c>
      <c r="H290" s="4">
        <v>9.4700000000000006E-2</v>
      </c>
      <c r="I290" s="6">
        <v>0.10202076609493506</v>
      </c>
      <c r="J290" s="6">
        <f t="shared" si="17"/>
        <v>4.0144427244582059E-2</v>
      </c>
      <c r="K290" s="21">
        <f t="shared" si="18"/>
        <v>5.3593616216750614E-5</v>
      </c>
      <c r="L290">
        <f t="shared" si="19"/>
        <v>7.7304816208395479</v>
      </c>
    </row>
    <row r="291" spans="1:12" x14ac:dyDescent="0.15">
      <c r="A291" s="3">
        <f>DATE(1984,1,1)</f>
        <v>30682</v>
      </c>
      <c r="B291" s="4">
        <v>9.5600000000000004E-2</v>
      </c>
      <c r="C291" s="6">
        <f t="shared" si="16"/>
        <v>0.10128868948544156</v>
      </c>
      <c r="G291" s="3">
        <v>30682</v>
      </c>
      <c r="H291" s="4">
        <v>9.5600000000000004E-2</v>
      </c>
      <c r="I291" s="6">
        <v>0.10128868948544156</v>
      </c>
      <c r="J291" s="6">
        <f t="shared" si="17"/>
        <v>4.1044427244582057E-2</v>
      </c>
      <c r="K291" s="21">
        <f t="shared" si="18"/>
        <v>3.2361188061773345E-5</v>
      </c>
      <c r="L291">
        <f t="shared" si="19"/>
        <v>5.950512014060207</v>
      </c>
    </row>
    <row r="292" spans="1:12" x14ac:dyDescent="0.15">
      <c r="A292" s="3">
        <f>DATE(1984,2,1)</f>
        <v>30713</v>
      </c>
      <c r="B292" s="4">
        <v>9.5899999999999999E-2</v>
      </c>
      <c r="C292" s="6">
        <f t="shared" si="16"/>
        <v>0.1007198205368974</v>
      </c>
      <c r="G292" s="3">
        <v>30713</v>
      </c>
      <c r="H292" s="4">
        <v>9.5899999999999999E-2</v>
      </c>
      <c r="I292" s="6">
        <v>0.1007198205368974</v>
      </c>
      <c r="J292" s="6">
        <f t="shared" si="17"/>
        <v>4.1344427244582052E-2</v>
      </c>
      <c r="K292" s="21">
        <f t="shared" si="18"/>
        <v>2.3230670007897978E-5</v>
      </c>
      <c r="L292">
        <f t="shared" si="19"/>
        <v>5.0258816860244044</v>
      </c>
    </row>
    <row r="293" spans="1:12" x14ac:dyDescent="0.15">
      <c r="A293" s="3">
        <f>DATE(1984,3,1)</f>
        <v>30742</v>
      </c>
      <c r="B293" s="4">
        <v>9.9100000000000008E-2</v>
      </c>
      <c r="C293" s="6">
        <f t="shared" si="16"/>
        <v>0.10023783848320766</v>
      </c>
      <c r="G293" s="3">
        <v>30742</v>
      </c>
      <c r="H293" s="4">
        <v>9.9100000000000008E-2</v>
      </c>
      <c r="I293" s="6">
        <v>0.10023783848320766</v>
      </c>
      <c r="J293" s="6">
        <f t="shared" si="17"/>
        <v>4.454442724458206E-2</v>
      </c>
      <c r="K293" s="21">
        <f t="shared" si="18"/>
        <v>1.2946764138683006E-6</v>
      </c>
      <c r="L293">
        <f t="shared" si="19"/>
        <v>1.1481720314910762</v>
      </c>
    </row>
    <row r="294" spans="1:12" x14ac:dyDescent="0.15">
      <c r="A294" s="3">
        <f>DATE(1984,4,1)</f>
        <v>30773</v>
      </c>
      <c r="B294" s="4">
        <v>0.10289999999999999</v>
      </c>
      <c r="C294" s="6">
        <f t="shared" si="16"/>
        <v>0.1001240546348869</v>
      </c>
      <c r="G294" s="3">
        <v>30773</v>
      </c>
      <c r="H294" s="4">
        <v>0.10289999999999999</v>
      </c>
      <c r="I294" s="6">
        <v>0.1001240546348869</v>
      </c>
      <c r="J294" s="6">
        <f t="shared" si="17"/>
        <v>4.8344427244582044E-2</v>
      </c>
      <c r="K294" s="21">
        <f t="shared" si="18"/>
        <v>7.7058726700928708E-6</v>
      </c>
      <c r="L294">
        <f t="shared" si="19"/>
        <v>2.697711725085612</v>
      </c>
    </row>
    <row r="295" spans="1:12" x14ac:dyDescent="0.15">
      <c r="A295" s="3">
        <f>DATE(1984,5,1)</f>
        <v>30803</v>
      </c>
      <c r="B295" s="4">
        <v>0.1032</v>
      </c>
      <c r="C295" s="6">
        <f t="shared" si="16"/>
        <v>0.10040164917139821</v>
      </c>
      <c r="G295" s="3">
        <v>30803</v>
      </c>
      <c r="H295" s="4">
        <v>0.1032</v>
      </c>
      <c r="I295" s="6">
        <v>0.10040164917139821</v>
      </c>
      <c r="J295" s="6">
        <f t="shared" si="17"/>
        <v>4.8644427244582053E-2</v>
      </c>
      <c r="K295" s="21">
        <f t="shared" si="18"/>
        <v>7.8307673599363216E-6</v>
      </c>
      <c r="L295">
        <f t="shared" si="19"/>
        <v>2.7115802602730517</v>
      </c>
    </row>
    <row r="296" spans="1:12" x14ac:dyDescent="0.15">
      <c r="A296" s="3">
        <f>DATE(1984,6,1)</f>
        <v>30834</v>
      </c>
      <c r="B296" s="4">
        <v>0.1106</v>
      </c>
      <c r="C296" s="6">
        <f t="shared" si="16"/>
        <v>0.10068148425425839</v>
      </c>
      <c r="G296" s="3">
        <v>30834</v>
      </c>
      <c r="H296" s="4">
        <v>0.1106</v>
      </c>
      <c r="I296" s="6">
        <v>0.10068148425425839</v>
      </c>
      <c r="J296" s="6">
        <f t="shared" si="17"/>
        <v>5.6044427244582057E-2</v>
      </c>
      <c r="K296" s="21">
        <f t="shared" si="18"/>
        <v>9.8376954598524246E-5</v>
      </c>
      <c r="L296">
        <f t="shared" si="19"/>
        <v>8.9679165874698104</v>
      </c>
    </row>
    <row r="297" spans="1:12" x14ac:dyDescent="0.15">
      <c r="A297" s="3">
        <f>DATE(1984,7,1)</f>
        <v>30864</v>
      </c>
      <c r="B297" s="4">
        <v>0.11230000000000001</v>
      </c>
      <c r="C297" s="6">
        <f t="shared" si="16"/>
        <v>0.10167333582883256</v>
      </c>
      <c r="G297" s="3">
        <v>30864</v>
      </c>
      <c r="H297" s="4">
        <v>0.11230000000000001</v>
      </c>
      <c r="I297" s="6">
        <v>0.10167333582883256</v>
      </c>
      <c r="J297" s="6">
        <f t="shared" si="17"/>
        <v>5.7744427244582064E-2</v>
      </c>
      <c r="K297" s="21">
        <f t="shared" si="18"/>
        <v>1.1292599140677397E-4</v>
      </c>
      <c r="L297">
        <f t="shared" si="19"/>
        <v>9.4627463679140238</v>
      </c>
    </row>
    <row r="298" spans="1:12" x14ac:dyDescent="0.15">
      <c r="A298" s="3">
        <f>DATE(1984,8,1)</f>
        <v>30895</v>
      </c>
      <c r="B298" s="4">
        <v>0.1164</v>
      </c>
      <c r="C298" s="6">
        <f t="shared" si="16"/>
        <v>0.10273600224594931</v>
      </c>
      <c r="G298" s="3">
        <v>30895</v>
      </c>
      <c r="H298" s="4">
        <v>0.1164</v>
      </c>
      <c r="I298" s="6">
        <v>0.10273600224594931</v>
      </c>
      <c r="J298" s="6">
        <f t="shared" si="17"/>
        <v>6.1844427244582056E-2</v>
      </c>
      <c r="K298" s="21">
        <f t="shared" si="18"/>
        <v>1.8670483462270241E-4</v>
      </c>
      <c r="L298">
        <f t="shared" si="19"/>
        <v>11.738829685610561</v>
      </c>
    </row>
    <row r="299" spans="1:12" x14ac:dyDescent="0.15">
      <c r="A299" s="3">
        <f>DATE(1984,9,1)</f>
        <v>30926</v>
      </c>
      <c r="B299" s="4">
        <v>0.113</v>
      </c>
      <c r="C299" s="6">
        <f t="shared" si="16"/>
        <v>0.10410240202135437</v>
      </c>
      <c r="G299" s="3">
        <v>30926</v>
      </c>
      <c r="H299" s="4">
        <v>0.113</v>
      </c>
      <c r="I299" s="6">
        <v>0.10410240202135437</v>
      </c>
      <c r="J299" s="6">
        <f t="shared" si="17"/>
        <v>5.8444427244582056E-2</v>
      </c>
      <c r="K299" s="21">
        <f t="shared" si="18"/>
        <v>7.9167249789598805E-5</v>
      </c>
      <c r="L299">
        <f t="shared" si="19"/>
        <v>7.8739805120757786</v>
      </c>
    </row>
    <row r="300" spans="1:12" x14ac:dyDescent="0.15">
      <c r="A300" s="3">
        <f>DATE(1984,10,1)</f>
        <v>30956</v>
      </c>
      <c r="B300" s="4">
        <v>9.9900000000000003E-2</v>
      </c>
      <c r="C300" s="6">
        <f t="shared" si="16"/>
        <v>0.10499216181921894</v>
      </c>
      <c r="G300" s="3">
        <v>30956</v>
      </c>
      <c r="H300" s="4">
        <v>9.9900000000000003E-2</v>
      </c>
      <c r="I300" s="6">
        <v>0.10499216181921894</v>
      </c>
      <c r="J300" s="6">
        <f t="shared" si="17"/>
        <v>4.5344427244582056E-2</v>
      </c>
      <c r="K300" s="21">
        <f t="shared" si="18"/>
        <v>2.5930111993111149E-5</v>
      </c>
      <c r="L300">
        <f t="shared" si="19"/>
        <v>5.0972590782972382</v>
      </c>
    </row>
    <row r="301" spans="1:12" x14ac:dyDescent="0.15">
      <c r="A301" s="3">
        <f>DATE(1984,11,1)</f>
        <v>30987</v>
      </c>
      <c r="B301" s="4">
        <v>9.4299999999999995E-2</v>
      </c>
      <c r="C301" s="6">
        <f t="shared" si="16"/>
        <v>0.10448294563729706</v>
      </c>
      <c r="G301" s="3">
        <v>30987</v>
      </c>
      <c r="H301" s="4">
        <v>9.4299999999999995E-2</v>
      </c>
      <c r="I301" s="6">
        <v>0.10448294563729706</v>
      </c>
      <c r="J301" s="6">
        <f t="shared" si="17"/>
        <v>3.9744427244582048E-2</v>
      </c>
      <c r="K301" s="21">
        <f t="shared" si="18"/>
        <v>1.0369238185214726E-4</v>
      </c>
      <c r="L301">
        <f t="shared" si="19"/>
        <v>10.798457727780553</v>
      </c>
    </row>
    <row r="302" spans="1:12" x14ac:dyDescent="0.15">
      <c r="A302" s="3">
        <f>DATE(1984,12,1)</f>
        <v>31017</v>
      </c>
      <c r="B302" s="4">
        <v>8.3800000000000013E-2</v>
      </c>
      <c r="C302" s="6">
        <f t="shared" si="16"/>
        <v>0.10346465107356737</v>
      </c>
      <c r="G302" s="3">
        <v>31017</v>
      </c>
      <c r="H302" s="4">
        <v>8.3800000000000013E-2</v>
      </c>
      <c r="I302" s="6">
        <v>0.10346465107356737</v>
      </c>
      <c r="J302" s="6">
        <f t="shared" si="17"/>
        <v>2.9244427244582066E-2</v>
      </c>
      <c r="K302" s="21">
        <f t="shared" si="18"/>
        <v>3.8669850184515358E-4</v>
      </c>
      <c r="L302">
        <f t="shared" si="19"/>
        <v>23.466170732180608</v>
      </c>
    </row>
    <row r="303" spans="1:12" x14ac:dyDescent="0.15">
      <c r="A303" s="3">
        <f>DATE(1985,1,1)</f>
        <v>31048</v>
      </c>
      <c r="B303" s="4">
        <v>8.3499999999999991E-2</v>
      </c>
      <c r="C303" s="6">
        <f t="shared" si="16"/>
        <v>0.10149818596621063</v>
      </c>
      <c r="G303" s="3">
        <v>31048</v>
      </c>
      <c r="H303" s="4">
        <v>8.3499999999999991E-2</v>
      </c>
      <c r="I303" s="6">
        <v>0.10149818596621063</v>
      </c>
      <c r="J303" s="6">
        <f t="shared" si="17"/>
        <v>2.8944427244582044E-2</v>
      </c>
      <c r="K303" s="21">
        <f t="shared" si="18"/>
        <v>3.239346980743016E-4</v>
      </c>
      <c r="L303">
        <f t="shared" si="19"/>
        <v>21.554713731988791</v>
      </c>
    </row>
    <row r="304" spans="1:12" x14ac:dyDescent="0.15">
      <c r="A304" s="3">
        <f>DATE(1985,2,1)</f>
        <v>31079</v>
      </c>
      <c r="B304" s="4">
        <v>8.5000000000000006E-2</v>
      </c>
      <c r="C304" s="6">
        <f t="shared" si="16"/>
        <v>9.9698367369589563E-2</v>
      </c>
      <c r="G304" s="3">
        <v>31079</v>
      </c>
      <c r="H304" s="4">
        <v>8.5000000000000006E-2</v>
      </c>
      <c r="I304" s="6">
        <v>9.9698367369589563E-2</v>
      </c>
      <c r="J304" s="6">
        <f t="shared" si="17"/>
        <v>3.0444427244582059E-2</v>
      </c>
      <c r="K304" s="21">
        <f t="shared" si="18"/>
        <v>2.1604200333141503E-4</v>
      </c>
      <c r="L304">
        <f t="shared" si="19"/>
        <v>17.292196905399479</v>
      </c>
    </row>
    <row r="305" spans="1:12" x14ac:dyDescent="0.15">
      <c r="A305" s="3">
        <f>DATE(1985,3,1)</f>
        <v>31107</v>
      </c>
      <c r="B305" s="4">
        <v>8.5800000000000001E-2</v>
      </c>
      <c r="C305" s="6">
        <f t="shared" si="16"/>
        <v>9.8228530632630623E-2</v>
      </c>
      <c r="G305" s="3">
        <v>31107</v>
      </c>
      <c r="H305" s="4">
        <v>8.5800000000000001E-2</v>
      </c>
      <c r="I305" s="6">
        <v>9.8228530632630623E-2</v>
      </c>
      <c r="J305" s="6">
        <f t="shared" si="17"/>
        <v>3.1244427244582054E-2</v>
      </c>
      <c r="K305" s="21">
        <f t="shared" si="18"/>
        <v>1.5446837368623771E-4</v>
      </c>
      <c r="L305">
        <f t="shared" si="19"/>
        <v>14.485466937797927</v>
      </c>
    </row>
    <row r="306" spans="1:12" x14ac:dyDescent="0.15">
      <c r="A306" s="3">
        <f>DATE(1985,4,1)</f>
        <v>31138</v>
      </c>
      <c r="B306" s="4">
        <v>8.2699999999999996E-2</v>
      </c>
      <c r="C306" s="6">
        <f t="shared" si="16"/>
        <v>9.6985677569367573E-2</v>
      </c>
      <c r="G306" s="3">
        <v>31138</v>
      </c>
      <c r="H306" s="4">
        <v>8.2699999999999996E-2</v>
      </c>
      <c r="I306" s="6">
        <v>9.6985677569367573E-2</v>
      </c>
      <c r="J306" s="6">
        <f t="shared" si="17"/>
        <v>2.8144427244582049E-2</v>
      </c>
      <c r="K306" s="21">
        <f t="shared" si="18"/>
        <v>2.0408058361593193E-4</v>
      </c>
      <c r="L306">
        <f t="shared" si="19"/>
        <v>17.274096214471076</v>
      </c>
    </row>
    <row r="307" spans="1:12" x14ac:dyDescent="0.15">
      <c r="A307" s="3">
        <f>DATE(1985,5,1)</f>
        <v>31168</v>
      </c>
      <c r="B307" s="4">
        <v>7.9699999999999993E-2</v>
      </c>
      <c r="C307" s="6">
        <f t="shared" si="16"/>
        <v>9.5557109812430818E-2</v>
      </c>
      <c r="G307" s="3">
        <v>31168</v>
      </c>
      <c r="H307" s="4">
        <v>7.9699999999999993E-2</v>
      </c>
      <c r="I307" s="6">
        <v>9.5557109812430818E-2</v>
      </c>
      <c r="J307" s="6">
        <f t="shared" si="17"/>
        <v>2.5144427244582046E-2</v>
      </c>
      <c r="K307" s="21">
        <f t="shared" si="18"/>
        <v>2.5144793160348996E-4</v>
      </c>
      <c r="L307">
        <f t="shared" si="19"/>
        <v>19.895997255245703</v>
      </c>
    </row>
    <row r="308" spans="1:12" x14ac:dyDescent="0.15">
      <c r="A308" s="3">
        <f>DATE(1985,6,1)</f>
        <v>31199</v>
      </c>
      <c r="B308" s="4">
        <v>7.5300000000000006E-2</v>
      </c>
      <c r="C308" s="6">
        <f t="shared" si="16"/>
        <v>9.3971398831187741E-2</v>
      </c>
      <c r="G308" s="3">
        <v>31199</v>
      </c>
      <c r="H308" s="4">
        <v>7.5300000000000006E-2</v>
      </c>
      <c r="I308" s="6">
        <v>9.3971398831187741E-2</v>
      </c>
      <c r="J308" s="6">
        <f t="shared" si="17"/>
        <v>2.0744427244582059E-2</v>
      </c>
      <c r="K308" s="21">
        <f t="shared" si="18"/>
        <v>3.4862113431327873E-4</v>
      </c>
      <c r="L308">
        <f t="shared" si="19"/>
        <v>24.796014384047453</v>
      </c>
    </row>
    <row r="309" spans="1:12" x14ac:dyDescent="0.15">
      <c r="A309" s="3">
        <f>DATE(1985,7,1)</f>
        <v>31229</v>
      </c>
      <c r="B309" s="4">
        <v>7.8799999999999995E-2</v>
      </c>
      <c r="C309" s="6">
        <f t="shared" si="16"/>
        <v>9.2104258948068965E-2</v>
      </c>
      <c r="G309" s="3">
        <v>31229</v>
      </c>
      <c r="H309" s="4">
        <v>7.8799999999999995E-2</v>
      </c>
      <c r="I309" s="6">
        <v>9.2104258948068965E-2</v>
      </c>
      <c r="J309" s="6">
        <f t="shared" si="17"/>
        <v>2.4244427244582048E-2</v>
      </c>
      <c r="K309" s="21">
        <f t="shared" si="18"/>
        <v>1.7700330615727327E-4</v>
      </c>
      <c r="L309">
        <f t="shared" si="19"/>
        <v>16.883577345265191</v>
      </c>
    </row>
    <row r="310" spans="1:12" x14ac:dyDescent="0.15">
      <c r="A310" s="3">
        <f>DATE(1985,8,1)</f>
        <v>31260</v>
      </c>
      <c r="B310" s="4">
        <v>7.9000000000000001E-2</v>
      </c>
      <c r="C310" s="6">
        <f t="shared" si="16"/>
        <v>9.0773833053262074E-2</v>
      </c>
      <c r="G310" s="3">
        <v>31260</v>
      </c>
      <c r="H310" s="4">
        <v>7.9000000000000001E-2</v>
      </c>
      <c r="I310" s="6">
        <v>9.0773833053262074E-2</v>
      </c>
      <c r="J310" s="6">
        <f t="shared" si="17"/>
        <v>2.4444427244582054E-2</v>
      </c>
      <c r="K310" s="21">
        <f t="shared" si="18"/>
        <v>1.3862314476608651E-4</v>
      </c>
      <c r="L310">
        <f t="shared" si="19"/>
        <v>14.903586143369713</v>
      </c>
    </row>
    <row r="311" spans="1:12" x14ac:dyDescent="0.15">
      <c r="A311" s="3">
        <f>DATE(1985,9,1)</f>
        <v>31291</v>
      </c>
      <c r="B311" s="4">
        <v>7.9199999999999993E-2</v>
      </c>
      <c r="C311" s="6">
        <f t="shared" si="16"/>
        <v>8.9596449747935875E-2</v>
      </c>
      <c r="G311" s="3">
        <v>31291</v>
      </c>
      <c r="H311" s="4">
        <v>7.9199999999999993E-2</v>
      </c>
      <c r="I311" s="6">
        <v>8.9596449747935875E-2</v>
      </c>
      <c r="J311" s="6">
        <f t="shared" si="17"/>
        <v>2.4644427244582046E-2</v>
      </c>
      <c r="K311" s="21">
        <f t="shared" si="18"/>
        <v>1.0808616736135606E-4</v>
      </c>
      <c r="L311">
        <f t="shared" si="19"/>
        <v>13.126830489818033</v>
      </c>
    </row>
    <row r="312" spans="1:12" x14ac:dyDescent="0.15">
      <c r="A312" s="3">
        <f>DATE(1985,10,1)</f>
        <v>31321</v>
      </c>
      <c r="B312" s="4">
        <v>7.9899999999999999E-2</v>
      </c>
      <c r="C312" s="6">
        <f t="shared" si="16"/>
        <v>8.8556804773142289E-2</v>
      </c>
      <c r="G312" s="3">
        <v>31321</v>
      </c>
      <c r="H312" s="4">
        <v>7.9899999999999999E-2</v>
      </c>
      <c r="I312" s="6">
        <v>8.8556804773142289E-2</v>
      </c>
      <c r="J312" s="6">
        <f t="shared" si="17"/>
        <v>2.5344427244582052E-2</v>
      </c>
      <c r="K312" s="21">
        <f t="shared" si="18"/>
        <v>7.494026888029914E-5</v>
      </c>
      <c r="L312">
        <f t="shared" si="19"/>
        <v>10.83454915286895</v>
      </c>
    </row>
    <row r="313" spans="1:12" x14ac:dyDescent="0.15">
      <c r="A313" s="3">
        <f>DATE(1985,11,1)</f>
        <v>31352</v>
      </c>
      <c r="B313" s="4">
        <v>8.0500000000000002E-2</v>
      </c>
      <c r="C313" s="6">
        <f t="shared" si="16"/>
        <v>8.7691124295828066E-2</v>
      </c>
      <c r="G313" s="3">
        <v>31352</v>
      </c>
      <c r="H313" s="4">
        <v>8.0500000000000002E-2</v>
      </c>
      <c r="I313" s="6">
        <v>8.7691124295828066E-2</v>
      </c>
      <c r="J313" s="6">
        <f t="shared" si="17"/>
        <v>2.5944427244582055E-2</v>
      </c>
      <c r="K313" s="21">
        <f t="shared" si="18"/>
        <v>5.1712268638048664E-5</v>
      </c>
      <c r="L313">
        <f t="shared" si="19"/>
        <v>8.9330736594137434</v>
      </c>
    </row>
    <row r="314" spans="1:12" x14ac:dyDescent="0.15">
      <c r="A314" s="3">
        <f>DATE(1985,12,1)</f>
        <v>31382</v>
      </c>
      <c r="B314" s="4">
        <v>8.2699999999999996E-2</v>
      </c>
      <c r="C314" s="6">
        <f t="shared" si="16"/>
        <v>8.6972011866245258E-2</v>
      </c>
      <c r="G314" s="3">
        <v>31382</v>
      </c>
      <c r="H314" s="4">
        <v>8.2699999999999996E-2</v>
      </c>
      <c r="I314" s="6">
        <v>8.6972011866245258E-2</v>
      </c>
      <c r="J314" s="6">
        <f t="shared" si="17"/>
        <v>2.8144427244582049E-2</v>
      </c>
      <c r="K314" s="21">
        <f t="shared" si="18"/>
        <v>1.8250085385340328E-5</v>
      </c>
      <c r="L314">
        <f t="shared" si="19"/>
        <v>5.1656733570075728</v>
      </c>
    </row>
    <row r="315" spans="1:12" x14ac:dyDescent="0.15">
      <c r="A315" s="3">
        <f>DATE(1986,1,1)</f>
        <v>31413</v>
      </c>
      <c r="B315" s="4">
        <v>8.14E-2</v>
      </c>
      <c r="C315" s="6">
        <f t="shared" si="16"/>
        <v>8.6544810679620734E-2</v>
      </c>
      <c r="G315" s="3">
        <v>31413</v>
      </c>
      <c r="H315" s="4">
        <v>8.14E-2</v>
      </c>
      <c r="I315" s="6">
        <v>8.6544810679620734E-2</v>
      </c>
      <c r="J315" s="6">
        <f t="shared" si="17"/>
        <v>2.6844427244582053E-2</v>
      </c>
      <c r="K315" s="21">
        <f t="shared" si="18"/>
        <v>2.6469076929139562E-5</v>
      </c>
      <c r="L315">
        <f t="shared" si="19"/>
        <v>6.3204062403203132</v>
      </c>
    </row>
    <row r="316" spans="1:12" x14ac:dyDescent="0.15">
      <c r="A316" s="3">
        <f>DATE(1986,2,1)</f>
        <v>31444</v>
      </c>
      <c r="B316" s="4">
        <v>7.8600000000000003E-2</v>
      </c>
      <c r="C316" s="6">
        <f t="shared" si="16"/>
        <v>8.6030329611658657E-2</v>
      </c>
      <c r="G316" s="3">
        <v>31444</v>
      </c>
      <c r="H316" s="4">
        <v>7.8600000000000003E-2</v>
      </c>
      <c r="I316" s="6">
        <v>8.6030329611658657E-2</v>
      </c>
      <c r="J316" s="6">
        <f t="shared" si="17"/>
        <v>2.4044427244582056E-2</v>
      </c>
      <c r="K316" s="21">
        <f t="shared" si="18"/>
        <v>5.5209798137891437E-5</v>
      </c>
      <c r="L316">
        <f t="shared" si="19"/>
        <v>9.4533455619066835</v>
      </c>
    </row>
    <row r="317" spans="1:12" x14ac:dyDescent="0.15">
      <c r="A317" s="3">
        <f>DATE(1986,3,1)</f>
        <v>31472</v>
      </c>
      <c r="B317" s="4">
        <v>7.4800000000000005E-2</v>
      </c>
      <c r="C317" s="6">
        <f t="shared" si="16"/>
        <v>8.5287296650492797E-2</v>
      </c>
      <c r="G317" s="3">
        <v>31472</v>
      </c>
      <c r="H317" s="4">
        <v>7.4800000000000005E-2</v>
      </c>
      <c r="I317" s="6">
        <v>8.5287296650492797E-2</v>
      </c>
      <c r="J317" s="6">
        <f t="shared" si="17"/>
        <v>2.0244427244582058E-2</v>
      </c>
      <c r="K317" s="21">
        <f t="shared" si="18"/>
        <v>1.0998339103543733E-4</v>
      </c>
      <c r="L317">
        <f t="shared" si="19"/>
        <v>14.020450067503731</v>
      </c>
    </row>
    <row r="318" spans="1:12" x14ac:dyDescent="0.15">
      <c r="A318" s="3">
        <f>DATE(1986,4,1)</f>
        <v>31503</v>
      </c>
      <c r="B318" s="4">
        <v>6.9900000000000004E-2</v>
      </c>
      <c r="C318" s="6">
        <f t="shared" si="16"/>
        <v>8.4238566985443519E-2</v>
      </c>
      <c r="G318" s="3">
        <v>31503</v>
      </c>
      <c r="H318" s="4">
        <v>6.9900000000000004E-2</v>
      </c>
      <c r="I318" s="6">
        <v>8.4238566985443519E-2</v>
      </c>
      <c r="J318" s="6">
        <f t="shared" si="17"/>
        <v>1.5344427244582057E-2</v>
      </c>
      <c r="K318" s="21">
        <f t="shared" si="18"/>
        <v>2.0559450319605074E-4</v>
      </c>
      <c r="L318">
        <f t="shared" si="19"/>
        <v>20.512971366871984</v>
      </c>
    </row>
    <row r="319" spans="1:12" x14ac:dyDescent="0.15">
      <c r="A319" s="3">
        <f>DATE(1986,5,1)</f>
        <v>31533</v>
      </c>
      <c r="B319" s="4">
        <v>6.8499999999999991E-2</v>
      </c>
      <c r="C319" s="6">
        <f t="shared" si="16"/>
        <v>8.2804710286899161E-2</v>
      </c>
      <c r="G319" s="3">
        <v>31533</v>
      </c>
      <c r="H319" s="4">
        <v>6.8499999999999991E-2</v>
      </c>
      <c r="I319" s="6">
        <v>8.2804710286899161E-2</v>
      </c>
      <c r="J319" s="6">
        <f t="shared" si="17"/>
        <v>1.3944427244582044E-2</v>
      </c>
      <c r="K319" s="21">
        <f t="shared" si="18"/>
        <v>2.0462473639211893E-4</v>
      </c>
      <c r="L319">
        <f t="shared" si="19"/>
        <v>20.882788739998791</v>
      </c>
    </row>
    <row r="320" spans="1:12" x14ac:dyDescent="0.15">
      <c r="A320" s="3">
        <f>DATE(1986,6,1)</f>
        <v>31564</v>
      </c>
      <c r="B320" s="4">
        <v>6.9199999999999998E-2</v>
      </c>
      <c r="C320" s="6">
        <f t="shared" si="16"/>
        <v>8.1374239258209247E-2</v>
      </c>
      <c r="G320" s="3">
        <v>31564</v>
      </c>
      <c r="H320" s="4">
        <v>6.9199999999999998E-2</v>
      </c>
      <c r="I320" s="6">
        <v>8.1374239258209247E-2</v>
      </c>
      <c r="J320" s="6">
        <f t="shared" si="17"/>
        <v>1.4644427244582051E-2</v>
      </c>
      <c r="K320" s="21">
        <f t="shared" si="18"/>
        <v>1.4821210151612328E-4</v>
      </c>
      <c r="L320">
        <f t="shared" si="19"/>
        <v>17.592831297990244</v>
      </c>
    </row>
    <row r="321" spans="1:12" x14ac:dyDescent="0.15">
      <c r="A321" s="3">
        <f>DATE(1986,7,1)</f>
        <v>31594</v>
      </c>
      <c r="B321" s="4">
        <v>6.5599999999999992E-2</v>
      </c>
      <c r="C321" s="6">
        <f t="shared" si="16"/>
        <v>8.0156815332388318E-2</v>
      </c>
      <c r="G321" s="3">
        <v>31594</v>
      </c>
      <c r="H321" s="4">
        <v>6.5599999999999992E-2</v>
      </c>
      <c r="I321" s="6">
        <v>8.0156815332388318E-2</v>
      </c>
      <c r="J321" s="6">
        <f t="shared" si="17"/>
        <v>1.1044427244582045E-2</v>
      </c>
      <c r="K321" s="21">
        <f t="shared" si="18"/>
        <v>2.1190087262125585E-4</v>
      </c>
      <c r="L321">
        <f t="shared" si="19"/>
        <v>22.190267274982205</v>
      </c>
    </row>
    <row r="322" spans="1:12" x14ac:dyDescent="0.15">
      <c r="A322" s="3">
        <f>DATE(1986,8,1)</f>
        <v>31625</v>
      </c>
      <c r="B322" s="4">
        <v>6.1699999999999998E-2</v>
      </c>
      <c r="C322" s="6">
        <f t="shared" si="16"/>
        <v>7.8701133799149489E-2</v>
      </c>
      <c r="G322" s="3">
        <v>31625</v>
      </c>
      <c r="H322" s="4">
        <v>6.1699999999999998E-2</v>
      </c>
      <c r="I322" s="6">
        <v>7.8701133799149489E-2</v>
      </c>
      <c r="J322" s="6">
        <f t="shared" si="17"/>
        <v>7.1444272445820509E-3</v>
      </c>
      <c r="K322" s="21">
        <f t="shared" si="18"/>
        <v>2.8903855045658323E-4</v>
      </c>
      <c r="L322">
        <f t="shared" si="19"/>
        <v>27.554511830064005</v>
      </c>
    </row>
    <row r="323" spans="1:12" x14ac:dyDescent="0.15">
      <c r="A323" s="3">
        <f>DATE(1986,9,1)</f>
        <v>31656</v>
      </c>
      <c r="B323" s="4">
        <v>5.8899999999999994E-2</v>
      </c>
      <c r="C323" s="6">
        <f t="shared" si="16"/>
        <v>7.7001020419234539E-2</v>
      </c>
      <c r="G323" s="3">
        <v>31656</v>
      </c>
      <c r="H323" s="4">
        <v>5.8899999999999994E-2</v>
      </c>
      <c r="I323" s="6">
        <v>7.7001020419234539E-2</v>
      </c>
      <c r="J323" s="6">
        <f t="shared" si="17"/>
        <v>4.344427244582047E-3</v>
      </c>
      <c r="K323" s="21">
        <f t="shared" si="18"/>
        <v>3.2764694021754598E-4</v>
      </c>
      <c r="L323">
        <f t="shared" si="19"/>
        <v>30.731783394286161</v>
      </c>
    </row>
    <row r="324" spans="1:12" x14ac:dyDescent="0.15">
      <c r="A324" s="3">
        <f>DATE(1986,10,1)</f>
        <v>31686</v>
      </c>
      <c r="B324" s="4">
        <v>5.8499999999999996E-2</v>
      </c>
      <c r="C324" s="6">
        <f t="shared" si="16"/>
        <v>7.5190918377311095E-2</v>
      </c>
      <c r="G324" s="3">
        <v>31686</v>
      </c>
      <c r="H324" s="4">
        <v>5.8499999999999996E-2</v>
      </c>
      <c r="I324" s="6">
        <v>7.5190918377311095E-2</v>
      </c>
      <c r="J324" s="6">
        <f t="shared" si="17"/>
        <v>3.9444272445820494E-3</v>
      </c>
      <c r="K324" s="21">
        <f t="shared" si="18"/>
        <v>2.7858675627806133E-4</v>
      </c>
      <c r="L324">
        <f t="shared" si="19"/>
        <v>28.531484405659995</v>
      </c>
    </row>
    <row r="325" spans="1:12" x14ac:dyDescent="0.15">
      <c r="A325" s="3">
        <f>DATE(1986,11,1)</f>
        <v>31717</v>
      </c>
      <c r="B325" s="4">
        <v>6.0400000000000002E-2</v>
      </c>
      <c r="C325" s="6">
        <f t="shared" ref="C325:C388" si="20">0.1*B324+0.9*C324</f>
        <v>7.3521826539579976E-2</v>
      </c>
      <c r="G325" s="3">
        <v>31717</v>
      </c>
      <c r="H325" s="4">
        <v>6.0400000000000002E-2</v>
      </c>
      <c r="I325" s="6">
        <v>7.3521826539579976E-2</v>
      </c>
      <c r="J325" s="6">
        <f t="shared" ref="J325:J388" si="21">ABS(H325-$P$6)</f>
        <v>5.8444272445820553E-3</v>
      </c>
      <c r="K325" s="21">
        <f t="shared" ref="K325:K388" si="22">(H325-I325)^2</f>
        <v>1.7218233173482535E-4</v>
      </c>
      <c r="L325">
        <f t="shared" ref="L325:L388" si="23">ABS(I325-H325)/H325*100</f>
        <v>21.724878376788034</v>
      </c>
    </row>
    <row r="326" spans="1:12" x14ac:dyDescent="0.15">
      <c r="A326" s="3">
        <f>DATE(1986,12,1)</f>
        <v>31747</v>
      </c>
      <c r="B326" s="4">
        <v>6.9099999999999995E-2</v>
      </c>
      <c r="C326" s="6">
        <f t="shared" si="20"/>
        <v>7.2209643885621982E-2</v>
      </c>
      <c r="G326" s="3">
        <v>31747</v>
      </c>
      <c r="H326" s="4">
        <v>6.9099999999999995E-2</v>
      </c>
      <c r="I326" s="6">
        <v>7.2209643885621982E-2</v>
      </c>
      <c r="J326" s="6">
        <f t="shared" si="21"/>
        <v>1.4544427244582048E-2</v>
      </c>
      <c r="K326" s="21">
        <f t="shared" si="22"/>
        <v>9.6698850953862142E-6</v>
      </c>
      <c r="L326">
        <f t="shared" si="23"/>
        <v>4.5002082281070734</v>
      </c>
    </row>
    <row r="327" spans="1:12" x14ac:dyDescent="0.15">
      <c r="A327" s="3">
        <f>DATE(1987,1,1)</f>
        <v>31778</v>
      </c>
      <c r="B327" s="4">
        <v>6.4299999999999996E-2</v>
      </c>
      <c r="C327" s="6">
        <f t="shared" si="20"/>
        <v>7.1898679497059789E-2</v>
      </c>
      <c r="G327" s="3">
        <v>31778</v>
      </c>
      <c r="H327" s="4">
        <v>6.4299999999999996E-2</v>
      </c>
      <c r="I327" s="6">
        <v>7.1898679497059789E-2</v>
      </c>
      <c r="J327" s="6">
        <f t="shared" si="21"/>
        <v>9.744427244582049E-3</v>
      </c>
      <c r="K327" s="21">
        <f t="shared" si="22"/>
        <v>5.7739930099036869E-5</v>
      </c>
      <c r="L327">
        <f t="shared" si="23"/>
        <v>11.817541986096101</v>
      </c>
    </row>
    <row r="328" spans="1:12" x14ac:dyDescent="0.15">
      <c r="A328" s="3">
        <f>DATE(1987,2,1)</f>
        <v>31809</v>
      </c>
      <c r="B328" s="4">
        <v>6.0999999999999999E-2</v>
      </c>
      <c r="C328" s="6">
        <f t="shared" si="20"/>
        <v>7.1138811547353811E-2</v>
      </c>
      <c r="G328" s="3">
        <v>31809</v>
      </c>
      <c r="H328" s="4">
        <v>6.0999999999999999E-2</v>
      </c>
      <c r="I328" s="6">
        <v>7.1138811547353811E-2</v>
      </c>
      <c r="J328" s="6">
        <f t="shared" si="21"/>
        <v>6.4444272445820516E-3</v>
      </c>
      <c r="K328" s="21">
        <f t="shared" si="22"/>
        <v>1.0279549959275502E-4</v>
      </c>
      <c r="L328">
        <f t="shared" si="23"/>
        <v>16.621002536645594</v>
      </c>
    </row>
    <row r="329" spans="1:12" x14ac:dyDescent="0.15">
      <c r="A329" s="3">
        <f>DATE(1987,3,1)</f>
        <v>31837</v>
      </c>
      <c r="B329" s="4">
        <v>6.13E-2</v>
      </c>
      <c r="C329" s="6">
        <f t="shared" si="20"/>
        <v>7.0124930392618426E-2</v>
      </c>
      <c r="G329" s="3">
        <v>31837</v>
      </c>
      <c r="H329" s="4">
        <v>6.13E-2</v>
      </c>
      <c r="I329" s="6">
        <v>7.0124930392618426E-2</v>
      </c>
      <c r="J329" s="6">
        <f t="shared" si="21"/>
        <v>6.7444272445820533E-3</v>
      </c>
      <c r="K329" s="21">
        <f t="shared" si="22"/>
        <v>7.7879396434560395E-5</v>
      </c>
      <c r="L329">
        <f t="shared" si="23"/>
        <v>14.396297540976224</v>
      </c>
    </row>
    <row r="330" spans="1:12" x14ac:dyDescent="0.15">
      <c r="A330" s="3">
        <f>DATE(1987,4,1)</f>
        <v>31868</v>
      </c>
      <c r="B330" s="4">
        <v>6.3700000000000007E-2</v>
      </c>
      <c r="C330" s="6">
        <f t="shared" si="20"/>
        <v>6.9242437353356584E-2</v>
      </c>
      <c r="G330" s="3">
        <v>31868</v>
      </c>
      <c r="H330" s="4">
        <v>6.3700000000000007E-2</v>
      </c>
      <c r="I330" s="6">
        <v>6.9242437353356584E-2</v>
      </c>
      <c r="J330" s="6">
        <f t="shared" si="21"/>
        <v>9.1444272445820596E-3</v>
      </c>
      <c r="K330" s="21">
        <f t="shared" si="22"/>
        <v>3.0718611815882265E-5</v>
      </c>
      <c r="L330">
        <f t="shared" si="23"/>
        <v>8.7008435688486294</v>
      </c>
    </row>
    <row r="331" spans="1:12" x14ac:dyDescent="0.15">
      <c r="A331" s="3">
        <f>DATE(1987,5,1)</f>
        <v>31898</v>
      </c>
      <c r="B331" s="4">
        <v>6.8499999999999991E-2</v>
      </c>
      <c r="C331" s="6">
        <f t="shared" si="20"/>
        <v>6.8688193618020921E-2</v>
      </c>
      <c r="G331" s="3">
        <v>31898</v>
      </c>
      <c r="H331" s="4">
        <v>6.8499999999999991E-2</v>
      </c>
      <c r="I331" s="6">
        <v>6.8688193618020921E-2</v>
      </c>
      <c r="J331" s="6">
        <f t="shared" si="21"/>
        <v>1.3944427244582044E-2</v>
      </c>
      <c r="K331" s="21">
        <f t="shared" si="22"/>
        <v>3.5416837863807432E-8</v>
      </c>
      <c r="L331">
        <f t="shared" si="23"/>
        <v>0.27473520878967778</v>
      </c>
    </row>
    <row r="332" spans="1:12" x14ac:dyDescent="0.15">
      <c r="A332" s="3">
        <f>DATE(1987,6,1)</f>
        <v>31929</v>
      </c>
      <c r="B332" s="4">
        <v>6.7299999999999999E-2</v>
      </c>
      <c r="C332" s="6">
        <f t="shared" si="20"/>
        <v>6.8669374256218829E-2</v>
      </c>
      <c r="G332" s="3">
        <v>31929</v>
      </c>
      <c r="H332" s="4">
        <v>6.7299999999999999E-2</v>
      </c>
      <c r="I332" s="6">
        <v>6.8669374256218829E-2</v>
      </c>
      <c r="J332" s="6">
        <f t="shared" si="21"/>
        <v>1.2744427244582052E-2</v>
      </c>
      <c r="K332" s="21">
        <f t="shared" si="22"/>
        <v>1.8751858535948751E-6</v>
      </c>
      <c r="L332">
        <f t="shared" si="23"/>
        <v>2.0347314356891983</v>
      </c>
    </row>
    <row r="333" spans="1:12" x14ac:dyDescent="0.15">
      <c r="A333" s="3">
        <f>DATE(1987,7,1)</f>
        <v>31959</v>
      </c>
      <c r="B333" s="4">
        <v>6.5799999999999997E-2</v>
      </c>
      <c r="C333" s="6">
        <f t="shared" si="20"/>
        <v>6.8532436830596954E-2</v>
      </c>
      <c r="G333" s="3">
        <v>31959</v>
      </c>
      <c r="H333" s="4">
        <v>6.5799999999999997E-2</v>
      </c>
      <c r="I333" s="6">
        <v>6.8532436830596954E-2</v>
      </c>
      <c r="J333" s="6">
        <f t="shared" si="21"/>
        <v>1.124442724458205E-2</v>
      </c>
      <c r="K333" s="21">
        <f t="shared" si="22"/>
        <v>7.4662110332027436E-6</v>
      </c>
      <c r="L333">
        <f t="shared" si="23"/>
        <v>4.1526395601777466</v>
      </c>
    </row>
    <row r="334" spans="1:12" x14ac:dyDescent="0.15">
      <c r="A334" s="3">
        <f>DATE(1987,8,1)</f>
        <v>31990</v>
      </c>
      <c r="B334" s="4">
        <v>6.7299999999999999E-2</v>
      </c>
      <c r="C334" s="6">
        <f t="shared" si="20"/>
        <v>6.8259193147537256E-2</v>
      </c>
      <c r="G334" s="3">
        <v>31990</v>
      </c>
      <c r="H334" s="4">
        <v>6.7299999999999999E-2</v>
      </c>
      <c r="I334" s="6">
        <v>6.8259193147537256E-2</v>
      </c>
      <c r="J334" s="6">
        <f t="shared" si="21"/>
        <v>1.2744427244582052E-2</v>
      </c>
      <c r="K334" s="21">
        <f t="shared" si="22"/>
        <v>9.2005149428243054E-7</v>
      </c>
      <c r="L334">
        <f t="shared" si="23"/>
        <v>1.4252498477522397</v>
      </c>
    </row>
    <row r="335" spans="1:12" x14ac:dyDescent="0.15">
      <c r="A335" s="3">
        <f>DATE(1987,9,1)</f>
        <v>32021</v>
      </c>
      <c r="B335" s="4">
        <v>7.22E-2</v>
      </c>
      <c r="C335" s="6">
        <f t="shared" si="20"/>
        <v>6.8163273832783533E-2</v>
      </c>
      <c r="G335" s="3">
        <v>32021</v>
      </c>
      <c r="H335" s="4">
        <v>7.22E-2</v>
      </c>
      <c r="I335" s="6">
        <v>6.8163273832783533E-2</v>
      </c>
      <c r="J335" s="6">
        <f t="shared" si="21"/>
        <v>1.7644427244582053E-2</v>
      </c>
      <c r="K335" s="21">
        <f t="shared" si="22"/>
        <v>1.629515814909015E-5</v>
      </c>
      <c r="L335">
        <f t="shared" si="23"/>
        <v>5.5910334725989852</v>
      </c>
    </row>
    <row r="336" spans="1:12" x14ac:dyDescent="0.15">
      <c r="A336" s="3">
        <f>DATE(1987,10,1)</f>
        <v>32051</v>
      </c>
      <c r="B336" s="4">
        <v>7.2900000000000006E-2</v>
      </c>
      <c r="C336" s="6">
        <f t="shared" si="20"/>
        <v>6.8566946449505187E-2</v>
      </c>
      <c r="G336" s="3">
        <v>32051</v>
      </c>
      <c r="H336" s="4">
        <v>7.2900000000000006E-2</v>
      </c>
      <c r="I336" s="6">
        <v>6.8566946449505187E-2</v>
      </c>
      <c r="J336" s="6">
        <f t="shared" si="21"/>
        <v>1.8344427244582059E-2</v>
      </c>
      <c r="K336" s="21">
        <f t="shared" si="22"/>
        <v>1.8775353071455765E-5</v>
      </c>
      <c r="L336">
        <f t="shared" si="23"/>
        <v>5.9438320308570907</v>
      </c>
    </row>
    <row r="337" spans="1:12" x14ac:dyDescent="0.15">
      <c r="A337" s="3">
        <f>DATE(1987,11,1)</f>
        <v>32082</v>
      </c>
      <c r="B337" s="4">
        <v>6.6900000000000001E-2</v>
      </c>
      <c r="C337" s="6">
        <f t="shared" si="20"/>
        <v>6.9000251804554671E-2</v>
      </c>
      <c r="G337" s="3">
        <v>32082</v>
      </c>
      <c r="H337" s="4">
        <v>6.6900000000000001E-2</v>
      </c>
      <c r="I337" s="6">
        <v>6.9000251804554671E-2</v>
      </c>
      <c r="J337" s="6">
        <f t="shared" si="21"/>
        <v>1.2344427244582054E-2</v>
      </c>
      <c r="K337" s="21">
        <f t="shared" si="22"/>
        <v>4.4110576425351489E-6</v>
      </c>
      <c r="L337">
        <f t="shared" si="23"/>
        <v>3.1393898423836628</v>
      </c>
    </row>
    <row r="338" spans="1:12" x14ac:dyDescent="0.15">
      <c r="A338" s="3">
        <f>DATE(1987,12,1)</f>
        <v>32112</v>
      </c>
      <c r="B338" s="4">
        <v>6.7699999999999996E-2</v>
      </c>
      <c r="C338" s="6">
        <f t="shared" si="20"/>
        <v>6.8790226624099199E-2</v>
      </c>
      <c r="G338" s="3">
        <v>32112</v>
      </c>
      <c r="H338" s="4">
        <v>6.7699999999999996E-2</v>
      </c>
      <c r="I338" s="6">
        <v>6.8790226624099199E-2</v>
      </c>
      <c r="J338" s="6">
        <f t="shared" si="21"/>
        <v>1.3144427244582049E-2</v>
      </c>
      <c r="K338" s="21">
        <f t="shared" si="22"/>
        <v>1.188594091894744E-6</v>
      </c>
      <c r="L338">
        <f t="shared" si="23"/>
        <v>1.6103790607078325</v>
      </c>
    </row>
    <row r="339" spans="1:12" x14ac:dyDescent="0.15">
      <c r="A339" s="3">
        <f>DATE(1988,1,1)</f>
        <v>32143</v>
      </c>
      <c r="B339" s="4">
        <v>6.83E-2</v>
      </c>
      <c r="C339" s="6">
        <f t="shared" si="20"/>
        <v>6.868120396168928E-2</v>
      </c>
      <c r="G339" s="3">
        <v>32143</v>
      </c>
      <c r="H339" s="4">
        <v>6.83E-2</v>
      </c>
      <c r="I339" s="6">
        <v>6.868120396168928E-2</v>
      </c>
      <c r="J339" s="6">
        <f t="shared" si="21"/>
        <v>1.3744427244582053E-2</v>
      </c>
      <c r="K339" s="21">
        <f t="shared" si="22"/>
        <v>1.4531646040760234E-7</v>
      </c>
      <c r="L339">
        <f t="shared" si="23"/>
        <v>0.55813171550407081</v>
      </c>
    </row>
    <row r="340" spans="1:12" x14ac:dyDescent="0.15">
      <c r="A340" s="3">
        <f>DATE(1988,2,1)</f>
        <v>32174</v>
      </c>
      <c r="B340" s="4">
        <v>6.5799999999999997E-2</v>
      </c>
      <c r="C340" s="6">
        <f t="shared" si="20"/>
        <v>6.8643083565520346E-2</v>
      </c>
      <c r="G340" s="3">
        <v>32174</v>
      </c>
      <c r="H340" s="4">
        <v>6.5799999999999997E-2</v>
      </c>
      <c r="I340" s="6">
        <v>6.8643083565520346E-2</v>
      </c>
      <c r="J340" s="6">
        <f t="shared" si="21"/>
        <v>1.124442724458205E-2</v>
      </c>
      <c r="K340" s="21">
        <f t="shared" si="22"/>
        <v>8.0831241605319013E-6</v>
      </c>
      <c r="L340">
        <f t="shared" si="23"/>
        <v>4.320795692280166</v>
      </c>
    </row>
    <row r="341" spans="1:12" x14ac:dyDescent="0.15">
      <c r="A341" s="3">
        <f>DATE(1988,3,1)</f>
        <v>32203</v>
      </c>
      <c r="B341" s="4">
        <v>6.5799999999999997E-2</v>
      </c>
      <c r="C341" s="6">
        <f t="shared" si="20"/>
        <v>6.8358775208968311E-2</v>
      </c>
      <c r="G341" s="3">
        <v>32203</v>
      </c>
      <c r="H341" s="4">
        <v>6.5799999999999997E-2</v>
      </c>
      <c r="I341" s="6">
        <v>6.8358775208968311E-2</v>
      </c>
      <c r="J341" s="6">
        <f t="shared" si="21"/>
        <v>1.124442724458205E-2</v>
      </c>
      <c r="K341" s="21">
        <f t="shared" si="22"/>
        <v>6.5473305700308393E-6</v>
      </c>
      <c r="L341">
        <f t="shared" si="23"/>
        <v>3.8887161230521494</v>
      </c>
    </row>
    <row r="342" spans="1:12" x14ac:dyDescent="0.15">
      <c r="A342" s="3">
        <f>DATE(1988,4,1)</f>
        <v>32234</v>
      </c>
      <c r="B342" s="4">
        <v>6.8699999999999997E-2</v>
      </c>
      <c r="C342" s="6">
        <f t="shared" si="20"/>
        <v>6.8102897688071484E-2</v>
      </c>
      <c r="G342" s="3">
        <v>32234</v>
      </c>
      <c r="H342" s="4">
        <v>6.8699999999999997E-2</v>
      </c>
      <c r="I342" s="6">
        <v>6.8102897688071484E-2</v>
      </c>
      <c r="J342" s="6">
        <f t="shared" si="21"/>
        <v>1.414442724458205E-2</v>
      </c>
      <c r="K342" s="21">
        <f t="shared" si="22"/>
        <v>3.5653117091037517E-7</v>
      </c>
      <c r="L342">
        <f t="shared" si="23"/>
        <v>0.8691445588479082</v>
      </c>
    </row>
    <row r="343" spans="1:12" x14ac:dyDescent="0.15">
      <c r="A343" s="3">
        <f>DATE(1988,5,1)</f>
        <v>32264</v>
      </c>
      <c r="B343" s="4">
        <v>7.0900000000000005E-2</v>
      </c>
      <c r="C343" s="6">
        <f t="shared" si="20"/>
        <v>6.8162607919264331E-2</v>
      </c>
      <c r="G343" s="3">
        <v>32264</v>
      </c>
      <c r="H343" s="4">
        <v>7.0900000000000005E-2</v>
      </c>
      <c r="I343" s="6">
        <v>6.8162607919264331E-2</v>
      </c>
      <c r="J343" s="6">
        <f t="shared" si="21"/>
        <v>1.6344427244582058E-2</v>
      </c>
      <c r="K343" s="21">
        <f t="shared" si="22"/>
        <v>7.4933154036743788E-6</v>
      </c>
      <c r="L343">
        <f t="shared" si="23"/>
        <v>3.8609197189501741</v>
      </c>
    </row>
    <row r="344" spans="1:12" x14ac:dyDescent="0.15">
      <c r="A344" s="3">
        <f>DATE(1988,6,1)</f>
        <v>32295</v>
      </c>
      <c r="B344" s="4">
        <v>7.51E-2</v>
      </c>
      <c r="C344" s="6">
        <f t="shared" si="20"/>
        <v>6.8436347127337899E-2</v>
      </c>
      <c r="G344" s="3">
        <v>32295</v>
      </c>
      <c r="H344" s="4">
        <v>7.51E-2</v>
      </c>
      <c r="I344" s="6">
        <v>6.8436347127337899E-2</v>
      </c>
      <c r="J344" s="6">
        <f t="shared" si="21"/>
        <v>2.0544427244582053E-2</v>
      </c>
      <c r="K344" s="21">
        <f t="shared" si="22"/>
        <v>4.4404269607337876E-5</v>
      </c>
      <c r="L344">
        <f t="shared" si="23"/>
        <v>8.8730397771798941</v>
      </c>
    </row>
    <row r="345" spans="1:12" x14ac:dyDescent="0.15">
      <c r="A345" s="3">
        <f>DATE(1988,7,1)</f>
        <v>32325</v>
      </c>
      <c r="B345" s="4">
        <v>7.7499999999999999E-2</v>
      </c>
      <c r="C345" s="6">
        <f t="shared" si="20"/>
        <v>6.9102712414604112E-2</v>
      </c>
      <c r="G345" s="3">
        <v>32325</v>
      </c>
      <c r="H345" s="4">
        <v>7.7499999999999999E-2</v>
      </c>
      <c r="I345" s="6">
        <v>6.9102712414604112E-2</v>
      </c>
      <c r="J345" s="6">
        <f t="shared" si="21"/>
        <v>2.2944427244582052E-2</v>
      </c>
      <c r="K345" s="21">
        <f t="shared" si="22"/>
        <v>7.0514438791843907E-5</v>
      </c>
      <c r="L345">
        <f t="shared" si="23"/>
        <v>10.835209787607598</v>
      </c>
    </row>
    <row r="346" spans="1:12" x14ac:dyDescent="0.15">
      <c r="A346" s="3">
        <f>DATE(1988,8,1)</f>
        <v>32356</v>
      </c>
      <c r="B346" s="4">
        <v>8.0100000000000005E-2</v>
      </c>
      <c r="C346" s="6">
        <f t="shared" si="20"/>
        <v>6.9942441173143702E-2</v>
      </c>
      <c r="G346" s="3">
        <v>32356</v>
      </c>
      <c r="H346" s="4">
        <v>8.0100000000000005E-2</v>
      </c>
      <c r="I346" s="6">
        <v>6.9942441173143702E-2</v>
      </c>
      <c r="J346" s="6">
        <f t="shared" si="21"/>
        <v>2.5544427244582057E-2</v>
      </c>
      <c r="K346" s="21">
        <f t="shared" si="22"/>
        <v>1.0317600132104638E-4</v>
      </c>
      <c r="L346">
        <f t="shared" si="23"/>
        <v>12.68109716211773</v>
      </c>
    </row>
    <row r="347" spans="1:12" x14ac:dyDescent="0.15">
      <c r="A347" s="3">
        <f>DATE(1988,9,1)</f>
        <v>32387</v>
      </c>
      <c r="B347" s="4">
        <v>8.1900000000000001E-2</v>
      </c>
      <c r="C347" s="6">
        <f t="shared" si="20"/>
        <v>7.0958197055829342E-2</v>
      </c>
      <c r="G347" s="3">
        <v>32387</v>
      </c>
      <c r="H347" s="4">
        <v>8.1900000000000001E-2</v>
      </c>
      <c r="I347" s="6">
        <v>7.0958197055829342E-2</v>
      </c>
      <c r="J347" s="6">
        <f t="shared" si="21"/>
        <v>2.7344427244582054E-2</v>
      </c>
      <c r="K347" s="21">
        <f t="shared" si="22"/>
        <v>1.1972305166906169E-4</v>
      </c>
      <c r="L347">
        <f t="shared" si="23"/>
        <v>13.359954754787129</v>
      </c>
    </row>
    <row r="348" spans="1:12" x14ac:dyDescent="0.15">
      <c r="A348" s="3">
        <f>DATE(1988,10,1)</f>
        <v>32417</v>
      </c>
      <c r="B348" s="4">
        <v>8.3000000000000004E-2</v>
      </c>
      <c r="C348" s="6">
        <f t="shared" si="20"/>
        <v>7.2052377350246416E-2</v>
      </c>
      <c r="G348" s="3">
        <v>32417</v>
      </c>
      <c r="H348" s="4">
        <v>8.3000000000000004E-2</v>
      </c>
      <c r="I348" s="6">
        <v>7.2052377350246416E-2</v>
      </c>
      <c r="J348" s="6">
        <f t="shared" si="21"/>
        <v>2.8444427244582057E-2</v>
      </c>
      <c r="K348" s="21">
        <f t="shared" si="22"/>
        <v>1.1985044168139778E-4</v>
      </c>
      <c r="L348">
        <f t="shared" si="23"/>
        <v>13.189906806932033</v>
      </c>
    </row>
    <row r="349" spans="1:12" x14ac:dyDescent="0.15">
      <c r="A349" s="3">
        <f>DATE(1988,11,1)</f>
        <v>32448</v>
      </c>
      <c r="B349" s="4">
        <v>8.3499999999999991E-2</v>
      </c>
      <c r="C349" s="6">
        <f t="shared" si="20"/>
        <v>7.3147139615221776E-2</v>
      </c>
      <c r="G349" s="3">
        <v>32448</v>
      </c>
      <c r="H349" s="4">
        <v>8.3499999999999991E-2</v>
      </c>
      <c r="I349" s="6">
        <v>7.3147139615221776E-2</v>
      </c>
      <c r="J349" s="6">
        <f t="shared" si="21"/>
        <v>2.8944427244582044E-2</v>
      </c>
      <c r="K349" s="21">
        <f t="shared" si="22"/>
        <v>1.0718171814671012E-4</v>
      </c>
      <c r="L349">
        <f t="shared" si="23"/>
        <v>12.398635191351156</v>
      </c>
    </row>
    <row r="350" spans="1:12" x14ac:dyDescent="0.15">
      <c r="A350" s="3">
        <f>DATE(1988,12,1)</f>
        <v>32478</v>
      </c>
      <c r="B350" s="4">
        <v>8.7599999999999997E-2</v>
      </c>
      <c r="C350" s="6">
        <f t="shared" si="20"/>
        <v>7.4182425653699591E-2</v>
      </c>
      <c r="G350" s="3">
        <v>32478</v>
      </c>
      <c r="H350" s="4">
        <v>8.7599999999999997E-2</v>
      </c>
      <c r="I350" s="6">
        <v>7.4182425653699591E-2</v>
      </c>
      <c r="J350" s="6">
        <f t="shared" si="21"/>
        <v>3.304442724458205E-2</v>
      </c>
      <c r="K350" s="21">
        <f t="shared" si="22"/>
        <v>1.8003130133849879E-4</v>
      </c>
      <c r="L350">
        <f t="shared" si="23"/>
        <v>15.316865692123752</v>
      </c>
    </row>
    <row r="351" spans="1:12" x14ac:dyDescent="0.15">
      <c r="A351" s="3">
        <f>DATE(1989,1,1)</f>
        <v>32509</v>
      </c>
      <c r="B351" s="4">
        <v>9.1199999999999989E-2</v>
      </c>
      <c r="C351" s="6">
        <f t="shared" si="20"/>
        <v>7.5524183088329644E-2</v>
      </c>
      <c r="G351" s="3">
        <v>32509</v>
      </c>
      <c r="H351" s="4">
        <v>9.1199999999999989E-2</v>
      </c>
      <c r="I351" s="6">
        <v>7.5524183088329644E-2</v>
      </c>
      <c r="J351" s="6">
        <f t="shared" si="21"/>
        <v>3.6644427244582042E-2</v>
      </c>
      <c r="K351" s="21">
        <f t="shared" si="22"/>
        <v>2.4573123584821E-4</v>
      </c>
      <c r="L351">
        <f t="shared" si="23"/>
        <v>17.188395736480643</v>
      </c>
    </row>
    <row r="352" spans="1:12" x14ac:dyDescent="0.15">
      <c r="A352" s="3">
        <f>DATE(1989,2,1)</f>
        <v>32540</v>
      </c>
      <c r="B352" s="4">
        <v>9.3599999999999989E-2</v>
      </c>
      <c r="C352" s="6">
        <f t="shared" si="20"/>
        <v>7.7091764779496683E-2</v>
      </c>
      <c r="G352" s="3">
        <v>32540</v>
      </c>
      <c r="H352" s="4">
        <v>9.3599999999999989E-2</v>
      </c>
      <c r="I352" s="6">
        <v>7.7091764779496683E-2</v>
      </c>
      <c r="J352" s="6">
        <f t="shared" si="21"/>
        <v>3.9044427244582042E-2</v>
      </c>
      <c r="K352" s="21">
        <f t="shared" si="22"/>
        <v>2.7252183009546585E-4</v>
      </c>
      <c r="L352">
        <f t="shared" si="23"/>
        <v>17.637003440708661</v>
      </c>
    </row>
    <row r="353" spans="1:12" x14ac:dyDescent="0.15">
      <c r="A353" s="3">
        <f>DATE(1989,3,1)</f>
        <v>32568</v>
      </c>
      <c r="B353" s="4">
        <v>9.849999999999999E-2</v>
      </c>
      <c r="C353" s="6">
        <f t="shared" si="20"/>
        <v>7.8742588301547012E-2</v>
      </c>
      <c r="G353" s="3">
        <v>32568</v>
      </c>
      <c r="H353" s="4">
        <v>9.849999999999999E-2</v>
      </c>
      <c r="I353" s="6">
        <v>7.8742588301547012E-2</v>
      </c>
      <c r="J353" s="6">
        <f t="shared" si="21"/>
        <v>4.3944427244582043E-2</v>
      </c>
      <c r="K353" s="21">
        <f t="shared" si="22"/>
        <v>3.903553170221666E-4</v>
      </c>
      <c r="L353">
        <f t="shared" si="23"/>
        <v>20.058285988277138</v>
      </c>
    </row>
    <row r="354" spans="1:12" x14ac:dyDescent="0.15">
      <c r="A354" s="3">
        <f>DATE(1989,4,1)</f>
        <v>32599</v>
      </c>
      <c r="B354" s="4">
        <v>9.8400000000000001E-2</v>
      </c>
      <c r="C354" s="6">
        <f t="shared" si="20"/>
        <v>8.0718329471392306E-2</v>
      </c>
      <c r="G354" s="3">
        <v>32599</v>
      </c>
      <c r="H354" s="4">
        <v>9.8400000000000001E-2</v>
      </c>
      <c r="I354" s="6">
        <v>8.0718329471392306E-2</v>
      </c>
      <c r="J354" s="6">
        <f t="shared" si="21"/>
        <v>4.3844427244582054E-2</v>
      </c>
      <c r="K354" s="21">
        <f t="shared" si="22"/>
        <v>3.1264147268223396E-4</v>
      </c>
      <c r="L354">
        <f t="shared" si="23"/>
        <v>17.969177366471236</v>
      </c>
    </row>
    <row r="355" spans="1:12" x14ac:dyDescent="0.15">
      <c r="A355" s="3">
        <f>DATE(1989,5,1)</f>
        <v>32629</v>
      </c>
      <c r="B355" s="4">
        <v>9.8100000000000007E-2</v>
      </c>
      <c r="C355" s="6">
        <f t="shared" si="20"/>
        <v>8.2486496524253078E-2</v>
      </c>
      <c r="G355" s="3">
        <v>32629</v>
      </c>
      <c r="H355" s="4">
        <v>9.8100000000000007E-2</v>
      </c>
      <c r="I355" s="6">
        <v>8.2486496524253078E-2</v>
      </c>
      <c r="J355" s="6">
        <f t="shared" si="21"/>
        <v>4.354442724458206E-2</v>
      </c>
      <c r="K355" s="21">
        <f t="shared" si="22"/>
        <v>2.4378149078716142E-4</v>
      </c>
      <c r="L355">
        <f t="shared" si="23"/>
        <v>15.915905683737948</v>
      </c>
    </row>
    <row r="356" spans="1:12" x14ac:dyDescent="0.15">
      <c r="A356" s="3">
        <f>DATE(1989,6,1)</f>
        <v>32660</v>
      </c>
      <c r="B356" s="4">
        <v>9.5299999999999996E-2</v>
      </c>
      <c r="C356" s="6">
        <f t="shared" si="20"/>
        <v>8.4047846871827772E-2</v>
      </c>
      <c r="G356" s="3">
        <v>32660</v>
      </c>
      <c r="H356" s="4">
        <v>9.5299999999999996E-2</v>
      </c>
      <c r="I356" s="6">
        <v>8.4047846871827772E-2</v>
      </c>
      <c r="J356" s="6">
        <f t="shared" si="21"/>
        <v>4.0744427244582049E-2</v>
      </c>
      <c r="K356" s="21">
        <f t="shared" si="22"/>
        <v>1.2661095001983595E-4</v>
      </c>
      <c r="L356">
        <f t="shared" si="23"/>
        <v>11.807086178564768</v>
      </c>
    </row>
    <row r="357" spans="1:12" x14ac:dyDescent="0.15">
      <c r="A357" s="3">
        <f>DATE(1989,7,1)</f>
        <v>32690</v>
      </c>
      <c r="B357" s="4">
        <v>9.2399999999999996E-2</v>
      </c>
      <c r="C357" s="6">
        <f t="shared" si="20"/>
        <v>8.5173062184644988E-2</v>
      </c>
      <c r="G357" s="3">
        <v>32690</v>
      </c>
      <c r="H357" s="4">
        <v>9.2399999999999996E-2</v>
      </c>
      <c r="I357" s="6">
        <v>8.5173062184644988E-2</v>
      </c>
      <c r="J357" s="6">
        <f t="shared" si="21"/>
        <v>3.7844427244582049E-2</v>
      </c>
      <c r="K357" s="21">
        <f t="shared" si="22"/>
        <v>5.2228630187008224E-5</v>
      </c>
      <c r="L357">
        <f t="shared" si="23"/>
        <v>7.8213612720292298</v>
      </c>
    </row>
    <row r="358" spans="1:12" x14ac:dyDescent="0.15">
      <c r="A358" s="3">
        <f>DATE(1989,8,1)</f>
        <v>32721</v>
      </c>
      <c r="B358" s="4">
        <v>8.9900000000000008E-2</v>
      </c>
      <c r="C358" s="6">
        <f t="shared" si="20"/>
        <v>8.5895755966180487E-2</v>
      </c>
      <c r="G358" s="3">
        <v>32721</v>
      </c>
      <c r="H358" s="4">
        <v>8.9900000000000008E-2</v>
      </c>
      <c r="I358" s="6">
        <v>8.5895755966180487E-2</v>
      </c>
      <c r="J358" s="6">
        <f t="shared" si="21"/>
        <v>3.5344427244582061E-2</v>
      </c>
      <c r="K358" s="21">
        <f t="shared" si="22"/>
        <v>1.6033970282379227E-5</v>
      </c>
      <c r="L358">
        <f t="shared" si="23"/>
        <v>4.4541090476301672</v>
      </c>
    </row>
    <row r="359" spans="1:12" x14ac:dyDescent="0.15">
      <c r="A359" s="3">
        <f>DATE(1989,9,1)</f>
        <v>32752</v>
      </c>
      <c r="B359" s="4">
        <v>9.0200000000000002E-2</v>
      </c>
      <c r="C359" s="6">
        <f t="shared" si="20"/>
        <v>8.6296180369562436E-2</v>
      </c>
      <c r="G359" s="3">
        <v>32752</v>
      </c>
      <c r="H359" s="4">
        <v>9.0200000000000002E-2</v>
      </c>
      <c r="I359" s="6">
        <v>8.6296180369562436E-2</v>
      </c>
      <c r="J359" s="6">
        <f t="shared" si="21"/>
        <v>3.5644427244582055E-2</v>
      </c>
      <c r="K359" s="21">
        <f t="shared" si="22"/>
        <v>1.5239807706989695E-5</v>
      </c>
      <c r="L359">
        <f t="shared" si="23"/>
        <v>4.3279596789773462</v>
      </c>
    </row>
    <row r="360" spans="1:12" x14ac:dyDescent="0.15">
      <c r="A360" s="3">
        <f>DATE(1989,10,1)</f>
        <v>32782</v>
      </c>
      <c r="B360" s="4">
        <v>8.8399999999999992E-2</v>
      </c>
      <c r="C360" s="6">
        <f t="shared" si="20"/>
        <v>8.6686562332606201E-2</v>
      </c>
      <c r="G360" s="3">
        <v>32782</v>
      </c>
      <c r="H360" s="4">
        <v>8.8399999999999992E-2</v>
      </c>
      <c r="I360" s="6">
        <v>8.6686562332606201E-2</v>
      </c>
      <c r="J360" s="6">
        <f t="shared" si="21"/>
        <v>3.3844427244582045E-2</v>
      </c>
      <c r="K360" s="21">
        <f t="shared" si="22"/>
        <v>2.9358686400438762E-6</v>
      </c>
      <c r="L360">
        <f t="shared" si="23"/>
        <v>1.9382779042916192</v>
      </c>
    </row>
    <row r="361" spans="1:12" x14ac:dyDescent="0.15">
      <c r="A361" s="3">
        <f>DATE(1989,11,1)</f>
        <v>32813</v>
      </c>
      <c r="B361" s="4">
        <v>8.5500000000000007E-2</v>
      </c>
      <c r="C361" s="6">
        <f t="shared" si="20"/>
        <v>8.6857906099345586E-2</v>
      </c>
      <c r="G361" s="3">
        <v>32813</v>
      </c>
      <c r="H361" s="4">
        <v>8.5500000000000007E-2</v>
      </c>
      <c r="I361" s="6">
        <v>8.6857906099345586E-2</v>
      </c>
      <c r="J361" s="6">
        <f t="shared" si="21"/>
        <v>3.094442724458206E-2</v>
      </c>
      <c r="K361" s="21">
        <f t="shared" si="22"/>
        <v>1.8439089746399264E-6</v>
      </c>
      <c r="L361">
        <f t="shared" si="23"/>
        <v>1.5881942682404435</v>
      </c>
    </row>
    <row r="362" spans="1:12" x14ac:dyDescent="0.15">
      <c r="A362" s="3">
        <f>DATE(1989,12,1)</f>
        <v>32843</v>
      </c>
      <c r="B362" s="4">
        <v>8.4499999999999992E-2</v>
      </c>
      <c r="C362" s="6">
        <f t="shared" si="20"/>
        <v>8.6722115489411028E-2</v>
      </c>
      <c r="G362" s="3">
        <v>32843</v>
      </c>
      <c r="H362" s="4">
        <v>8.4499999999999992E-2</v>
      </c>
      <c r="I362" s="6">
        <v>8.6722115489411028E-2</v>
      </c>
      <c r="J362" s="6">
        <f t="shared" si="21"/>
        <v>2.9944427244582045E-2</v>
      </c>
      <c r="K362" s="21">
        <f t="shared" si="22"/>
        <v>4.9377972482804489E-6</v>
      </c>
      <c r="L362">
        <f t="shared" si="23"/>
        <v>2.6297224726757831</v>
      </c>
    </row>
    <row r="363" spans="1:12" x14ac:dyDescent="0.15">
      <c r="A363" s="3">
        <f>DATE(1990,1,1)</f>
        <v>32874</v>
      </c>
      <c r="B363" s="4">
        <v>8.2299999999999998E-2</v>
      </c>
      <c r="C363" s="6">
        <f t="shared" si="20"/>
        <v>8.6499903940469927E-2</v>
      </c>
      <c r="G363" s="3">
        <v>32874</v>
      </c>
      <c r="H363" s="4">
        <v>8.2299999999999998E-2</v>
      </c>
      <c r="I363" s="6">
        <v>8.6499903940469927E-2</v>
      </c>
      <c r="J363" s="6">
        <f t="shared" si="21"/>
        <v>2.7744427244582051E-2</v>
      </c>
      <c r="K363" s="21">
        <f t="shared" si="22"/>
        <v>1.7639193109174835E-5</v>
      </c>
      <c r="L363">
        <f t="shared" si="23"/>
        <v>5.1031639616888569</v>
      </c>
    </row>
    <row r="364" spans="1:12" x14ac:dyDescent="0.15">
      <c r="A364" s="3">
        <f>DATE(1990,2,1)</f>
        <v>32905</v>
      </c>
      <c r="B364" s="4">
        <v>8.2400000000000001E-2</v>
      </c>
      <c r="C364" s="6">
        <f t="shared" si="20"/>
        <v>8.6079913546422943E-2</v>
      </c>
      <c r="G364" s="3">
        <v>32905</v>
      </c>
      <c r="H364" s="4">
        <v>8.2400000000000001E-2</v>
      </c>
      <c r="I364" s="6">
        <v>8.6079913546422943E-2</v>
      </c>
      <c r="J364" s="6">
        <f t="shared" si="21"/>
        <v>2.7844427244582054E-2</v>
      </c>
      <c r="K364" s="21">
        <f t="shared" si="22"/>
        <v>1.3541763709147071E-5</v>
      </c>
      <c r="L364">
        <f t="shared" si="23"/>
        <v>4.4659144980860939</v>
      </c>
    </row>
    <row r="365" spans="1:12" x14ac:dyDescent="0.15">
      <c r="A365" s="3">
        <f>DATE(1990,3,1)</f>
        <v>32933</v>
      </c>
      <c r="B365" s="4">
        <v>8.2799999999999999E-2</v>
      </c>
      <c r="C365" s="6">
        <f t="shared" si="20"/>
        <v>8.5711922191780643E-2</v>
      </c>
      <c r="G365" s="3">
        <v>32933</v>
      </c>
      <c r="H365" s="4">
        <v>8.2799999999999999E-2</v>
      </c>
      <c r="I365" s="6">
        <v>8.5711922191780643E-2</v>
      </c>
      <c r="J365" s="6">
        <f t="shared" si="21"/>
        <v>2.8244427244582052E-2</v>
      </c>
      <c r="K365" s="21">
        <f t="shared" si="22"/>
        <v>8.479290850984591E-6</v>
      </c>
      <c r="L365">
        <f t="shared" si="23"/>
        <v>3.5168142412809718</v>
      </c>
    </row>
    <row r="366" spans="1:12" x14ac:dyDescent="0.15">
      <c r="A366" s="3">
        <f>DATE(1990,4,1)</f>
        <v>32964</v>
      </c>
      <c r="B366" s="4">
        <v>8.2599999999999993E-2</v>
      </c>
      <c r="C366" s="6">
        <f t="shared" si="20"/>
        <v>8.5420729972602583E-2</v>
      </c>
      <c r="G366" s="3">
        <v>32964</v>
      </c>
      <c r="H366" s="4">
        <v>8.2599999999999993E-2</v>
      </c>
      <c r="I366" s="6">
        <v>8.5420729972602583E-2</v>
      </c>
      <c r="J366" s="6">
        <f t="shared" si="21"/>
        <v>2.8044427244582046E-2</v>
      </c>
      <c r="K366" s="21">
        <f t="shared" si="22"/>
        <v>7.9565175783386065E-6</v>
      </c>
      <c r="L366">
        <f t="shared" si="23"/>
        <v>3.414927327606041</v>
      </c>
    </row>
    <row r="367" spans="1:12" x14ac:dyDescent="0.15">
      <c r="A367" s="3">
        <f>DATE(1990,5,1)</f>
        <v>32994</v>
      </c>
      <c r="B367" s="4">
        <v>8.1799999999999998E-2</v>
      </c>
      <c r="C367" s="6">
        <f t="shared" si="20"/>
        <v>8.5138656975342328E-2</v>
      </c>
      <c r="G367" s="3">
        <v>32994</v>
      </c>
      <c r="H367" s="4">
        <v>8.1799999999999998E-2</v>
      </c>
      <c r="I367" s="6">
        <v>8.5138656975342328E-2</v>
      </c>
      <c r="J367" s="6">
        <f t="shared" si="21"/>
        <v>2.7244427244582051E-2</v>
      </c>
      <c r="K367" s="21">
        <f t="shared" si="22"/>
        <v>1.1146630399001996E-5</v>
      </c>
      <c r="L367">
        <f t="shared" si="23"/>
        <v>4.0814877449172737</v>
      </c>
    </row>
    <row r="368" spans="1:12" x14ac:dyDescent="0.15">
      <c r="A368" s="3">
        <f>DATE(1990,6,1)</f>
        <v>33025</v>
      </c>
      <c r="B368" s="4">
        <v>8.2899999999999988E-2</v>
      </c>
      <c r="C368" s="6">
        <f t="shared" si="20"/>
        <v>8.48047912778081E-2</v>
      </c>
      <c r="G368" s="3">
        <v>33025</v>
      </c>
      <c r="H368" s="4">
        <v>8.2899999999999988E-2</v>
      </c>
      <c r="I368" s="6">
        <v>8.48047912778081E-2</v>
      </c>
      <c r="J368" s="6">
        <f t="shared" si="21"/>
        <v>2.8344427244582041E-2</v>
      </c>
      <c r="K368" s="21">
        <f t="shared" si="22"/>
        <v>3.6282298120138629E-6</v>
      </c>
      <c r="L368">
        <f t="shared" si="23"/>
        <v>2.297697560685299</v>
      </c>
    </row>
    <row r="369" spans="1:12" x14ac:dyDescent="0.15">
      <c r="A369" s="3">
        <f>DATE(1990,7,1)</f>
        <v>33055</v>
      </c>
      <c r="B369" s="4">
        <v>8.1500000000000003E-2</v>
      </c>
      <c r="C369" s="6">
        <f t="shared" si="20"/>
        <v>8.4614312150027293E-2</v>
      </c>
      <c r="G369" s="3">
        <v>33055</v>
      </c>
      <c r="H369" s="4">
        <v>8.1500000000000003E-2</v>
      </c>
      <c r="I369" s="6">
        <v>8.4614312150027293E-2</v>
      </c>
      <c r="J369" s="6">
        <f t="shared" si="21"/>
        <v>2.6944427244582056E-2</v>
      </c>
      <c r="K369" s="21">
        <f t="shared" si="22"/>
        <v>9.6989401678076037E-6</v>
      </c>
      <c r="L369">
        <f t="shared" si="23"/>
        <v>3.8212419018739756</v>
      </c>
    </row>
    <row r="370" spans="1:12" x14ac:dyDescent="0.15">
      <c r="A370" s="3">
        <f>DATE(1990,8,1)</f>
        <v>33086</v>
      </c>
      <c r="B370" s="4">
        <v>8.1300000000000011E-2</v>
      </c>
      <c r="C370" s="6">
        <f t="shared" si="20"/>
        <v>8.4302880935024568E-2</v>
      </c>
      <c r="G370" s="3">
        <v>33086</v>
      </c>
      <c r="H370" s="4">
        <v>8.1300000000000011E-2</v>
      </c>
      <c r="I370" s="6">
        <v>8.4302880935024568E-2</v>
      </c>
      <c r="J370" s="6">
        <f t="shared" si="21"/>
        <v>2.6744427244582064E-2</v>
      </c>
      <c r="K370" s="21">
        <f t="shared" si="22"/>
        <v>9.0172939099339596E-6</v>
      </c>
      <c r="L370">
        <f t="shared" si="23"/>
        <v>3.693580485885064</v>
      </c>
    </row>
    <row r="371" spans="1:12" x14ac:dyDescent="0.15">
      <c r="A371" s="3">
        <f>DATE(1990,9,1)</f>
        <v>33117</v>
      </c>
      <c r="B371" s="4">
        <v>8.199999999999999E-2</v>
      </c>
      <c r="C371" s="6">
        <f t="shared" si="20"/>
        <v>8.4002592841522117E-2</v>
      </c>
      <c r="G371" s="3">
        <v>33117</v>
      </c>
      <c r="H371" s="4">
        <v>8.199999999999999E-2</v>
      </c>
      <c r="I371" s="6">
        <v>8.4002592841522117E-2</v>
      </c>
      <c r="J371" s="6">
        <f t="shared" si="21"/>
        <v>2.7444427244582043E-2</v>
      </c>
      <c r="K371" s="21">
        <f t="shared" si="22"/>
        <v>4.0103780889156679E-6</v>
      </c>
      <c r="L371">
        <f t="shared" si="23"/>
        <v>2.4421863921001554</v>
      </c>
    </row>
    <row r="372" spans="1:12" x14ac:dyDescent="0.15">
      <c r="A372" s="3">
        <f>DATE(1990,10,1)</f>
        <v>33147</v>
      </c>
      <c r="B372" s="4">
        <v>8.1099999999999992E-2</v>
      </c>
      <c r="C372" s="6">
        <f t="shared" si="20"/>
        <v>8.3802333557369907E-2</v>
      </c>
      <c r="G372" s="3">
        <v>33147</v>
      </c>
      <c r="H372" s="4">
        <v>8.1099999999999992E-2</v>
      </c>
      <c r="I372" s="6">
        <v>8.3802333557369907E-2</v>
      </c>
      <c r="J372" s="6">
        <f t="shared" si="21"/>
        <v>2.6544427244582045E-2</v>
      </c>
      <c r="K372" s="21">
        <f t="shared" si="22"/>
        <v>7.3026066552875417E-6</v>
      </c>
      <c r="L372">
        <f t="shared" si="23"/>
        <v>3.3321005639579724</v>
      </c>
    </row>
    <row r="373" spans="1:12" x14ac:dyDescent="0.15">
      <c r="A373" s="3">
        <f>DATE(1990,11,1)</f>
        <v>33178</v>
      </c>
      <c r="B373" s="4">
        <v>7.8100000000000003E-2</v>
      </c>
      <c r="C373" s="6">
        <f t="shared" si="20"/>
        <v>8.3532100201632931E-2</v>
      </c>
      <c r="G373" s="3">
        <v>33178</v>
      </c>
      <c r="H373" s="4">
        <v>7.8100000000000003E-2</v>
      </c>
      <c r="I373" s="6">
        <v>8.3532100201632931E-2</v>
      </c>
      <c r="J373" s="6">
        <f t="shared" si="21"/>
        <v>2.3544427244582056E-2</v>
      </c>
      <c r="K373" s="21">
        <f t="shared" si="22"/>
        <v>2.9507712600580497E-5</v>
      </c>
      <c r="L373">
        <f t="shared" si="23"/>
        <v>6.9553139585568857</v>
      </c>
    </row>
    <row r="374" spans="1:12" x14ac:dyDescent="0.15">
      <c r="A374" s="3">
        <f>DATE(1990,12,1)</f>
        <v>33208</v>
      </c>
      <c r="B374" s="4">
        <v>7.3099999999999998E-2</v>
      </c>
      <c r="C374" s="6">
        <f t="shared" si="20"/>
        <v>8.2988890181469641E-2</v>
      </c>
      <c r="G374" s="3">
        <v>33208</v>
      </c>
      <c r="H374" s="4">
        <v>7.3099999999999998E-2</v>
      </c>
      <c r="I374" s="6">
        <v>8.2988890181469641E-2</v>
      </c>
      <c r="J374" s="6">
        <f t="shared" si="21"/>
        <v>1.8544427244582051E-2</v>
      </c>
      <c r="K374" s="21">
        <f t="shared" si="22"/>
        <v>9.7790149021166701E-5</v>
      </c>
      <c r="L374">
        <f t="shared" si="23"/>
        <v>13.52789354510211</v>
      </c>
    </row>
    <row r="375" spans="1:12" x14ac:dyDescent="0.15">
      <c r="A375" s="3">
        <f>DATE(1991,1,1)</f>
        <v>33239</v>
      </c>
      <c r="B375" s="4">
        <v>6.9099999999999995E-2</v>
      </c>
      <c r="C375" s="6">
        <f t="shared" si="20"/>
        <v>8.2000001163322678E-2</v>
      </c>
      <c r="G375" s="3">
        <v>33239</v>
      </c>
      <c r="H375" s="4">
        <v>6.9099999999999995E-2</v>
      </c>
      <c r="I375" s="6">
        <v>8.2000001163322678E-2</v>
      </c>
      <c r="J375" s="6">
        <f t="shared" si="21"/>
        <v>1.4544427244582048E-2</v>
      </c>
      <c r="K375" s="21">
        <f t="shared" si="22"/>
        <v>1.6641003001372659E-4</v>
      </c>
      <c r="L375">
        <f t="shared" si="23"/>
        <v>18.668597920872191</v>
      </c>
    </row>
    <row r="376" spans="1:12" x14ac:dyDescent="0.15">
      <c r="A376" s="3">
        <f>DATE(1991,2,1)</f>
        <v>33270</v>
      </c>
      <c r="B376" s="4">
        <v>6.25E-2</v>
      </c>
      <c r="C376" s="6">
        <f t="shared" si="20"/>
        <v>8.0710001046990415E-2</v>
      </c>
      <c r="G376" s="3">
        <v>33270</v>
      </c>
      <c r="H376" s="4">
        <v>6.25E-2</v>
      </c>
      <c r="I376" s="6">
        <v>8.0710001046990415E-2</v>
      </c>
      <c r="J376" s="6">
        <f t="shared" si="21"/>
        <v>7.944427244582053E-3</v>
      </c>
      <c r="K376" s="21">
        <f t="shared" si="22"/>
        <v>3.31604138131392E-4</v>
      </c>
      <c r="L376">
        <f t="shared" si="23"/>
        <v>29.136001675184666</v>
      </c>
    </row>
    <row r="377" spans="1:12" x14ac:dyDescent="0.15">
      <c r="A377" s="3">
        <f>DATE(1991,3,1)</f>
        <v>33298</v>
      </c>
      <c r="B377" s="4">
        <v>6.1200000000000004E-2</v>
      </c>
      <c r="C377" s="6">
        <f t="shared" si="20"/>
        <v>7.8889000942291385E-2</v>
      </c>
      <c r="G377" s="3">
        <v>33298</v>
      </c>
      <c r="H377" s="4">
        <v>6.1200000000000004E-2</v>
      </c>
      <c r="I377" s="6">
        <v>7.8889000942291385E-2</v>
      </c>
      <c r="J377" s="6">
        <f t="shared" si="21"/>
        <v>6.6444272445820574E-3</v>
      </c>
      <c r="K377" s="21">
        <f t="shared" si="22"/>
        <v>3.1290075433638531E-4</v>
      </c>
      <c r="L377">
        <f t="shared" si="23"/>
        <v>28.903596310933626</v>
      </c>
    </row>
    <row r="378" spans="1:12" x14ac:dyDescent="0.15">
      <c r="A378" s="3">
        <f>DATE(1991,4,1)</f>
        <v>33329</v>
      </c>
      <c r="B378" s="4">
        <v>5.91E-2</v>
      </c>
      <c r="C378" s="6">
        <f t="shared" si="20"/>
        <v>7.7120100848062242E-2</v>
      </c>
      <c r="G378" s="3">
        <v>33329</v>
      </c>
      <c r="H378" s="4">
        <v>5.91E-2</v>
      </c>
      <c r="I378" s="6">
        <v>7.7120100848062242E-2</v>
      </c>
      <c r="J378" s="6">
        <f t="shared" si="21"/>
        <v>4.5444272445820527E-3</v>
      </c>
      <c r="K378" s="21">
        <f t="shared" si="22"/>
        <v>3.2472403457433355E-4</v>
      </c>
      <c r="L378">
        <f t="shared" si="23"/>
        <v>30.490864379123927</v>
      </c>
    </row>
    <row r="379" spans="1:12" x14ac:dyDescent="0.15">
      <c r="A379" s="3">
        <f>DATE(1991,5,1)</f>
        <v>33359</v>
      </c>
      <c r="B379" s="4">
        <v>5.7800000000000004E-2</v>
      </c>
      <c r="C379" s="6">
        <f t="shared" si="20"/>
        <v>7.5318090763256018E-2</v>
      </c>
      <c r="G379" s="3">
        <v>33359</v>
      </c>
      <c r="H379" s="4">
        <v>5.7800000000000004E-2</v>
      </c>
      <c r="I379" s="6">
        <v>7.5318090763256018E-2</v>
      </c>
      <c r="J379" s="6">
        <f t="shared" si="21"/>
        <v>3.2444272445820571E-3</v>
      </c>
      <c r="K379" s="21">
        <f t="shared" si="22"/>
        <v>3.0688350398967566E-4</v>
      </c>
      <c r="L379">
        <f t="shared" si="23"/>
        <v>30.308115507363343</v>
      </c>
    </row>
    <row r="380" spans="1:12" x14ac:dyDescent="0.15">
      <c r="A380" s="3">
        <f>DATE(1991,6,1)</f>
        <v>33390</v>
      </c>
      <c r="B380" s="4">
        <v>5.9000000000000004E-2</v>
      </c>
      <c r="C380" s="6">
        <f t="shared" si="20"/>
        <v>7.3566281686930413E-2</v>
      </c>
      <c r="G380" s="3">
        <v>33390</v>
      </c>
      <c r="H380" s="4">
        <v>5.9000000000000004E-2</v>
      </c>
      <c r="I380" s="6">
        <v>7.3566281686930413E-2</v>
      </c>
      <c r="J380" s="6">
        <f t="shared" si="21"/>
        <v>4.4444272445820568E-3</v>
      </c>
      <c r="K380" s="21">
        <f t="shared" si="22"/>
        <v>2.1217656218300421E-4</v>
      </c>
      <c r="L380">
        <f t="shared" si="23"/>
        <v>24.688613028695606</v>
      </c>
    </row>
    <row r="381" spans="1:12" x14ac:dyDescent="0.15">
      <c r="A381" s="3">
        <f>DATE(1991,7,1)</f>
        <v>33420</v>
      </c>
      <c r="B381" s="4">
        <v>5.8200000000000002E-2</v>
      </c>
      <c r="C381" s="6">
        <f t="shared" si="20"/>
        <v>7.2109653518237379E-2</v>
      </c>
      <c r="G381" s="3">
        <v>33420</v>
      </c>
      <c r="H381" s="4">
        <v>5.8200000000000002E-2</v>
      </c>
      <c r="I381" s="6">
        <v>7.2109653518237379E-2</v>
      </c>
      <c r="J381" s="6">
        <f t="shared" si="21"/>
        <v>3.6444272445820547E-3</v>
      </c>
      <c r="K381" s="21">
        <f t="shared" si="22"/>
        <v>1.9347846099741347E-4</v>
      </c>
      <c r="L381">
        <f t="shared" si="23"/>
        <v>23.89974831312264</v>
      </c>
    </row>
    <row r="382" spans="1:12" x14ac:dyDescent="0.15">
      <c r="A382" s="3">
        <f>DATE(1991,8,1)</f>
        <v>33451</v>
      </c>
      <c r="B382" s="4">
        <v>5.6600000000000004E-2</v>
      </c>
      <c r="C382" s="6">
        <f t="shared" si="20"/>
        <v>7.0718688166413649E-2</v>
      </c>
      <c r="G382" s="3">
        <v>33451</v>
      </c>
      <c r="H382" s="4">
        <v>5.6600000000000004E-2</v>
      </c>
      <c r="I382" s="6">
        <v>7.0718688166413649E-2</v>
      </c>
      <c r="J382" s="6">
        <f t="shared" si="21"/>
        <v>2.0444272445820574E-3</v>
      </c>
      <c r="K382" s="21">
        <f t="shared" si="22"/>
        <v>1.9933735554042867E-4</v>
      </c>
      <c r="L382">
        <f t="shared" si="23"/>
        <v>24.944678739246719</v>
      </c>
    </row>
    <row r="383" spans="1:12" x14ac:dyDescent="0.15">
      <c r="A383" s="3">
        <f>DATE(1991,9,1)</f>
        <v>33482</v>
      </c>
      <c r="B383" s="4">
        <v>5.45E-2</v>
      </c>
      <c r="C383" s="6">
        <f t="shared" si="20"/>
        <v>6.9306819349772286E-2</v>
      </c>
      <c r="G383" s="3">
        <v>33482</v>
      </c>
      <c r="H383" s="4">
        <v>5.45E-2</v>
      </c>
      <c r="I383" s="6">
        <v>6.9306819349772286E-2</v>
      </c>
      <c r="J383" s="6">
        <f t="shared" si="21"/>
        <v>5.5572755417947206E-5</v>
      </c>
      <c r="K383" s="21">
        <f t="shared" si="22"/>
        <v>2.19241899256791E-4</v>
      </c>
      <c r="L383">
        <f t="shared" si="23"/>
        <v>27.168475871141812</v>
      </c>
    </row>
    <row r="384" spans="1:12" x14ac:dyDescent="0.15">
      <c r="A384" s="3">
        <f>DATE(1991,10,1)</f>
        <v>33512</v>
      </c>
      <c r="B384" s="4">
        <v>5.21E-2</v>
      </c>
      <c r="C384" s="6">
        <f t="shared" si="20"/>
        <v>6.7826137414795054E-2</v>
      </c>
      <c r="G384" s="3">
        <v>33512</v>
      </c>
      <c r="H384" s="4">
        <v>5.21E-2</v>
      </c>
      <c r="I384" s="6">
        <v>6.7826137414795054E-2</v>
      </c>
      <c r="J384" s="6">
        <f t="shared" si="21"/>
        <v>2.4555727554179466E-3</v>
      </c>
      <c r="K384" s="21">
        <f t="shared" si="22"/>
        <v>2.4731139798901686E-4</v>
      </c>
      <c r="L384">
        <f t="shared" si="23"/>
        <v>30.184524788474192</v>
      </c>
    </row>
    <row r="385" spans="1:12" x14ac:dyDescent="0.15">
      <c r="A385" s="3">
        <f>DATE(1991,11,1)</f>
        <v>33543</v>
      </c>
      <c r="B385" s="4">
        <v>4.8099999999999997E-2</v>
      </c>
      <c r="C385" s="6">
        <f t="shared" si="20"/>
        <v>6.6253523673315551E-2</v>
      </c>
      <c r="G385" s="3">
        <v>33543</v>
      </c>
      <c r="H385" s="4">
        <v>4.8099999999999997E-2</v>
      </c>
      <c r="I385" s="6">
        <v>6.6253523673315551E-2</v>
      </c>
      <c r="J385" s="6">
        <f t="shared" si="21"/>
        <v>6.4555727554179501E-3</v>
      </c>
      <c r="K385" s="21">
        <f t="shared" si="22"/>
        <v>3.2955042175762824E-4</v>
      </c>
      <c r="L385">
        <f t="shared" si="23"/>
        <v>37.741213458036498</v>
      </c>
    </row>
    <row r="386" spans="1:12" x14ac:dyDescent="0.15">
      <c r="A386" s="3">
        <f>DATE(1991,12,1)</f>
        <v>33573</v>
      </c>
      <c r="B386" s="4">
        <v>4.4299999999999999E-2</v>
      </c>
      <c r="C386" s="6">
        <f t="shared" si="20"/>
        <v>6.4438171305983991E-2</v>
      </c>
      <c r="G386" s="3">
        <v>33573</v>
      </c>
      <c r="H386" s="4">
        <v>4.4299999999999999E-2</v>
      </c>
      <c r="I386" s="6">
        <v>6.4438171305983991E-2</v>
      </c>
      <c r="J386" s="6">
        <f t="shared" si="21"/>
        <v>1.0255572755417948E-2</v>
      </c>
      <c r="K386" s="21">
        <f t="shared" si="22"/>
        <v>4.0554594354915699E-4</v>
      </c>
      <c r="L386">
        <f t="shared" si="23"/>
        <v>45.458625972875829</v>
      </c>
    </row>
    <row r="387" spans="1:12" x14ac:dyDescent="0.15">
      <c r="A387" s="3">
        <f>DATE(1992,1,1)</f>
        <v>33604</v>
      </c>
      <c r="B387" s="4">
        <v>4.0300000000000002E-2</v>
      </c>
      <c r="C387" s="6">
        <f t="shared" si="20"/>
        <v>6.2424354175385596E-2</v>
      </c>
      <c r="G387" s="3">
        <v>33604</v>
      </c>
      <c r="H387" s="4">
        <v>4.0300000000000002E-2</v>
      </c>
      <c r="I387" s="6">
        <v>6.2424354175385596E-2</v>
      </c>
      <c r="J387" s="6">
        <f t="shared" si="21"/>
        <v>1.4255572755417945E-2</v>
      </c>
      <c r="K387" s="21">
        <f t="shared" si="22"/>
        <v>4.8948704767790192E-4</v>
      </c>
      <c r="L387">
        <f t="shared" si="23"/>
        <v>54.899141874405935</v>
      </c>
    </row>
    <row r="388" spans="1:12" x14ac:dyDescent="0.15">
      <c r="A388" s="3">
        <f>DATE(1992,2,1)</f>
        <v>33635</v>
      </c>
      <c r="B388" s="4">
        <v>4.0599999999999997E-2</v>
      </c>
      <c r="C388" s="6">
        <f t="shared" si="20"/>
        <v>6.0211918757847038E-2</v>
      </c>
      <c r="G388" s="3">
        <v>33635</v>
      </c>
      <c r="H388" s="4">
        <v>4.0599999999999997E-2</v>
      </c>
      <c r="I388" s="6">
        <v>6.0211918757847038E-2</v>
      </c>
      <c r="J388" s="6">
        <f t="shared" si="21"/>
        <v>1.395557275541795E-2</v>
      </c>
      <c r="K388" s="21">
        <f t="shared" si="22"/>
        <v>3.8462735736439265E-4</v>
      </c>
      <c r="L388">
        <f t="shared" si="23"/>
        <v>48.305218615386799</v>
      </c>
    </row>
    <row r="389" spans="1:12" x14ac:dyDescent="0.15">
      <c r="A389" s="3">
        <f>DATE(1992,3,1)</f>
        <v>33664</v>
      </c>
      <c r="B389" s="4">
        <v>3.9800000000000002E-2</v>
      </c>
      <c r="C389" s="6">
        <f t="shared" ref="C389:C452" si="24">0.1*B388+0.9*C388</f>
        <v>5.8250726882062336E-2</v>
      </c>
      <c r="G389" s="3">
        <v>33664</v>
      </c>
      <c r="H389" s="4">
        <v>3.9800000000000002E-2</v>
      </c>
      <c r="I389" s="6">
        <v>5.8250726882062336E-2</v>
      </c>
      <c r="J389" s="6">
        <f t="shared" ref="J389:J452" si="25">ABS(H389-$P$6)</f>
        <v>1.4755572755417945E-2</v>
      </c>
      <c r="K389" s="21">
        <f t="shared" ref="K389:K452" si="26">(H389-I389)^2</f>
        <v>3.4042932247645765E-4</v>
      </c>
      <c r="L389">
        <f t="shared" ref="L389:L452" si="27">ABS(I389-H389)/H389*100</f>
        <v>46.35861025643802</v>
      </c>
    </row>
    <row r="390" spans="1:12" x14ac:dyDescent="0.15">
      <c r="A390" s="3">
        <f>DATE(1992,4,1)</f>
        <v>33695</v>
      </c>
      <c r="B390" s="4">
        <v>3.73E-2</v>
      </c>
      <c r="C390" s="6">
        <f t="shared" si="24"/>
        <v>5.6405654193856097E-2</v>
      </c>
      <c r="G390" s="3">
        <v>33695</v>
      </c>
      <c r="H390" s="4">
        <v>3.73E-2</v>
      </c>
      <c r="I390" s="6">
        <v>5.6405654193856097E-2</v>
      </c>
      <c r="J390" s="6">
        <f t="shared" si="25"/>
        <v>1.7255572755417947E-2</v>
      </c>
      <c r="K390" s="21">
        <f t="shared" si="26"/>
        <v>3.6502602217521111E-4</v>
      </c>
      <c r="L390">
        <f t="shared" si="27"/>
        <v>51.221593013019032</v>
      </c>
    </row>
    <row r="391" spans="1:12" x14ac:dyDescent="0.15">
      <c r="A391" s="3">
        <f>DATE(1992,5,1)</f>
        <v>33725</v>
      </c>
      <c r="B391" s="4">
        <v>3.8199999999999998E-2</v>
      </c>
      <c r="C391" s="6">
        <f t="shared" si="24"/>
        <v>5.4495088774470485E-2</v>
      </c>
      <c r="G391" s="3">
        <v>33725</v>
      </c>
      <c r="H391" s="4">
        <v>3.8199999999999998E-2</v>
      </c>
      <c r="I391" s="6">
        <v>5.4495088774470485E-2</v>
      </c>
      <c r="J391" s="6">
        <f t="shared" si="25"/>
        <v>1.6355572755417949E-2</v>
      </c>
      <c r="K391" s="21">
        <f t="shared" si="26"/>
        <v>2.6552991816787406E-4</v>
      </c>
      <c r="L391">
        <f t="shared" si="27"/>
        <v>42.657300456729025</v>
      </c>
    </row>
    <row r="392" spans="1:12" x14ac:dyDescent="0.15">
      <c r="A392" s="3">
        <f>DATE(1992,6,1)</f>
        <v>33756</v>
      </c>
      <c r="B392" s="4">
        <v>3.7599999999999995E-2</v>
      </c>
      <c r="C392" s="6">
        <f t="shared" si="24"/>
        <v>5.2865579897023438E-2</v>
      </c>
      <c r="G392" s="3">
        <v>33756</v>
      </c>
      <c r="H392" s="4">
        <v>3.7599999999999995E-2</v>
      </c>
      <c r="I392" s="6">
        <v>5.2865579897023438E-2</v>
      </c>
      <c r="J392" s="6">
        <f t="shared" si="25"/>
        <v>1.6955572755417953E-2</v>
      </c>
      <c r="K392" s="21">
        <f t="shared" si="26"/>
        <v>2.3303792959240626E-4</v>
      </c>
      <c r="L392">
        <f t="shared" si="27"/>
        <v>40.599946534636821</v>
      </c>
    </row>
    <row r="393" spans="1:12" x14ac:dyDescent="0.15">
      <c r="A393" s="3">
        <f>DATE(1992,7,1)</f>
        <v>33786</v>
      </c>
      <c r="B393" s="4">
        <v>3.2500000000000001E-2</v>
      </c>
      <c r="C393" s="6">
        <f t="shared" si="24"/>
        <v>5.1339021907321092E-2</v>
      </c>
      <c r="G393" s="3">
        <v>33786</v>
      </c>
      <c r="H393" s="4">
        <v>3.2500000000000001E-2</v>
      </c>
      <c r="I393" s="6">
        <v>5.1339021907321092E-2</v>
      </c>
      <c r="J393" s="6">
        <f t="shared" si="25"/>
        <v>2.2055572755417946E-2</v>
      </c>
      <c r="K393" s="21">
        <f t="shared" si="26"/>
        <v>3.5490874642452399E-4</v>
      </c>
      <c r="L393">
        <f t="shared" si="27"/>
        <v>57.966221253295657</v>
      </c>
    </row>
    <row r="394" spans="1:12" x14ac:dyDescent="0.15">
      <c r="A394" s="3">
        <f>DATE(1992,8,1)</f>
        <v>33817</v>
      </c>
      <c r="B394" s="4">
        <v>3.3000000000000002E-2</v>
      </c>
      <c r="C394" s="6">
        <f t="shared" si="24"/>
        <v>4.9455119716588988E-2</v>
      </c>
      <c r="G394" s="3">
        <v>33817</v>
      </c>
      <c r="H394" s="4">
        <v>3.3000000000000002E-2</v>
      </c>
      <c r="I394" s="6">
        <v>4.9455119716588988E-2</v>
      </c>
      <c r="J394" s="6">
        <f t="shared" si="25"/>
        <v>2.1555572755417945E-2</v>
      </c>
      <c r="K394" s="21">
        <f t="shared" si="26"/>
        <v>2.7077096488727564E-4</v>
      </c>
      <c r="L394">
        <f t="shared" si="27"/>
        <v>49.863999141178745</v>
      </c>
    </row>
    <row r="395" spans="1:12" x14ac:dyDescent="0.15">
      <c r="A395" s="3">
        <f>DATE(1992,9,1)</f>
        <v>33848</v>
      </c>
      <c r="B395" s="4">
        <v>3.2199999999999999E-2</v>
      </c>
      <c r="C395" s="6">
        <f t="shared" si="24"/>
        <v>4.7809607744930087E-2</v>
      </c>
      <c r="G395" s="3">
        <v>33848</v>
      </c>
      <c r="H395" s="4">
        <v>3.2199999999999999E-2</v>
      </c>
      <c r="I395" s="6">
        <v>4.7809607744930087E-2</v>
      </c>
      <c r="J395" s="6">
        <f t="shared" si="25"/>
        <v>2.2355572755417948E-2</v>
      </c>
      <c r="K395" s="21">
        <f t="shared" si="26"/>
        <v>2.4365985395058136E-4</v>
      </c>
      <c r="L395">
        <f t="shared" si="27"/>
        <v>48.477042686118281</v>
      </c>
    </row>
    <row r="396" spans="1:12" x14ac:dyDescent="0.15">
      <c r="A396" s="3">
        <f>DATE(1992,10,1)</f>
        <v>33878</v>
      </c>
      <c r="B396" s="4">
        <v>3.1E-2</v>
      </c>
      <c r="C396" s="6">
        <f t="shared" si="24"/>
        <v>4.6248646970437082E-2</v>
      </c>
      <c r="G396" s="3">
        <v>33878</v>
      </c>
      <c r="H396" s="4">
        <v>3.1E-2</v>
      </c>
      <c r="I396" s="6">
        <v>4.6248646970437082E-2</v>
      </c>
      <c r="J396" s="6">
        <f t="shared" si="25"/>
        <v>2.3555572755417947E-2</v>
      </c>
      <c r="K396" s="21">
        <f t="shared" si="26"/>
        <v>2.3252123442902002E-4</v>
      </c>
      <c r="L396">
        <f t="shared" si="27"/>
        <v>49.189183775603489</v>
      </c>
    </row>
    <row r="397" spans="1:12" x14ac:dyDescent="0.15">
      <c r="A397" s="3">
        <f>DATE(1992,11,1)</f>
        <v>33909</v>
      </c>
      <c r="B397" s="4">
        <v>3.0899999999999997E-2</v>
      </c>
      <c r="C397" s="6">
        <f t="shared" si="24"/>
        <v>4.4723782273393374E-2</v>
      </c>
      <c r="G397" s="3">
        <v>33909</v>
      </c>
      <c r="H397" s="4">
        <v>3.0899999999999997E-2</v>
      </c>
      <c r="I397" s="6">
        <v>4.4723782273393374E-2</v>
      </c>
      <c r="J397" s="6">
        <f t="shared" si="25"/>
        <v>2.365557275541795E-2</v>
      </c>
      <c r="K397" s="21">
        <f t="shared" si="26"/>
        <v>1.9109695634218497E-4</v>
      </c>
      <c r="L397">
        <f t="shared" si="27"/>
        <v>44.737159460819996</v>
      </c>
    </row>
    <row r="398" spans="1:12" x14ac:dyDescent="0.15">
      <c r="A398" s="3">
        <f>DATE(1992,12,1)</f>
        <v>33939</v>
      </c>
      <c r="B398" s="4">
        <v>2.92E-2</v>
      </c>
      <c r="C398" s="6">
        <f t="shared" si="24"/>
        <v>4.3341404046054043E-2</v>
      </c>
      <c r="G398" s="3">
        <v>33939</v>
      </c>
      <c r="H398" s="4">
        <v>2.92E-2</v>
      </c>
      <c r="I398" s="6">
        <v>4.3341404046054043E-2</v>
      </c>
      <c r="J398" s="6">
        <f t="shared" si="25"/>
        <v>2.5355572755417947E-2</v>
      </c>
      <c r="K398" s="21">
        <f t="shared" si="26"/>
        <v>1.9997930839375363E-4</v>
      </c>
      <c r="L398">
        <f t="shared" si="27"/>
        <v>48.429465911143978</v>
      </c>
    </row>
    <row r="399" spans="1:12" x14ac:dyDescent="0.15">
      <c r="A399" s="3">
        <f>DATE(1993,1,1)</f>
        <v>33970</v>
      </c>
      <c r="B399" s="4">
        <v>3.0200000000000001E-2</v>
      </c>
      <c r="C399" s="6">
        <f t="shared" si="24"/>
        <v>4.1927263641448637E-2</v>
      </c>
      <c r="G399" s="3">
        <v>33970</v>
      </c>
      <c r="H399" s="4">
        <v>3.0200000000000001E-2</v>
      </c>
      <c r="I399" s="6">
        <v>4.1927263641448637E-2</v>
      </c>
      <c r="J399" s="6">
        <f t="shared" si="25"/>
        <v>2.4355572755417946E-2</v>
      </c>
      <c r="K399" s="21">
        <f t="shared" si="26"/>
        <v>1.3752871251604312E-4</v>
      </c>
      <c r="L399">
        <f t="shared" si="27"/>
        <v>38.831998812743826</v>
      </c>
    </row>
    <row r="400" spans="1:12" x14ac:dyDescent="0.15">
      <c r="A400" s="3">
        <f>DATE(1993,2,1)</f>
        <v>34001</v>
      </c>
      <c r="B400" s="4">
        <v>3.0299999999999997E-2</v>
      </c>
      <c r="C400" s="6">
        <f t="shared" si="24"/>
        <v>4.0754537277303778E-2</v>
      </c>
      <c r="G400" s="3">
        <v>34001</v>
      </c>
      <c r="H400" s="4">
        <v>3.0299999999999997E-2</v>
      </c>
      <c r="I400" s="6">
        <v>4.0754537277303778E-2</v>
      </c>
      <c r="J400" s="6">
        <f t="shared" si="25"/>
        <v>2.425557275541795E-2</v>
      </c>
      <c r="K400" s="21">
        <f t="shared" si="26"/>
        <v>1.0929734968253435E-4</v>
      </c>
      <c r="L400">
        <f t="shared" si="27"/>
        <v>34.503423357438223</v>
      </c>
    </row>
    <row r="401" spans="1:12" x14ac:dyDescent="0.15">
      <c r="A401" s="3">
        <f>DATE(1993,3,1)</f>
        <v>34029</v>
      </c>
      <c r="B401" s="4">
        <v>3.0699999999999998E-2</v>
      </c>
      <c r="C401" s="6">
        <f t="shared" si="24"/>
        <v>3.97090835495734E-2</v>
      </c>
      <c r="G401" s="3">
        <v>34029</v>
      </c>
      <c r="H401" s="4">
        <v>3.0699999999999998E-2</v>
      </c>
      <c r="I401" s="6">
        <v>3.97090835495734E-2</v>
      </c>
      <c r="J401" s="6">
        <f t="shared" si="25"/>
        <v>2.3855572755417949E-2</v>
      </c>
      <c r="K401" s="21">
        <f t="shared" si="26"/>
        <v>8.1163586403194078E-5</v>
      </c>
      <c r="L401">
        <f t="shared" si="27"/>
        <v>29.345549021411731</v>
      </c>
    </row>
    <row r="402" spans="1:12" x14ac:dyDescent="0.15">
      <c r="A402" s="3">
        <f>DATE(1993,4,1)</f>
        <v>34060</v>
      </c>
      <c r="B402" s="4">
        <v>2.9600000000000001E-2</v>
      </c>
      <c r="C402" s="6">
        <f t="shared" si="24"/>
        <v>3.880817519461606E-2</v>
      </c>
      <c r="G402" s="3">
        <v>34060</v>
      </c>
      <c r="H402" s="4">
        <v>2.9600000000000001E-2</v>
      </c>
      <c r="I402" s="6">
        <v>3.880817519461606E-2</v>
      </c>
      <c r="J402" s="6">
        <f t="shared" si="25"/>
        <v>2.4955572755417946E-2</v>
      </c>
      <c r="K402" s="21">
        <f t="shared" si="26"/>
        <v>8.4790490414742486E-5</v>
      </c>
      <c r="L402">
        <f t="shared" si="27"/>
        <v>31.108699981811007</v>
      </c>
    </row>
    <row r="403" spans="1:12" x14ac:dyDescent="0.15">
      <c r="A403" s="3">
        <f>DATE(1993,5,1)</f>
        <v>34090</v>
      </c>
      <c r="B403" s="4">
        <v>0.03</v>
      </c>
      <c r="C403" s="6">
        <f t="shared" si="24"/>
        <v>3.788735767515445E-2</v>
      </c>
      <c r="G403" s="3">
        <v>34090</v>
      </c>
      <c r="H403" s="4">
        <v>0.03</v>
      </c>
      <c r="I403" s="6">
        <v>3.788735767515445E-2</v>
      </c>
      <c r="J403" s="6">
        <f t="shared" si="25"/>
        <v>2.4555572755417948E-2</v>
      </c>
      <c r="K403" s="21">
        <f t="shared" si="26"/>
        <v>6.2210411095817817E-5</v>
      </c>
      <c r="L403">
        <f t="shared" si="27"/>
        <v>26.29119225051484</v>
      </c>
    </row>
    <row r="404" spans="1:12" x14ac:dyDescent="0.15">
      <c r="A404" s="3">
        <f>DATE(1993,6,1)</f>
        <v>34121</v>
      </c>
      <c r="B404" s="4">
        <v>3.04E-2</v>
      </c>
      <c r="C404" s="6">
        <f t="shared" si="24"/>
        <v>3.7098621907639011E-2</v>
      </c>
      <c r="G404" s="3">
        <v>34121</v>
      </c>
      <c r="H404" s="4">
        <v>3.04E-2</v>
      </c>
      <c r="I404" s="6">
        <v>3.7098621907639011E-2</v>
      </c>
      <c r="J404" s="6">
        <f t="shared" si="25"/>
        <v>2.4155572755417947E-2</v>
      </c>
      <c r="K404" s="21">
        <f t="shared" si="26"/>
        <v>4.4871535461501302E-5</v>
      </c>
      <c r="L404">
        <f t="shared" si="27"/>
        <v>22.034940485654641</v>
      </c>
    </row>
    <row r="405" spans="1:12" x14ac:dyDescent="0.15">
      <c r="A405" s="3">
        <f>DATE(1993,7,1)</f>
        <v>34151</v>
      </c>
      <c r="B405" s="4">
        <v>3.0600000000000002E-2</v>
      </c>
      <c r="C405" s="6">
        <f t="shared" si="24"/>
        <v>3.6428759716875113E-2</v>
      </c>
      <c r="G405" s="3">
        <v>34151</v>
      </c>
      <c r="H405" s="4">
        <v>3.0600000000000002E-2</v>
      </c>
      <c r="I405" s="6">
        <v>3.6428759716875113E-2</v>
      </c>
      <c r="J405" s="6">
        <f t="shared" si="25"/>
        <v>2.3955572755417945E-2</v>
      </c>
      <c r="K405" s="21">
        <f t="shared" si="26"/>
        <v>3.3974439837066024E-5</v>
      </c>
      <c r="L405">
        <f t="shared" si="27"/>
        <v>19.048234368872912</v>
      </c>
    </row>
    <row r="406" spans="1:12" x14ac:dyDescent="0.15">
      <c r="A406" s="3">
        <f>DATE(1993,8,1)</f>
        <v>34182</v>
      </c>
      <c r="B406" s="4">
        <v>3.0299999999999997E-2</v>
      </c>
      <c r="C406" s="6">
        <f t="shared" si="24"/>
        <v>3.5845883745187601E-2</v>
      </c>
      <c r="G406" s="3">
        <v>34182</v>
      </c>
      <c r="H406" s="4">
        <v>3.0299999999999997E-2</v>
      </c>
      <c r="I406" s="6">
        <v>3.5845883745187601E-2</v>
      </c>
      <c r="J406" s="6">
        <f t="shared" si="25"/>
        <v>2.425557275541795E-2</v>
      </c>
      <c r="K406" s="21">
        <f t="shared" si="26"/>
        <v>3.0756826515136085E-5</v>
      </c>
      <c r="L406">
        <f t="shared" si="27"/>
        <v>18.303246683787474</v>
      </c>
    </row>
    <row r="407" spans="1:12" x14ac:dyDescent="0.15">
      <c r="A407" s="3">
        <f>DATE(1993,9,1)</f>
        <v>34213</v>
      </c>
      <c r="B407" s="4">
        <v>3.0899999999999997E-2</v>
      </c>
      <c r="C407" s="6">
        <f t="shared" si="24"/>
        <v>3.5291295370668843E-2</v>
      </c>
      <c r="G407" s="3">
        <v>34213</v>
      </c>
      <c r="H407" s="4">
        <v>3.0899999999999997E-2</v>
      </c>
      <c r="I407" s="6">
        <v>3.5291295370668843E-2</v>
      </c>
      <c r="J407" s="6">
        <f t="shared" si="25"/>
        <v>2.365557275541795E-2</v>
      </c>
      <c r="K407" s="21">
        <f t="shared" si="26"/>
        <v>1.9283475032457639E-5</v>
      </c>
      <c r="L407">
        <f t="shared" si="27"/>
        <v>14.211311879187205</v>
      </c>
    </row>
    <row r="408" spans="1:12" x14ac:dyDescent="0.15">
      <c r="A408" s="3">
        <f>DATE(1993,10,1)</f>
        <v>34243</v>
      </c>
      <c r="B408" s="4">
        <v>2.9900000000000003E-2</v>
      </c>
      <c r="C408" s="6">
        <f t="shared" si="24"/>
        <v>3.4852165833601963E-2</v>
      </c>
      <c r="G408" s="3">
        <v>34243</v>
      </c>
      <c r="H408" s="4">
        <v>2.9900000000000003E-2</v>
      </c>
      <c r="I408" s="6">
        <v>3.4852165833601963E-2</v>
      </c>
      <c r="J408" s="6">
        <f t="shared" si="25"/>
        <v>2.4655572755417944E-2</v>
      </c>
      <c r="K408" s="21">
        <f t="shared" si="26"/>
        <v>2.4523946443494593E-5</v>
      </c>
      <c r="L408">
        <f t="shared" si="27"/>
        <v>16.562427537130297</v>
      </c>
    </row>
    <row r="409" spans="1:12" x14ac:dyDescent="0.15">
      <c r="A409" s="3">
        <f>DATE(1993,11,1)</f>
        <v>34274</v>
      </c>
      <c r="B409" s="4">
        <v>3.0200000000000001E-2</v>
      </c>
      <c r="C409" s="6">
        <f t="shared" si="24"/>
        <v>3.4356949250241769E-2</v>
      </c>
      <c r="G409" s="3">
        <v>34274</v>
      </c>
      <c r="H409" s="4">
        <v>3.0200000000000001E-2</v>
      </c>
      <c r="I409" s="6">
        <v>3.4356949250241769E-2</v>
      </c>
      <c r="J409" s="6">
        <f t="shared" si="25"/>
        <v>2.4355572755417946E-2</v>
      </c>
      <c r="K409" s="21">
        <f t="shared" si="26"/>
        <v>1.7280227069085601E-5</v>
      </c>
      <c r="L409">
        <f t="shared" si="27"/>
        <v>13.764732616694598</v>
      </c>
    </row>
    <row r="410" spans="1:12" x14ac:dyDescent="0.15">
      <c r="A410" s="3">
        <f>DATE(1993,12,1)</f>
        <v>34304</v>
      </c>
      <c r="B410" s="4">
        <v>2.9600000000000001E-2</v>
      </c>
      <c r="C410" s="6">
        <f t="shared" si="24"/>
        <v>3.3941254325217593E-2</v>
      </c>
      <c r="G410" s="3">
        <v>34304</v>
      </c>
      <c r="H410" s="4">
        <v>2.9600000000000001E-2</v>
      </c>
      <c r="I410" s="6">
        <v>3.3941254325217593E-2</v>
      </c>
      <c r="J410" s="6">
        <f t="shared" si="25"/>
        <v>2.4955572755417946E-2</v>
      </c>
      <c r="K410" s="21">
        <f t="shared" si="26"/>
        <v>1.8846489116220449E-5</v>
      </c>
      <c r="L410">
        <f t="shared" si="27"/>
        <v>14.666399747356728</v>
      </c>
    </row>
    <row r="411" spans="1:12" x14ac:dyDescent="0.15">
      <c r="A411" s="3">
        <f>DATE(1994,1,1)</f>
        <v>34335</v>
      </c>
      <c r="B411" s="4">
        <v>3.0499999999999999E-2</v>
      </c>
      <c r="C411" s="6">
        <f t="shared" si="24"/>
        <v>3.3507128892695831E-2</v>
      </c>
      <c r="G411" s="3">
        <v>34335</v>
      </c>
      <c r="H411" s="4">
        <v>3.0499999999999999E-2</v>
      </c>
      <c r="I411" s="6">
        <v>3.3507128892695831E-2</v>
      </c>
      <c r="J411" s="6">
        <f t="shared" si="25"/>
        <v>2.4055572755417948E-2</v>
      </c>
      <c r="K411" s="21">
        <f t="shared" si="26"/>
        <v>9.0428241772860591E-6</v>
      </c>
      <c r="L411">
        <f t="shared" si="27"/>
        <v>9.8594389924453498</v>
      </c>
    </row>
    <row r="412" spans="1:12" x14ac:dyDescent="0.15">
      <c r="A412" s="3">
        <f>DATE(1994,2,1)</f>
        <v>34366</v>
      </c>
      <c r="B412" s="4">
        <v>3.2500000000000001E-2</v>
      </c>
      <c r="C412" s="6">
        <f t="shared" si="24"/>
        <v>3.3206416003426248E-2</v>
      </c>
      <c r="G412" s="3">
        <v>34366</v>
      </c>
      <c r="H412" s="4">
        <v>3.2500000000000001E-2</v>
      </c>
      <c r="I412" s="6">
        <v>3.3206416003426248E-2</v>
      </c>
      <c r="J412" s="6">
        <f t="shared" si="25"/>
        <v>2.2055572755417946E-2</v>
      </c>
      <c r="K412" s="21">
        <f t="shared" si="26"/>
        <v>4.9902356989671107E-7</v>
      </c>
      <c r="L412">
        <f t="shared" si="27"/>
        <v>2.1735877028499901</v>
      </c>
    </row>
    <row r="413" spans="1:12" x14ac:dyDescent="0.15">
      <c r="A413" s="3">
        <f>DATE(1994,3,1)</f>
        <v>34394</v>
      </c>
      <c r="B413" s="4">
        <v>3.3399999999999999E-2</v>
      </c>
      <c r="C413" s="6">
        <f t="shared" si="24"/>
        <v>3.3135774403083622E-2</v>
      </c>
      <c r="G413" s="3">
        <v>34394</v>
      </c>
      <c r="H413" s="4">
        <v>3.3399999999999999E-2</v>
      </c>
      <c r="I413" s="6">
        <v>3.3135774403083622E-2</v>
      </c>
      <c r="J413" s="6">
        <f t="shared" si="25"/>
        <v>2.1155572755417948E-2</v>
      </c>
      <c r="K413" s="21">
        <f t="shared" si="26"/>
        <v>6.9815166065815903E-8</v>
      </c>
      <c r="L413">
        <f t="shared" si="27"/>
        <v>0.79109460154603983</v>
      </c>
    </row>
    <row r="414" spans="1:12" x14ac:dyDescent="0.15">
      <c r="A414" s="3">
        <f>DATE(1994,4,1)</f>
        <v>34425</v>
      </c>
      <c r="B414" s="4">
        <v>3.56E-2</v>
      </c>
      <c r="C414" s="6">
        <f t="shared" si="24"/>
        <v>3.316219696277526E-2</v>
      </c>
      <c r="G414" s="3">
        <v>34425</v>
      </c>
      <c r="H414" s="4">
        <v>3.56E-2</v>
      </c>
      <c r="I414" s="6">
        <v>3.316219696277526E-2</v>
      </c>
      <c r="J414" s="6">
        <f t="shared" si="25"/>
        <v>1.8955572755417947E-2</v>
      </c>
      <c r="K414" s="21">
        <f t="shared" si="26"/>
        <v>5.942883648302164E-6</v>
      </c>
      <c r="L414">
        <f t="shared" si="27"/>
        <v>6.8477613405189306</v>
      </c>
    </row>
    <row r="415" spans="1:12" x14ac:dyDescent="0.15">
      <c r="A415" s="3">
        <f>DATE(1994,5,1)</f>
        <v>34455</v>
      </c>
      <c r="B415" s="4">
        <v>4.0099999999999997E-2</v>
      </c>
      <c r="C415" s="6">
        <f t="shared" si="24"/>
        <v>3.3405977266497737E-2</v>
      </c>
      <c r="G415" s="3">
        <v>34455</v>
      </c>
      <c r="H415" s="4">
        <v>4.0099999999999997E-2</v>
      </c>
      <c r="I415" s="6">
        <v>3.3405977266497737E-2</v>
      </c>
      <c r="J415" s="6">
        <f t="shared" si="25"/>
        <v>1.445557275541795E-2</v>
      </c>
      <c r="K415" s="21">
        <f t="shared" si="26"/>
        <v>4.4809940356645068E-5</v>
      </c>
      <c r="L415">
        <f t="shared" si="27"/>
        <v>16.693323524943292</v>
      </c>
    </row>
    <row r="416" spans="1:12" x14ac:dyDescent="0.15">
      <c r="A416" s="3">
        <f>DATE(1994,6,1)</f>
        <v>34486</v>
      </c>
      <c r="B416" s="4">
        <v>4.2500000000000003E-2</v>
      </c>
      <c r="C416" s="6">
        <f t="shared" si="24"/>
        <v>3.4075379539847961E-2</v>
      </c>
      <c r="G416" s="3">
        <v>34486</v>
      </c>
      <c r="H416" s="4">
        <v>4.2500000000000003E-2</v>
      </c>
      <c r="I416" s="6">
        <v>3.4075379539847961E-2</v>
      </c>
      <c r="J416" s="6">
        <f t="shared" si="25"/>
        <v>1.2055572755417944E-2</v>
      </c>
      <c r="K416" s="21">
        <f t="shared" si="26"/>
        <v>7.097422989761241E-5</v>
      </c>
      <c r="L416">
        <f t="shared" si="27"/>
        <v>19.822636376828335</v>
      </c>
    </row>
    <row r="417" spans="1:12" x14ac:dyDescent="0.15">
      <c r="A417" s="3">
        <f>DATE(1994,7,1)</f>
        <v>34516</v>
      </c>
      <c r="B417" s="4">
        <v>4.2599999999999999E-2</v>
      </c>
      <c r="C417" s="6">
        <f t="shared" si="24"/>
        <v>3.4917841585863169E-2</v>
      </c>
      <c r="G417" s="3">
        <v>34516</v>
      </c>
      <c r="H417" s="4">
        <v>4.2599999999999999E-2</v>
      </c>
      <c r="I417" s="6">
        <v>3.4917841585863169E-2</v>
      </c>
      <c r="J417" s="6">
        <f t="shared" si="25"/>
        <v>1.1955572755417948E-2</v>
      </c>
      <c r="K417" s="21">
        <f t="shared" si="26"/>
        <v>5.9015557899893299E-5</v>
      </c>
      <c r="L417">
        <f t="shared" si="27"/>
        <v>18.033235713936222</v>
      </c>
    </row>
    <row r="418" spans="1:12" x14ac:dyDescent="0.15">
      <c r="A418" s="3">
        <f>DATE(1994,8,1)</f>
        <v>34547</v>
      </c>
      <c r="B418" s="4">
        <v>4.4699999999999997E-2</v>
      </c>
      <c r="C418" s="6">
        <f t="shared" si="24"/>
        <v>3.5686057427276853E-2</v>
      </c>
      <c r="G418" s="3">
        <v>34547</v>
      </c>
      <c r="H418" s="4">
        <v>4.4699999999999997E-2</v>
      </c>
      <c r="I418" s="6">
        <v>3.5686057427276853E-2</v>
      </c>
      <c r="J418" s="6">
        <f t="shared" si="25"/>
        <v>9.8555727554179504E-3</v>
      </c>
      <c r="K418" s="21">
        <f t="shared" si="26"/>
        <v>8.1251160704350731E-5</v>
      </c>
      <c r="L418">
        <f t="shared" si="27"/>
        <v>20.165419625778846</v>
      </c>
    </row>
    <row r="419" spans="1:12" x14ac:dyDescent="0.15">
      <c r="A419" s="3">
        <f>DATE(1994,9,1)</f>
        <v>34578</v>
      </c>
      <c r="B419" s="4">
        <v>4.7300000000000002E-2</v>
      </c>
      <c r="C419" s="6">
        <f t="shared" si="24"/>
        <v>3.6587451684549167E-2</v>
      </c>
      <c r="G419" s="3">
        <v>34578</v>
      </c>
      <c r="H419" s="4">
        <v>4.7300000000000002E-2</v>
      </c>
      <c r="I419" s="6">
        <v>3.6587451684549167E-2</v>
      </c>
      <c r="J419" s="6">
        <f t="shared" si="25"/>
        <v>7.2555727554179453E-3</v>
      </c>
      <c r="K419" s="21">
        <f t="shared" si="26"/>
        <v>1.1475869141086851E-4</v>
      </c>
      <c r="L419">
        <f t="shared" si="27"/>
        <v>22.648093690170896</v>
      </c>
    </row>
    <row r="420" spans="1:12" x14ac:dyDescent="0.15">
      <c r="A420" s="3">
        <f>DATE(1994,10,1)</f>
        <v>34608</v>
      </c>
      <c r="B420" s="4">
        <v>4.7599999999999996E-2</v>
      </c>
      <c r="C420" s="6">
        <f t="shared" si="24"/>
        <v>3.7658706516094251E-2</v>
      </c>
      <c r="G420" s="3">
        <v>34608</v>
      </c>
      <c r="H420" s="4">
        <v>4.7599999999999996E-2</v>
      </c>
      <c r="I420" s="6">
        <v>3.7658706516094251E-2</v>
      </c>
      <c r="J420" s="6">
        <f t="shared" si="25"/>
        <v>6.9555727554179506E-3</v>
      </c>
      <c r="K420" s="21">
        <f t="shared" si="26"/>
        <v>9.882931613314684E-5</v>
      </c>
      <c r="L420">
        <f t="shared" si="27"/>
        <v>20.885070344339805</v>
      </c>
    </row>
    <row r="421" spans="1:12" x14ac:dyDescent="0.15">
      <c r="A421" s="3">
        <f>DATE(1994,11,1)</f>
        <v>34639</v>
      </c>
      <c r="B421" s="4">
        <v>5.2900000000000003E-2</v>
      </c>
      <c r="C421" s="6">
        <f t="shared" si="24"/>
        <v>3.8652835864484827E-2</v>
      </c>
      <c r="G421" s="3">
        <v>34639</v>
      </c>
      <c r="H421" s="4">
        <v>5.2900000000000003E-2</v>
      </c>
      <c r="I421" s="6">
        <v>3.8652835864484827E-2</v>
      </c>
      <c r="J421" s="6">
        <f t="shared" si="25"/>
        <v>1.6555727554179445E-3</v>
      </c>
      <c r="K421" s="21">
        <f t="shared" si="26"/>
        <v>2.0298168590430986E-4</v>
      </c>
      <c r="L421">
        <f t="shared" si="27"/>
        <v>26.932257345019234</v>
      </c>
    </row>
    <row r="422" spans="1:12" x14ac:dyDescent="0.15">
      <c r="A422" s="3">
        <f>DATE(1994,12,1)</f>
        <v>34669</v>
      </c>
      <c r="B422" s="4">
        <v>5.45E-2</v>
      </c>
      <c r="C422" s="6">
        <f t="shared" si="24"/>
        <v>4.0077552278036346E-2</v>
      </c>
      <c r="G422" s="3">
        <v>34669</v>
      </c>
      <c r="H422" s="4">
        <v>5.45E-2</v>
      </c>
      <c r="I422" s="6">
        <v>4.0077552278036346E-2</v>
      </c>
      <c r="J422" s="6">
        <f t="shared" si="25"/>
        <v>5.5572755417947206E-5</v>
      </c>
      <c r="K422" s="21">
        <f t="shared" si="26"/>
        <v>2.0800699829277459E-4</v>
      </c>
      <c r="L422">
        <f t="shared" si="27"/>
        <v>26.46320682929111</v>
      </c>
    </row>
    <row r="423" spans="1:12" x14ac:dyDescent="0.15">
      <c r="A423" s="3">
        <f>DATE(1995,1,1)</f>
        <v>34700</v>
      </c>
      <c r="B423" s="4">
        <v>5.5300000000000002E-2</v>
      </c>
      <c r="C423" s="6">
        <f t="shared" si="24"/>
        <v>4.1519797050232718E-2</v>
      </c>
      <c r="G423" s="3">
        <v>34700</v>
      </c>
      <c r="H423" s="4">
        <v>5.5300000000000002E-2</v>
      </c>
      <c r="I423" s="6">
        <v>4.1519797050232718E-2</v>
      </c>
      <c r="J423" s="6">
        <f t="shared" si="25"/>
        <v>7.4442724458205489E-4</v>
      </c>
      <c r="K423" s="21">
        <f t="shared" si="26"/>
        <v>1.8989399333677496E-4</v>
      </c>
      <c r="L423">
        <f t="shared" si="27"/>
        <v>24.918992675890205</v>
      </c>
    </row>
    <row r="424" spans="1:12" x14ac:dyDescent="0.15">
      <c r="A424" s="3">
        <f>DATE(1995,2,1)</f>
        <v>34731</v>
      </c>
      <c r="B424" s="4">
        <v>5.9200000000000003E-2</v>
      </c>
      <c r="C424" s="6">
        <f t="shared" si="24"/>
        <v>4.2897817345209449E-2</v>
      </c>
      <c r="G424" s="3">
        <v>34731</v>
      </c>
      <c r="H424" s="4">
        <v>5.9200000000000003E-2</v>
      </c>
      <c r="I424" s="6">
        <v>4.2897817345209449E-2</v>
      </c>
      <c r="J424" s="6">
        <f t="shared" si="25"/>
        <v>4.6444272445820556E-3</v>
      </c>
      <c r="K424" s="21">
        <f t="shared" si="26"/>
        <v>2.6576115931015398E-4</v>
      </c>
      <c r="L424">
        <f t="shared" si="27"/>
        <v>27.537470700659718</v>
      </c>
    </row>
    <row r="425" spans="1:12" x14ac:dyDescent="0.15">
      <c r="A425" s="3">
        <f>DATE(1995,3,1)</f>
        <v>34759</v>
      </c>
      <c r="B425" s="4">
        <v>5.9800000000000006E-2</v>
      </c>
      <c r="C425" s="6">
        <f t="shared" si="24"/>
        <v>4.4528035610688507E-2</v>
      </c>
      <c r="G425" s="3">
        <v>34759</v>
      </c>
      <c r="H425" s="4">
        <v>5.9800000000000006E-2</v>
      </c>
      <c r="I425" s="6">
        <v>4.4528035610688507E-2</v>
      </c>
      <c r="J425" s="6">
        <f t="shared" si="25"/>
        <v>5.2444272445820589E-3</v>
      </c>
      <c r="K425" s="21">
        <f t="shared" si="26"/>
        <v>2.3323289630839853E-4</v>
      </c>
      <c r="L425">
        <f t="shared" si="27"/>
        <v>25.538401988815213</v>
      </c>
    </row>
    <row r="426" spans="1:12" x14ac:dyDescent="0.15">
      <c r="A426" s="3">
        <f>DATE(1995,4,1)</f>
        <v>34790</v>
      </c>
      <c r="B426" s="4">
        <v>6.0499999999999998E-2</v>
      </c>
      <c r="C426" s="6">
        <f t="shared" si="24"/>
        <v>4.6055232049619657E-2</v>
      </c>
      <c r="G426" s="3">
        <v>34790</v>
      </c>
      <c r="H426" s="4">
        <v>6.0499999999999998E-2</v>
      </c>
      <c r="I426" s="6">
        <v>4.6055232049619657E-2</v>
      </c>
      <c r="J426" s="6">
        <f t="shared" si="25"/>
        <v>5.9444272445820512E-3</v>
      </c>
      <c r="K426" s="21">
        <f t="shared" si="26"/>
        <v>2.0865132114033507E-4</v>
      </c>
      <c r="L426">
        <f t="shared" si="27"/>
        <v>23.875649504760897</v>
      </c>
    </row>
    <row r="427" spans="1:12" x14ac:dyDescent="0.15">
      <c r="A427" s="3">
        <f>DATE(1995,5,1)</f>
        <v>34820</v>
      </c>
      <c r="B427" s="4">
        <v>6.0100000000000001E-2</v>
      </c>
      <c r="C427" s="6">
        <f t="shared" si="24"/>
        <v>4.7499708844657693E-2</v>
      </c>
      <c r="G427" s="3">
        <v>34820</v>
      </c>
      <c r="H427" s="4">
        <v>6.0100000000000001E-2</v>
      </c>
      <c r="I427" s="6">
        <v>4.7499708844657693E-2</v>
      </c>
      <c r="J427" s="6">
        <f t="shared" si="25"/>
        <v>5.5444272445820536E-3</v>
      </c>
      <c r="K427" s="21">
        <f t="shared" si="26"/>
        <v>1.5876733719939759E-4</v>
      </c>
      <c r="L427">
        <f t="shared" si="27"/>
        <v>20.965542687757583</v>
      </c>
    </row>
    <row r="428" spans="1:12" x14ac:dyDescent="0.15">
      <c r="A428" s="3">
        <f>DATE(1995,6,1)</f>
        <v>34851</v>
      </c>
      <c r="B428" s="4">
        <v>0.06</v>
      </c>
      <c r="C428" s="6">
        <f t="shared" si="24"/>
        <v>4.8759737960191923E-2</v>
      </c>
      <c r="G428" s="3">
        <v>34851</v>
      </c>
      <c r="H428" s="4">
        <v>0.06</v>
      </c>
      <c r="I428" s="6">
        <v>4.8759737960191923E-2</v>
      </c>
      <c r="J428" s="6">
        <f t="shared" si="25"/>
        <v>5.4444272445820507E-3</v>
      </c>
      <c r="K428" s="21">
        <f t="shared" si="26"/>
        <v>1.2634349072355037E-4</v>
      </c>
      <c r="L428">
        <f t="shared" si="27"/>
        <v>18.733770066346793</v>
      </c>
    </row>
    <row r="429" spans="1:12" x14ac:dyDescent="0.15">
      <c r="A429" s="3">
        <f>DATE(1995,7,1)</f>
        <v>34881</v>
      </c>
      <c r="B429" s="4">
        <v>5.8499999999999996E-2</v>
      </c>
      <c r="C429" s="6">
        <f t="shared" si="24"/>
        <v>4.9883764164172728E-2</v>
      </c>
      <c r="G429" s="3">
        <v>34881</v>
      </c>
      <c r="H429" s="4">
        <v>5.8499999999999996E-2</v>
      </c>
      <c r="I429" s="6">
        <v>4.9883764164172728E-2</v>
      </c>
      <c r="J429" s="6">
        <f t="shared" si="25"/>
        <v>3.9444272445820494E-3</v>
      </c>
      <c r="K429" s="21">
        <f t="shared" si="26"/>
        <v>7.4239519978594028E-5</v>
      </c>
      <c r="L429">
        <f t="shared" si="27"/>
        <v>14.728608266371399</v>
      </c>
    </row>
    <row r="430" spans="1:12" x14ac:dyDescent="0.15">
      <c r="A430" s="3">
        <f>DATE(1995,8,1)</f>
        <v>34912</v>
      </c>
      <c r="B430" s="4">
        <v>5.74E-2</v>
      </c>
      <c r="C430" s="6">
        <f t="shared" si="24"/>
        <v>5.0745387747755458E-2</v>
      </c>
      <c r="G430" s="3">
        <v>34912</v>
      </c>
      <c r="H430" s="4">
        <v>5.74E-2</v>
      </c>
      <c r="I430" s="6">
        <v>5.0745387747755458E-2</v>
      </c>
      <c r="J430" s="6">
        <f t="shared" si="25"/>
        <v>2.8444272445820526E-3</v>
      </c>
      <c r="K430" s="21">
        <f t="shared" si="26"/>
        <v>4.4283864227723174E-5</v>
      </c>
      <c r="L430">
        <f t="shared" si="27"/>
        <v>11.593401136314533</v>
      </c>
    </row>
    <row r="431" spans="1:12" x14ac:dyDescent="0.15">
      <c r="A431" s="3">
        <f>DATE(1995,9,1)</f>
        <v>34943</v>
      </c>
      <c r="B431" s="4">
        <v>5.7999999999999996E-2</v>
      </c>
      <c r="C431" s="6">
        <f t="shared" si="24"/>
        <v>5.1410848972979914E-2</v>
      </c>
      <c r="G431" s="3">
        <v>34943</v>
      </c>
      <c r="H431" s="4">
        <v>5.7999999999999996E-2</v>
      </c>
      <c r="I431" s="6">
        <v>5.1410848972979914E-2</v>
      </c>
      <c r="J431" s="6">
        <f t="shared" si="25"/>
        <v>3.444427244582049E-3</v>
      </c>
      <c r="K431" s="21">
        <f t="shared" si="26"/>
        <v>4.3416911256879802E-5</v>
      </c>
      <c r="L431">
        <f t="shared" si="27"/>
        <v>11.360605219000142</v>
      </c>
    </row>
    <row r="432" spans="1:12" x14ac:dyDescent="0.15">
      <c r="A432" s="3">
        <f>DATE(1995,10,1)</f>
        <v>34973</v>
      </c>
      <c r="B432" s="4">
        <v>5.7599999999999998E-2</v>
      </c>
      <c r="C432" s="6">
        <f t="shared" si="24"/>
        <v>5.2069764075681924E-2</v>
      </c>
      <c r="G432" s="3">
        <v>34973</v>
      </c>
      <c r="H432" s="4">
        <v>5.7599999999999998E-2</v>
      </c>
      <c r="I432" s="6">
        <v>5.2069764075681924E-2</v>
      </c>
      <c r="J432" s="6">
        <f t="shared" si="25"/>
        <v>3.0444272445820514E-3</v>
      </c>
      <c r="K432" s="21">
        <f t="shared" si="26"/>
        <v>3.0583509378618192E-5</v>
      </c>
      <c r="L432">
        <f t="shared" si="27"/>
        <v>9.6011040352744352</v>
      </c>
    </row>
    <row r="433" spans="1:12" x14ac:dyDescent="0.15">
      <c r="A433" s="3">
        <f>DATE(1995,11,1)</f>
        <v>35004</v>
      </c>
      <c r="B433" s="4">
        <v>5.7999999999999996E-2</v>
      </c>
      <c r="C433" s="6">
        <f t="shared" si="24"/>
        <v>5.2622787668113735E-2</v>
      </c>
      <c r="G433" s="3">
        <v>35004</v>
      </c>
      <c r="H433" s="4">
        <v>5.7999999999999996E-2</v>
      </c>
      <c r="I433" s="6">
        <v>5.2622787668113735E-2</v>
      </c>
      <c r="J433" s="6">
        <f t="shared" si="25"/>
        <v>3.444427244582049E-3</v>
      </c>
      <c r="K433" s="21">
        <f t="shared" si="26"/>
        <v>2.8914412462189679E-5</v>
      </c>
      <c r="L433">
        <f t="shared" si="27"/>
        <v>9.2710557446314841</v>
      </c>
    </row>
    <row r="434" spans="1:12" x14ac:dyDescent="0.15">
      <c r="A434" s="3">
        <f>DATE(1995,12,1)</f>
        <v>35034</v>
      </c>
      <c r="B434" s="4">
        <v>5.5999999999999994E-2</v>
      </c>
      <c r="C434" s="6">
        <f t="shared" si="24"/>
        <v>5.3160508901302361E-2</v>
      </c>
      <c r="G434" s="3">
        <v>35034</v>
      </c>
      <c r="H434" s="4">
        <v>5.5999999999999994E-2</v>
      </c>
      <c r="I434" s="6">
        <v>5.3160508901302361E-2</v>
      </c>
      <c r="J434" s="6">
        <f t="shared" si="25"/>
        <v>1.4444272445820472E-3</v>
      </c>
      <c r="K434" s="21">
        <f t="shared" si="26"/>
        <v>8.0627096995830912E-6</v>
      </c>
      <c r="L434">
        <f t="shared" si="27"/>
        <v>5.0705198191029162</v>
      </c>
    </row>
    <row r="435" spans="1:12" x14ac:dyDescent="0.15">
      <c r="A435" s="3">
        <f>DATE(1996,1,1)</f>
        <v>35065</v>
      </c>
      <c r="B435" s="4">
        <v>5.5599999999999997E-2</v>
      </c>
      <c r="C435" s="6">
        <f t="shared" si="24"/>
        <v>5.3444458011172126E-2</v>
      </c>
      <c r="G435" s="3">
        <v>35065</v>
      </c>
      <c r="H435" s="4">
        <v>5.5599999999999997E-2</v>
      </c>
      <c r="I435" s="6">
        <v>5.3444458011172126E-2</v>
      </c>
      <c r="J435" s="6">
        <f t="shared" si="25"/>
        <v>1.0444272445820496E-3</v>
      </c>
      <c r="K435" s="21">
        <f t="shared" si="26"/>
        <v>4.6463612656000124E-6</v>
      </c>
      <c r="L435">
        <f t="shared" si="27"/>
        <v>3.876874080625667</v>
      </c>
    </row>
    <row r="436" spans="1:12" x14ac:dyDescent="0.15">
      <c r="A436" s="3">
        <f>DATE(1996,2,1)</f>
        <v>35096</v>
      </c>
      <c r="B436" s="4">
        <v>5.2199999999999996E-2</v>
      </c>
      <c r="C436" s="6">
        <f t="shared" si="24"/>
        <v>5.3660012210054918E-2</v>
      </c>
      <c r="G436" s="3">
        <v>35096</v>
      </c>
      <c r="H436" s="4">
        <v>5.2199999999999996E-2</v>
      </c>
      <c r="I436" s="6">
        <v>5.3660012210054918E-2</v>
      </c>
      <c r="J436" s="6">
        <f t="shared" si="25"/>
        <v>2.3555727554179506E-3</v>
      </c>
      <c r="K436" s="21">
        <f t="shared" si="26"/>
        <v>2.1316356535094561E-6</v>
      </c>
      <c r="L436">
        <f t="shared" si="27"/>
        <v>2.7969582568101945</v>
      </c>
    </row>
    <row r="437" spans="1:12" x14ac:dyDescent="0.15">
      <c r="A437" s="3">
        <f>DATE(1996,3,1)</f>
        <v>35125</v>
      </c>
      <c r="B437" s="4">
        <v>5.3099999999999994E-2</v>
      </c>
      <c r="C437" s="6">
        <f t="shared" si="24"/>
        <v>5.3514010989049426E-2</v>
      </c>
      <c r="G437" s="3">
        <v>35125</v>
      </c>
      <c r="H437" s="4">
        <v>5.3099999999999994E-2</v>
      </c>
      <c r="I437" s="6">
        <v>5.3514010989049426E-2</v>
      </c>
      <c r="J437" s="6">
        <f t="shared" si="25"/>
        <v>1.4555727554179526E-3</v>
      </c>
      <c r="K437" s="21">
        <f t="shared" si="26"/>
        <v>1.714050990536889E-7</v>
      </c>
      <c r="L437">
        <f t="shared" si="27"/>
        <v>0.77968171195749914</v>
      </c>
    </row>
    <row r="438" spans="1:12" x14ac:dyDescent="0.15">
      <c r="A438" s="3">
        <f>DATE(1996,4,1)</f>
        <v>35156</v>
      </c>
      <c r="B438" s="4">
        <v>5.2199999999999996E-2</v>
      </c>
      <c r="C438" s="6">
        <f t="shared" si="24"/>
        <v>5.347260989014449E-2</v>
      </c>
      <c r="G438" s="3">
        <v>35156</v>
      </c>
      <c r="H438" s="4">
        <v>5.2199999999999996E-2</v>
      </c>
      <c r="I438" s="6">
        <v>5.347260989014449E-2</v>
      </c>
      <c r="J438" s="6">
        <f t="shared" si="25"/>
        <v>2.3555727554179506E-3</v>
      </c>
      <c r="K438" s="21">
        <f t="shared" si="26"/>
        <v>1.6195359324935805E-6</v>
      </c>
      <c r="L438">
        <f t="shared" si="27"/>
        <v>2.4379499811197203</v>
      </c>
    </row>
    <row r="439" spans="1:12" x14ac:dyDescent="0.15">
      <c r="A439" s="3">
        <f>DATE(1996,5,1)</f>
        <v>35186</v>
      </c>
      <c r="B439" s="4">
        <v>5.2400000000000002E-2</v>
      </c>
      <c r="C439" s="6">
        <f t="shared" si="24"/>
        <v>5.3345348901130046E-2</v>
      </c>
      <c r="G439" s="3">
        <v>35186</v>
      </c>
      <c r="H439" s="4">
        <v>5.2400000000000002E-2</v>
      </c>
      <c r="I439" s="6">
        <v>5.3345348901130046E-2</v>
      </c>
      <c r="J439" s="6">
        <f t="shared" si="25"/>
        <v>2.1555727554179449E-3</v>
      </c>
      <c r="K439" s="21">
        <f t="shared" si="26"/>
        <v>8.9368454486778214E-7</v>
      </c>
      <c r="L439">
        <f t="shared" si="27"/>
        <v>1.8041009563550461</v>
      </c>
    </row>
    <row r="440" spans="1:12" x14ac:dyDescent="0.15">
      <c r="A440" s="3">
        <f>DATE(1996,6,1)</f>
        <v>35217</v>
      </c>
      <c r="B440" s="4">
        <v>5.2699999999999997E-2</v>
      </c>
      <c r="C440" s="6">
        <f t="shared" si="24"/>
        <v>5.3250814011017042E-2</v>
      </c>
      <c r="G440" s="3">
        <v>35217</v>
      </c>
      <c r="H440" s="4">
        <v>5.2699999999999997E-2</v>
      </c>
      <c r="I440" s="6">
        <v>5.3250814011017042E-2</v>
      </c>
      <c r="J440" s="6">
        <f t="shared" si="25"/>
        <v>1.8555727554179502E-3</v>
      </c>
      <c r="K440" s="21">
        <f t="shared" si="26"/>
        <v>3.0339607473268543E-7</v>
      </c>
      <c r="L440">
        <f t="shared" si="27"/>
        <v>1.0451878766926852</v>
      </c>
    </row>
    <row r="441" spans="1:12" x14ac:dyDescent="0.15">
      <c r="A441" s="3">
        <f>DATE(1996,7,1)</f>
        <v>35247</v>
      </c>
      <c r="B441" s="4">
        <v>5.4000000000000006E-2</v>
      </c>
      <c r="C441" s="6">
        <f t="shared" si="24"/>
        <v>5.3195732609915336E-2</v>
      </c>
      <c r="G441" s="3">
        <v>35247</v>
      </c>
      <c r="H441" s="4">
        <v>5.4000000000000006E-2</v>
      </c>
      <c r="I441" s="6">
        <v>5.3195732609915336E-2</v>
      </c>
      <c r="J441" s="6">
        <f t="shared" si="25"/>
        <v>5.5557275541794071E-4</v>
      </c>
      <c r="K441" s="21">
        <f t="shared" si="26"/>
        <v>6.4684603475360724E-7</v>
      </c>
      <c r="L441">
        <f t="shared" si="27"/>
        <v>1.4893840557123523</v>
      </c>
    </row>
    <row r="442" spans="1:12" x14ac:dyDescent="0.15">
      <c r="A442" s="3">
        <f>DATE(1996,8,1)</f>
        <v>35278</v>
      </c>
      <c r="B442" s="4">
        <v>5.2199999999999996E-2</v>
      </c>
      <c r="C442" s="6">
        <f t="shared" si="24"/>
        <v>5.3276159348923803E-2</v>
      </c>
      <c r="G442" s="3">
        <v>35278</v>
      </c>
      <c r="H442" s="4">
        <v>5.2199999999999996E-2</v>
      </c>
      <c r="I442" s="6">
        <v>5.3276159348923803E-2</v>
      </c>
      <c r="J442" s="6">
        <f t="shared" si="25"/>
        <v>2.3555727554179506E-3</v>
      </c>
      <c r="K442" s="21">
        <f t="shared" si="26"/>
        <v>1.1581189442761114E-6</v>
      </c>
      <c r="L442">
        <f t="shared" si="27"/>
        <v>2.0616079481298977</v>
      </c>
    </row>
    <row r="443" spans="1:12" x14ac:dyDescent="0.15">
      <c r="A443" s="3">
        <f>DATE(1996,9,1)</f>
        <v>35309</v>
      </c>
      <c r="B443" s="4">
        <v>5.2999999999999999E-2</v>
      </c>
      <c r="C443" s="6">
        <f t="shared" si="24"/>
        <v>5.3168543414031426E-2</v>
      </c>
      <c r="G443" s="3">
        <v>35309</v>
      </c>
      <c r="H443" s="4">
        <v>5.2999999999999999E-2</v>
      </c>
      <c r="I443" s="6">
        <v>5.3168543414031426E-2</v>
      </c>
      <c r="J443" s="6">
        <f t="shared" si="25"/>
        <v>1.5555727554179485E-3</v>
      </c>
      <c r="K443" s="21">
        <f t="shared" si="26"/>
        <v>2.8406882413369148E-8</v>
      </c>
      <c r="L443">
        <f t="shared" si="27"/>
        <v>0.31800644156873092</v>
      </c>
    </row>
    <row r="444" spans="1:12" x14ac:dyDescent="0.15">
      <c r="A444" s="3">
        <f>DATE(1996,10,1)</f>
        <v>35339</v>
      </c>
      <c r="B444" s="4">
        <v>5.2400000000000002E-2</v>
      </c>
      <c r="C444" s="6">
        <f t="shared" si="24"/>
        <v>5.315168907262828E-2</v>
      </c>
      <c r="G444" s="3">
        <v>35339</v>
      </c>
      <c r="H444" s="4">
        <v>5.2400000000000002E-2</v>
      </c>
      <c r="I444" s="6">
        <v>5.315168907262828E-2</v>
      </c>
      <c r="J444" s="6">
        <f t="shared" si="25"/>
        <v>2.1555727554179449E-3</v>
      </c>
      <c r="K444" s="21">
        <f t="shared" si="26"/>
        <v>5.6503646190876091E-7</v>
      </c>
      <c r="L444">
        <f t="shared" si="27"/>
        <v>1.4345211309699966</v>
      </c>
    </row>
    <row r="445" spans="1:12" x14ac:dyDescent="0.15">
      <c r="A445" s="3">
        <f>DATE(1996,11,1)</f>
        <v>35370</v>
      </c>
      <c r="B445" s="4">
        <v>5.3099999999999994E-2</v>
      </c>
      <c r="C445" s="6">
        <f t="shared" si="24"/>
        <v>5.3076520165365453E-2</v>
      </c>
      <c r="G445" s="3">
        <v>35370</v>
      </c>
      <c r="H445" s="4">
        <v>5.3099999999999994E-2</v>
      </c>
      <c r="I445" s="6">
        <v>5.3076520165365453E-2</v>
      </c>
      <c r="J445" s="6">
        <f t="shared" si="25"/>
        <v>1.4555727554179526E-3</v>
      </c>
      <c r="K445" s="21">
        <f t="shared" si="26"/>
        <v>5.5130263446543319E-10</v>
      </c>
      <c r="L445">
        <f t="shared" si="27"/>
        <v>4.4218144321171181E-2</v>
      </c>
    </row>
    <row r="446" spans="1:12" x14ac:dyDescent="0.15">
      <c r="A446" s="3">
        <f>DATE(1996,12,1)</f>
        <v>35400</v>
      </c>
      <c r="B446" s="4">
        <v>5.2900000000000003E-2</v>
      </c>
      <c r="C446" s="6">
        <f t="shared" si="24"/>
        <v>5.3078868148828909E-2</v>
      </c>
      <c r="G446" s="3">
        <v>35400</v>
      </c>
      <c r="H446" s="4">
        <v>5.2900000000000003E-2</v>
      </c>
      <c r="I446" s="6">
        <v>5.3078868148828909E-2</v>
      </c>
      <c r="J446" s="6">
        <f t="shared" si="25"/>
        <v>1.6555727554179445E-3</v>
      </c>
      <c r="K446" s="21">
        <f t="shared" si="26"/>
        <v>3.1993814665479749E-8</v>
      </c>
      <c r="L446">
        <f t="shared" si="27"/>
        <v>0.33812504504519131</v>
      </c>
    </row>
    <row r="447" spans="1:12" x14ac:dyDescent="0.15">
      <c r="A447" s="3">
        <f>DATE(1997,1,1)</f>
        <v>35431</v>
      </c>
      <c r="B447" s="4">
        <v>5.2499999999999998E-2</v>
      </c>
      <c r="C447" s="6">
        <f t="shared" si="24"/>
        <v>5.3060981333946024E-2</v>
      </c>
      <c r="G447" s="3">
        <v>35431</v>
      </c>
      <c r="H447" s="4">
        <v>5.2499999999999998E-2</v>
      </c>
      <c r="I447" s="6">
        <v>5.3060981333946024E-2</v>
      </c>
      <c r="J447" s="6">
        <f t="shared" si="25"/>
        <v>2.055572755417949E-3</v>
      </c>
      <c r="K447" s="21">
        <f t="shared" si="26"/>
        <v>3.147000570358624E-7</v>
      </c>
      <c r="L447">
        <f t="shared" si="27"/>
        <v>1.0685358741829061</v>
      </c>
    </row>
    <row r="448" spans="1:12" x14ac:dyDescent="0.15">
      <c r="A448" s="3">
        <f>DATE(1997,2,1)</f>
        <v>35462</v>
      </c>
      <c r="B448" s="4">
        <v>5.1900000000000002E-2</v>
      </c>
      <c r="C448" s="6">
        <f t="shared" si="24"/>
        <v>5.3004883200551418E-2</v>
      </c>
      <c r="G448" s="3">
        <v>35462</v>
      </c>
      <c r="H448" s="4">
        <v>5.1900000000000002E-2</v>
      </c>
      <c r="I448" s="6">
        <v>5.3004883200551418E-2</v>
      </c>
      <c r="J448" s="6">
        <f t="shared" si="25"/>
        <v>2.6555727554179454E-3</v>
      </c>
      <c r="K448" s="21">
        <f t="shared" si="26"/>
        <v>1.2207668868607421E-6</v>
      </c>
      <c r="L448">
        <f t="shared" si="27"/>
        <v>2.1288693652243098</v>
      </c>
    </row>
    <row r="449" spans="1:12" x14ac:dyDescent="0.15">
      <c r="A449" s="3">
        <f>DATE(1997,3,1)</f>
        <v>35490</v>
      </c>
      <c r="B449" s="4">
        <v>5.3899999999999997E-2</v>
      </c>
      <c r="C449" s="6">
        <f t="shared" si="24"/>
        <v>5.2894394880496277E-2</v>
      </c>
      <c r="G449" s="3">
        <v>35490</v>
      </c>
      <c r="H449" s="4">
        <v>5.3899999999999997E-2</v>
      </c>
      <c r="I449" s="6">
        <v>5.2894394880496277E-2</v>
      </c>
      <c r="J449" s="6">
        <f t="shared" si="25"/>
        <v>6.5557275541795051E-4</v>
      </c>
      <c r="K449" s="21">
        <f t="shared" si="26"/>
        <v>1.0112416563720892E-6</v>
      </c>
      <c r="L449">
        <f t="shared" si="27"/>
        <v>1.8656866781145069</v>
      </c>
    </row>
    <row r="450" spans="1:12" x14ac:dyDescent="0.15">
      <c r="A450" s="3">
        <f>DATE(1997,4,1)</f>
        <v>35521</v>
      </c>
      <c r="B450" s="4">
        <v>5.5099999999999996E-2</v>
      </c>
      <c r="C450" s="6">
        <f t="shared" si="24"/>
        <v>5.2994955392446648E-2</v>
      </c>
      <c r="G450" s="3">
        <v>35521</v>
      </c>
      <c r="H450" s="4">
        <v>5.5099999999999996E-2</v>
      </c>
      <c r="I450" s="6">
        <v>5.2994955392446648E-2</v>
      </c>
      <c r="J450" s="6">
        <f t="shared" si="25"/>
        <v>5.4442724458204916E-4</v>
      </c>
      <c r="K450" s="21">
        <f t="shared" si="26"/>
        <v>4.43121279978943E-6</v>
      </c>
      <c r="L450">
        <f t="shared" si="27"/>
        <v>3.8204076362129733</v>
      </c>
    </row>
    <row r="451" spans="1:12" x14ac:dyDescent="0.15">
      <c r="A451" s="3">
        <f>DATE(1997,5,1)</f>
        <v>35551</v>
      </c>
      <c r="B451" s="4">
        <v>5.5E-2</v>
      </c>
      <c r="C451" s="6">
        <f t="shared" si="24"/>
        <v>5.3205459853201985E-2</v>
      </c>
      <c r="G451" s="3">
        <v>35551</v>
      </c>
      <c r="H451" s="4">
        <v>5.5E-2</v>
      </c>
      <c r="I451" s="6">
        <v>5.3205459853201985E-2</v>
      </c>
      <c r="J451" s="6">
        <f t="shared" si="25"/>
        <v>4.4442724458205324E-4</v>
      </c>
      <c r="K451" s="21">
        <f t="shared" si="26"/>
        <v>3.2203743384698428E-6</v>
      </c>
      <c r="L451">
        <f t="shared" si="27"/>
        <v>3.262800266905483</v>
      </c>
    </row>
    <row r="452" spans="1:12" x14ac:dyDescent="0.15">
      <c r="A452" s="3">
        <f>DATE(1997,6,1)</f>
        <v>35582</v>
      </c>
      <c r="B452" s="4">
        <v>5.5599999999999997E-2</v>
      </c>
      <c r="C452" s="6">
        <f t="shared" si="24"/>
        <v>5.3384913867881786E-2</v>
      </c>
      <c r="G452" s="3">
        <v>35582</v>
      </c>
      <c r="H452" s="4">
        <v>5.5599999999999997E-2</v>
      </c>
      <c r="I452" s="6">
        <v>5.3384913867881786E-2</v>
      </c>
      <c r="J452" s="6">
        <f t="shared" si="25"/>
        <v>1.0444272445820496E-3</v>
      </c>
      <c r="K452" s="21">
        <f t="shared" si="26"/>
        <v>4.9066065727024134E-6</v>
      </c>
      <c r="L452">
        <f t="shared" si="27"/>
        <v>3.9839678635219609</v>
      </c>
    </row>
    <row r="453" spans="1:12" x14ac:dyDescent="0.15">
      <c r="A453" s="3">
        <f>DATE(1997,7,1)</f>
        <v>35612</v>
      </c>
      <c r="B453" s="4">
        <v>5.5199999999999999E-2</v>
      </c>
      <c r="C453" s="6">
        <f t="shared" ref="C453:C516" si="28">0.1*B452+0.9*C452</f>
        <v>5.360642248109361E-2</v>
      </c>
      <c r="G453" s="3">
        <v>35612</v>
      </c>
      <c r="H453" s="4">
        <v>5.5199999999999999E-2</v>
      </c>
      <c r="I453" s="6">
        <v>5.360642248109361E-2</v>
      </c>
      <c r="J453" s="6">
        <f t="shared" ref="J453:J516" si="29">ABS(H453-$P$6)</f>
        <v>6.4442724458205203E-4</v>
      </c>
      <c r="K453" s="21">
        <f t="shared" ref="K453:K516" si="30">(H453-I453)^2</f>
        <v>2.5394893087638422E-6</v>
      </c>
      <c r="L453">
        <f t="shared" ref="L453:L516" si="31">ABS(I453-H453)/H453*100</f>
        <v>2.8869157951202697</v>
      </c>
    </row>
    <row r="454" spans="1:12" x14ac:dyDescent="0.15">
      <c r="A454" s="3">
        <f>DATE(1997,8,1)</f>
        <v>35643</v>
      </c>
      <c r="B454" s="4">
        <v>5.5399999999999998E-2</v>
      </c>
      <c r="C454" s="6">
        <f t="shared" si="28"/>
        <v>5.3765780232984256E-2</v>
      </c>
      <c r="G454" s="3">
        <v>35643</v>
      </c>
      <c r="H454" s="4">
        <v>5.5399999999999998E-2</v>
      </c>
      <c r="I454" s="6">
        <v>5.3765780232984256E-2</v>
      </c>
      <c r="J454" s="6">
        <f t="shared" si="29"/>
        <v>8.4442724458205082E-4</v>
      </c>
      <c r="K454" s="21">
        <f t="shared" si="30"/>
        <v>2.6706742469049857E-6</v>
      </c>
      <c r="L454">
        <f t="shared" si="31"/>
        <v>2.9498551751186675</v>
      </c>
    </row>
    <row r="455" spans="1:12" x14ac:dyDescent="0.15">
      <c r="A455" s="3">
        <f>DATE(1997,9,1)</f>
        <v>35674</v>
      </c>
      <c r="B455" s="4">
        <v>5.5399999999999998E-2</v>
      </c>
      <c r="C455" s="6">
        <f t="shared" si="28"/>
        <v>5.3929202209685834E-2</v>
      </c>
      <c r="G455" s="3">
        <v>35674</v>
      </c>
      <c r="H455" s="4">
        <v>5.5399999999999998E-2</v>
      </c>
      <c r="I455" s="6">
        <v>5.3929202209685834E-2</v>
      </c>
      <c r="J455" s="6">
        <f t="shared" si="29"/>
        <v>8.4442724458205082E-4</v>
      </c>
      <c r="K455" s="21">
        <f t="shared" si="30"/>
        <v>2.163246139993028E-6</v>
      </c>
      <c r="L455">
        <f t="shared" si="31"/>
        <v>2.6548696576067945</v>
      </c>
    </row>
    <row r="456" spans="1:12" x14ac:dyDescent="0.15">
      <c r="A456" s="3">
        <f>DATE(1997,10,1)</f>
        <v>35704</v>
      </c>
      <c r="B456" s="4">
        <v>5.5E-2</v>
      </c>
      <c r="C456" s="6">
        <f t="shared" si="28"/>
        <v>5.4076281988717251E-2</v>
      </c>
      <c r="G456" s="3">
        <v>35704</v>
      </c>
      <c r="H456" s="4">
        <v>5.5E-2</v>
      </c>
      <c r="I456" s="6">
        <v>5.4076281988717251E-2</v>
      </c>
      <c r="J456" s="6">
        <f t="shared" si="29"/>
        <v>4.4442724458205324E-4</v>
      </c>
      <c r="K456" s="21">
        <f t="shared" si="30"/>
        <v>8.5325496436815774E-7</v>
      </c>
      <c r="L456">
        <f t="shared" si="31"/>
        <v>1.6794872932413627</v>
      </c>
    </row>
    <row r="457" spans="1:12" x14ac:dyDescent="0.15">
      <c r="A457" s="3">
        <f>DATE(1997,11,1)</f>
        <v>35735</v>
      </c>
      <c r="B457" s="4">
        <v>5.5199999999999999E-2</v>
      </c>
      <c r="C457" s="6">
        <f t="shared" si="28"/>
        <v>5.4168653789845526E-2</v>
      </c>
      <c r="G457" s="3">
        <v>35735</v>
      </c>
      <c r="H457" s="4">
        <v>5.5199999999999999E-2</v>
      </c>
      <c r="I457" s="6">
        <v>5.4168653789845526E-2</v>
      </c>
      <c r="J457" s="6">
        <f t="shared" si="29"/>
        <v>6.4442724458205203E-4</v>
      </c>
      <c r="K457" s="21">
        <f t="shared" si="30"/>
        <v>1.0636750051999937E-6</v>
      </c>
      <c r="L457">
        <f t="shared" si="31"/>
        <v>1.868380815497233</v>
      </c>
    </row>
    <row r="458" spans="1:12" x14ac:dyDescent="0.15">
      <c r="A458" s="3">
        <f>DATE(1997,12,1)</f>
        <v>35765</v>
      </c>
      <c r="B458" s="4">
        <v>5.5E-2</v>
      </c>
      <c r="C458" s="6">
        <f t="shared" si="28"/>
        <v>5.4271788410860972E-2</v>
      </c>
      <c r="G458" s="3">
        <v>35765</v>
      </c>
      <c r="H458" s="4">
        <v>5.5E-2</v>
      </c>
      <c r="I458" s="6">
        <v>5.4271788410860972E-2</v>
      </c>
      <c r="J458" s="6">
        <f t="shared" si="29"/>
        <v>4.4442724458205324E-4</v>
      </c>
      <c r="K458" s="21">
        <f t="shared" si="30"/>
        <v>5.302921185563895E-7</v>
      </c>
      <c r="L458">
        <f t="shared" si="31"/>
        <v>1.3240210711618703</v>
      </c>
    </row>
    <row r="459" spans="1:12" x14ac:dyDescent="0.15">
      <c r="A459" s="3">
        <f>DATE(1998,1,1)</f>
        <v>35796</v>
      </c>
      <c r="B459" s="4">
        <v>5.5599999999999997E-2</v>
      </c>
      <c r="C459" s="6">
        <f t="shared" si="28"/>
        <v>5.4344609569774875E-2</v>
      </c>
      <c r="G459" s="3">
        <v>35796</v>
      </c>
      <c r="H459" s="4">
        <v>5.5599999999999997E-2</v>
      </c>
      <c r="I459" s="6">
        <v>5.4344609569774875E-2</v>
      </c>
      <c r="J459" s="6">
        <f t="shared" si="29"/>
        <v>1.0444272445820496E-3</v>
      </c>
      <c r="K459" s="21">
        <f t="shared" si="30"/>
        <v>1.5760051323008155E-6</v>
      </c>
      <c r="L459">
        <f t="shared" si="31"/>
        <v>2.2578964572394269</v>
      </c>
    </row>
    <row r="460" spans="1:12" x14ac:dyDescent="0.15">
      <c r="A460" s="3">
        <f>DATE(1998,2,1)</f>
        <v>35827</v>
      </c>
      <c r="B460" s="4">
        <v>5.5099999999999996E-2</v>
      </c>
      <c r="C460" s="6">
        <f t="shared" si="28"/>
        <v>5.4470148612797392E-2</v>
      </c>
      <c r="G460" s="3">
        <v>35827</v>
      </c>
      <c r="H460" s="4">
        <v>5.5099999999999996E-2</v>
      </c>
      <c r="I460" s="6">
        <v>5.4470148612797392E-2</v>
      </c>
      <c r="J460" s="6">
        <f t="shared" si="29"/>
        <v>5.4442724458204916E-4</v>
      </c>
      <c r="K460" s="21">
        <f t="shared" si="30"/>
        <v>3.9671276996104464E-7</v>
      </c>
      <c r="L460">
        <f t="shared" si="31"/>
        <v>1.1431059658849438</v>
      </c>
    </row>
    <row r="461" spans="1:12" x14ac:dyDescent="0.15">
      <c r="A461" s="3">
        <f>DATE(1998,3,1)</f>
        <v>35855</v>
      </c>
      <c r="B461" s="4">
        <v>5.4900000000000004E-2</v>
      </c>
      <c r="C461" s="6">
        <f t="shared" si="28"/>
        <v>5.4533133751517658E-2</v>
      </c>
      <c r="G461" s="3">
        <v>35855</v>
      </c>
      <c r="H461" s="4">
        <v>5.4900000000000004E-2</v>
      </c>
      <c r="I461" s="6">
        <v>5.4533133751517658E-2</v>
      </c>
      <c r="J461" s="6">
        <f t="shared" si="29"/>
        <v>3.4442724458205731E-4</v>
      </c>
      <c r="K461" s="21">
        <f t="shared" si="30"/>
        <v>1.345908442755106E-7</v>
      </c>
      <c r="L461">
        <f t="shared" si="31"/>
        <v>0.66824453275472895</v>
      </c>
    </row>
    <row r="462" spans="1:12" x14ac:dyDescent="0.15">
      <c r="A462" s="3">
        <f>DATE(1998,4,1)</f>
        <v>35886</v>
      </c>
      <c r="B462" s="4">
        <v>5.45E-2</v>
      </c>
      <c r="C462" s="6">
        <f t="shared" si="28"/>
        <v>5.4569820376365895E-2</v>
      </c>
      <c r="G462" s="3">
        <v>35886</v>
      </c>
      <c r="H462" s="4">
        <v>5.45E-2</v>
      </c>
      <c r="I462" s="6">
        <v>5.4569820376365895E-2</v>
      </c>
      <c r="J462" s="6">
        <f t="shared" si="29"/>
        <v>5.5572755417947206E-5</v>
      </c>
      <c r="K462" s="21">
        <f t="shared" si="30"/>
        <v>4.8748849558752285E-9</v>
      </c>
      <c r="L462">
        <f t="shared" si="31"/>
        <v>0.12811078232274312</v>
      </c>
    </row>
    <row r="463" spans="1:12" x14ac:dyDescent="0.15">
      <c r="A463" s="3">
        <f>DATE(1998,5,1)</f>
        <v>35916</v>
      </c>
      <c r="B463" s="4">
        <v>5.4900000000000004E-2</v>
      </c>
      <c r="C463" s="6">
        <f t="shared" si="28"/>
        <v>5.4562838338729311E-2</v>
      </c>
      <c r="G463" s="3">
        <v>35916</v>
      </c>
      <c r="H463" s="4">
        <v>5.4900000000000004E-2</v>
      </c>
      <c r="I463" s="6">
        <v>5.4562838338729311E-2</v>
      </c>
      <c r="J463" s="6">
        <f t="shared" si="29"/>
        <v>3.4442724458205731E-4</v>
      </c>
      <c r="K463" s="21">
        <f t="shared" si="30"/>
        <v>1.1367798583081383E-7</v>
      </c>
      <c r="L463">
        <f t="shared" si="31"/>
        <v>0.61413781652221022</v>
      </c>
    </row>
    <row r="464" spans="1:12" x14ac:dyDescent="0.15">
      <c r="A464" s="3">
        <f>DATE(1998,6,1)</f>
        <v>35947</v>
      </c>
      <c r="B464" s="4">
        <v>5.5599999999999997E-2</v>
      </c>
      <c r="C464" s="6">
        <f t="shared" si="28"/>
        <v>5.4596554504856384E-2</v>
      </c>
      <c r="G464" s="3">
        <v>35947</v>
      </c>
      <c r="H464" s="4">
        <v>5.5599999999999997E-2</v>
      </c>
      <c r="I464" s="6">
        <v>5.4596554504856384E-2</v>
      </c>
      <c r="J464" s="6">
        <f t="shared" si="29"/>
        <v>1.0444272445820496E-3</v>
      </c>
      <c r="K464" s="21">
        <f t="shared" si="30"/>
        <v>1.0069028617240092E-6</v>
      </c>
      <c r="L464">
        <f t="shared" si="31"/>
        <v>1.8047580847906697</v>
      </c>
    </row>
    <row r="465" spans="1:12" x14ac:dyDescent="0.15">
      <c r="A465" s="3">
        <f>DATE(1998,7,1)</f>
        <v>35977</v>
      </c>
      <c r="B465" s="4">
        <v>5.5399999999999998E-2</v>
      </c>
      <c r="C465" s="6">
        <f t="shared" si="28"/>
        <v>5.4696899054370751E-2</v>
      </c>
      <c r="G465" s="3">
        <v>35977</v>
      </c>
      <c r="H465" s="4">
        <v>5.5399999999999998E-2</v>
      </c>
      <c r="I465" s="6">
        <v>5.4696899054370751E-2</v>
      </c>
      <c r="J465" s="6">
        <f t="shared" si="29"/>
        <v>8.4442724458205082E-4</v>
      </c>
      <c r="K465" s="21">
        <f t="shared" si="30"/>
        <v>4.943509397447409E-7</v>
      </c>
      <c r="L465">
        <f t="shared" si="31"/>
        <v>1.269135280919218</v>
      </c>
    </row>
    <row r="466" spans="1:12" x14ac:dyDescent="0.15">
      <c r="A466" s="3">
        <f>DATE(1998,8,1)</f>
        <v>36008</v>
      </c>
      <c r="B466" s="4">
        <v>5.5500000000000001E-2</v>
      </c>
      <c r="C466" s="6">
        <f t="shared" si="28"/>
        <v>5.4767209148933682E-2</v>
      </c>
      <c r="G466" s="3">
        <v>36008</v>
      </c>
      <c r="H466" s="4">
        <v>5.5500000000000001E-2</v>
      </c>
      <c r="I466" s="6">
        <v>5.4767209148933682E-2</v>
      </c>
      <c r="J466" s="6">
        <f t="shared" si="29"/>
        <v>9.4442724458205368E-4</v>
      </c>
      <c r="K466" s="21">
        <f t="shared" si="30"/>
        <v>5.3698243140649959E-7</v>
      </c>
      <c r="L466">
        <f t="shared" si="31"/>
        <v>1.3203438757951687</v>
      </c>
    </row>
    <row r="467" spans="1:12" x14ac:dyDescent="0.15">
      <c r="A467" s="3">
        <f>DATE(1998,9,1)</f>
        <v>36039</v>
      </c>
      <c r="B467" s="4">
        <v>5.5099999999999996E-2</v>
      </c>
      <c r="C467" s="6">
        <f t="shared" si="28"/>
        <v>5.4840488234040315E-2</v>
      </c>
      <c r="G467" s="3">
        <v>36039</v>
      </c>
      <c r="H467" s="4">
        <v>5.5099999999999996E-2</v>
      </c>
      <c r="I467" s="6">
        <v>5.4840488234040315E-2</v>
      </c>
      <c r="J467" s="6">
        <f t="shared" si="29"/>
        <v>5.4442724458204916E-4</v>
      </c>
      <c r="K467" s="21">
        <f t="shared" si="30"/>
        <v>6.7346356671512534E-8</v>
      </c>
      <c r="L467">
        <f t="shared" si="31"/>
        <v>0.47098324130613711</v>
      </c>
    </row>
    <row r="468" spans="1:12" x14ac:dyDescent="0.15">
      <c r="A468" s="3">
        <f>DATE(1998,10,1)</f>
        <v>36069</v>
      </c>
      <c r="B468" s="4">
        <v>5.0700000000000002E-2</v>
      </c>
      <c r="C468" s="6">
        <f t="shared" si="28"/>
        <v>5.4866439410636285E-2</v>
      </c>
      <c r="G468" s="3">
        <v>36069</v>
      </c>
      <c r="H468" s="4">
        <v>5.0700000000000002E-2</v>
      </c>
      <c r="I468" s="6">
        <v>5.4866439410636285E-2</v>
      </c>
      <c r="J468" s="6">
        <f t="shared" si="29"/>
        <v>3.855572755417945E-3</v>
      </c>
      <c r="K468" s="21">
        <f t="shared" si="30"/>
        <v>1.7359217362503214E-5</v>
      </c>
      <c r="L468">
        <f t="shared" si="31"/>
        <v>8.2178292123003605</v>
      </c>
    </row>
    <row r="469" spans="1:12" x14ac:dyDescent="0.15">
      <c r="A469" s="3">
        <f>DATE(1998,11,1)</f>
        <v>36100</v>
      </c>
      <c r="B469" s="4">
        <v>4.8300000000000003E-2</v>
      </c>
      <c r="C469" s="6">
        <f t="shared" si="28"/>
        <v>5.4449795469572654E-2</v>
      </c>
      <c r="G469" s="3">
        <v>36100</v>
      </c>
      <c r="H469" s="4">
        <v>4.8300000000000003E-2</v>
      </c>
      <c r="I469" s="6">
        <v>5.4449795469572654E-2</v>
      </c>
      <c r="J469" s="6">
        <f t="shared" si="29"/>
        <v>6.2555727554179444E-3</v>
      </c>
      <c r="K469" s="21">
        <f t="shared" si="30"/>
        <v>3.7819984317576304E-5</v>
      </c>
      <c r="L469">
        <f t="shared" si="31"/>
        <v>12.73249579621667</v>
      </c>
    </row>
    <row r="470" spans="1:12" x14ac:dyDescent="0.15">
      <c r="A470" s="3">
        <f>DATE(1998,12,1)</f>
        <v>36130</v>
      </c>
      <c r="B470" s="4">
        <v>4.6799999999999994E-2</v>
      </c>
      <c r="C470" s="6">
        <f t="shared" si="28"/>
        <v>5.3834815922615388E-2</v>
      </c>
      <c r="G470" s="3">
        <v>36130</v>
      </c>
      <c r="H470" s="4">
        <v>4.6799999999999994E-2</v>
      </c>
      <c r="I470" s="6">
        <v>5.3834815922615388E-2</v>
      </c>
      <c r="J470" s="6">
        <f t="shared" si="29"/>
        <v>7.7555727554179527E-3</v>
      </c>
      <c r="K470" s="21">
        <f t="shared" si="30"/>
        <v>4.9488635065083072E-5</v>
      </c>
      <c r="L470">
        <f t="shared" si="31"/>
        <v>15.031657954306398</v>
      </c>
    </row>
    <row r="471" spans="1:12" x14ac:dyDescent="0.15">
      <c r="A471" s="3">
        <f>DATE(1999,1,1)</f>
        <v>36161</v>
      </c>
      <c r="B471" s="4">
        <v>4.6300000000000001E-2</v>
      </c>
      <c r="C471" s="6">
        <f t="shared" si="28"/>
        <v>5.3131334330353844E-2</v>
      </c>
      <c r="G471" s="3">
        <v>36161</v>
      </c>
      <c r="H471" s="4">
        <v>4.6300000000000001E-2</v>
      </c>
      <c r="I471" s="6">
        <v>5.3131334330353844E-2</v>
      </c>
      <c r="J471" s="6">
        <f t="shared" si="29"/>
        <v>8.2555727554179462E-3</v>
      </c>
      <c r="K471" s="21">
        <f t="shared" si="30"/>
        <v>4.6667128733070989E-5</v>
      </c>
      <c r="L471">
        <f t="shared" si="31"/>
        <v>14.754501793420827</v>
      </c>
    </row>
    <row r="472" spans="1:12" x14ac:dyDescent="0.15">
      <c r="A472" s="3">
        <f>DATE(1999,2,1)</f>
        <v>36192</v>
      </c>
      <c r="B472" s="4">
        <v>4.7599999999999996E-2</v>
      </c>
      <c r="C472" s="6">
        <f t="shared" si="28"/>
        <v>5.2448200897318463E-2</v>
      </c>
      <c r="G472" s="3">
        <v>36192</v>
      </c>
      <c r="H472" s="4">
        <v>4.7599999999999996E-2</v>
      </c>
      <c r="I472" s="6">
        <v>5.2448200897318463E-2</v>
      </c>
      <c r="J472" s="6">
        <f t="shared" si="29"/>
        <v>6.9555727554179506E-3</v>
      </c>
      <c r="K472" s="21">
        <f t="shared" si="30"/>
        <v>2.3505051940759585E-5</v>
      </c>
      <c r="L472">
        <f t="shared" si="31"/>
        <v>10.185296002769888</v>
      </c>
    </row>
    <row r="473" spans="1:12" x14ac:dyDescent="0.15">
      <c r="A473" s="3">
        <f>DATE(1999,3,1)</f>
        <v>36220</v>
      </c>
      <c r="B473" s="4">
        <v>4.8099999999999997E-2</v>
      </c>
      <c r="C473" s="6">
        <f t="shared" si="28"/>
        <v>5.1963380807586619E-2</v>
      </c>
      <c r="G473" s="3">
        <v>36220</v>
      </c>
      <c r="H473" s="4">
        <v>4.8099999999999997E-2</v>
      </c>
      <c r="I473" s="6">
        <v>5.1963380807586619E-2</v>
      </c>
      <c r="J473" s="6">
        <f t="shared" si="29"/>
        <v>6.4555727554179501E-3</v>
      </c>
      <c r="K473" s="21">
        <f t="shared" si="30"/>
        <v>1.4925711264428662E-5</v>
      </c>
      <c r="L473">
        <f t="shared" si="31"/>
        <v>8.0319767309493191</v>
      </c>
    </row>
    <row r="474" spans="1:12" x14ac:dyDescent="0.15">
      <c r="A474" s="3">
        <f>DATE(1999,4,1)</f>
        <v>36251</v>
      </c>
      <c r="B474" s="4">
        <v>4.7400000000000005E-2</v>
      </c>
      <c r="C474" s="6">
        <f t="shared" si="28"/>
        <v>5.1577042726827962E-2</v>
      </c>
      <c r="G474" s="3">
        <v>36251</v>
      </c>
      <c r="H474" s="4">
        <v>4.7400000000000005E-2</v>
      </c>
      <c r="I474" s="6">
        <v>5.1577042726827962E-2</v>
      </c>
      <c r="J474" s="6">
        <f t="shared" si="29"/>
        <v>7.1555727554179424E-3</v>
      </c>
      <c r="K474" s="21">
        <f t="shared" si="30"/>
        <v>1.744768594174634E-5</v>
      </c>
      <c r="L474">
        <f t="shared" si="31"/>
        <v>8.8123264279070828</v>
      </c>
    </row>
    <row r="475" spans="1:12" x14ac:dyDescent="0.15">
      <c r="A475" s="3">
        <f>DATE(1999,5,1)</f>
        <v>36281</v>
      </c>
      <c r="B475" s="4">
        <v>4.7400000000000005E-2</v>
      </c>
      <c r="C475" s="6">
        <f t="shared" si="28"/>
        <v>5.1159338454145172E-2</v>
      </c>
      <c r="G475" s="3">
        <v>36281</v>
      </c>
      <c r="H475" s="4">
        <v>4.7400000000000005E-2</v>
      </c>
      <c r="I475" s="6">
        <v>5.1159338454145172E-2</v>
      </c>
      <c r="J475" s="6">
        <f t="shared" si="29"/>
        <v>7.1555727554179424E-3</v>
      </c>
      <c r="K475" s="21">
        <f t="shared" si="30"/>
        <v>1.4132625612814572E-5</v>
      </c>
      <c r="L475">
        <f t="shared" si="31"/>
        <v>7.931093785116385</v>
      </c>
    </row>
    <row r="476" spans="1:12" x14ac:dyDescent="0.15">
      <c r="A476" s="3">
        <f>DATE(1999,6,1)</f>
        <v>36312</v>
      </c>
      <c r="B476" s="4">
        <v>4.7599999999999996E-2</v>
      </c>
      <c r="C476" s="6">
        <f t="shared" si="28"/>
        <v>5.0783404608730653E-2</v>
      </c>
      <c r="G476" s="3">
        <v>36312</v>
      </c>
      <c r="H476" s="4">
        <v>4.7599999999999996E-2</v>
      </c>
      <c r="I476" s="6">
        <v>5.0783404608730653E-2</v>
      </c>
      <c r="J476" s="6">
        <f t="shared" si="29"/>
        <v>6.9555727554179506E-3</v>
      </c>
      <c r="K476" s="21">
        <f t="shared" si="30"/>
        <v>1.0134064902887587E-5</v>
      </c>
      <c r="L476">
        <f t="shared" si="31"/>
        <v>6.6878248082576839</v>
      </c>
    </row>
    <row r="477" spans="1:12" x14ac:dyDescent="0.15">
      <c r="A477" s="3">
        <f>DATE(1999,7,1)</f>
        <v>36342</v>
      </c>
      <c r="B477" s="4">
        <v>4.99E-2</v>
      </c>
      <c r="C477" s="6">
        <f t="shared" si="28"/>
        <v>5.0465064147857591E-2</v>
      </c>
      <c r="G477" s="3">
        <v>36342</v>
      </c>
      <c r="H477" s="4">
        <v>4.99E-2</v>
      </c>
      <c r="I477" s="6">
        <v>5.0465064147857591E-2</v>
      </c>
      <c r="J477" s="6">
        <f t="shared" si="29"/>
        <v>4.6555727554179471E-3</v>
      </c>
      <c r="K477" s="21">
        <f t="shared" si="30"/>
        <v>3.1929749119402577E-7</v>
      </c>
      <c r="L477">
        <f t="shared" si="31"/>
        <v>1.1323930818789405</v>
      </c>
    </row>
    <row r="478" spans="1:12" x14ac:dyDescent="0.15">
      <c r="A478" s="3">
        <f>DATE(1999,8,1)</f>
        <v>36373</v>
      </c>
      <c r="B478" s="4">
        <v>5.0700000000000002E-2</v>
      </c>
      <c r="C478" s="6">
        <f t="shared" si="28"/>
        <v>5.0408557733071832E-2</v>
      </c>
      <c r="G478" s="3">
        <v>36373</v>
      </c>
      <c r="H478" s="4">
        <v>5.0700000000000002E-2</v>
      </c>
      <c r="I478" s="6">
        <v>5.0408557733071832E-2</v>
      </c>
      <c r="J478" s="6">
        <f t="shared" si="29"/>
        <v>3.855572755417945E-3</v>
      </c>
      <c r="K478" s="21">
        <f t="shared" si="30"/>
        <v>8.4938594952230654E-8</v>
      </c>
      <c r="L478">
        <f t="shared" si="31"/>
        <v>0.57483681839875733</v>
      </c>
    </row>
    <row r="479" spans="1:12" x14ac:dyDescent="0.15">
      <c r="A479" s="3">
        <f>DATE(1999,9,1)</f>
        <v>36404</v>
      </c>
      <c r="B479" s="4">
        <v>5.2199999999999996E-2</v>
      </c>
      <c r="C479" s="6">
        <f t="shared" si="28"/>
        <v>5.0437701959764651E-2</v>
      </c>
      <c r="G479" s="3">
        <v>36404</v>
      </c>
      <c r="H479" s="4">
        <v>5.2199999999999996E-2</v>
      </c>
      <c r="I479" s="6">
        <v>5.0437701959764651E-2</v>
      </c>
      <c r="J479" s="6">
        <f t="shared" si="29"/>
        <v>2.3555727554179506E-3</v>
      </c>
      <c r="K479" s="21">
        <f t="shared" si="30"/>
        <v>3.1056943826173387E-6</v>
      </c>
      <c r="L479">
        <f t="shared" si="31"/>
        <v>3.3760498855083245</v>
      </c>
    </row>
    <row r="480" spans="1:12" x14ac:dyDescent="0.15">
      <c r="A480" s="3">
        <f>DATE(1999,10,1)</f>
        <v>36434</v>
      </c>
      <c r="B480" s="4">
        <v>5.2000000000000005E-2</v>
      </c>
      <c r="C480" s="6">
        <f t="shared" si="28"/>
        <v>5.0613931763788186E-2</v>
      </c>
      <c r="G480" s="3">
        <v>36434</v>
      </c>
      <c r="H480" s="4">
        <v>5.2000000000000005E-2</v>
      </c>
      <c r="I480" s="6">
        <v>5.0613931763788186E-2</v>
      </c>
      <c r="J480" s="6">
        <f t="shared" si="29"/>
        <v>2.5555727554179425E-3</v>
      </c>
      <c r="K480" s="21">
        <f t="shared" si="30"/>
        <v>1.9211851554353406E-6</v>
      </c>
      <c r="L480">
        <f t="shared" si="31"/>
        <v>2.6655158388688807</v>
      </c>
    </row>
    <row r="481" spans="1:12" x14ac:dyDescent="0.15">
      <c r="A481" s="3">
        <f>DATE(1999,11,1)</f>
        <v>36465</v>
      </c>
      <c r="B481" s="4">
        <v>5.4199999999999998E-2</v>
      </c>
      <c r="C481" s="6">
        <f t="shared" si="28"/>
        <v>5.0752538587409371E-2</v>
      </c>
      <c r="G481" s="3">
        <v>36465</v>
      </c>
      <c r="H481" s="4">
        <v>5.4199999999999998E-2</v>
      </c>
      <c r="I481" s="6">
        <v>5.0752538587409371E-2</v>
      </c>
      <c r="J481" s="6">
        <f t="shared" si="29"/>
        <v>3.5557275541794886E-4</v>
      </c>
      <c r="K481" s="21">
        <f t="shared" si="30"/>
        <v>1.1884990191301363E-5</v>
      </c>
      <c r="L481">
        <f t="shared" si="31"/>
        <v>6.3606299125288324</v>
      </c>
    </row>
    <row r="482" spans="1:12" x14ac:dyDescent="0.15">
      <c r="A482" s="3">
        <f>DATE(1999,12,1)</f>
        <v>36495</v>
      </c>
      <c r="B482" s="4">
        <v>5.2999999999999999E-2</v>
      </c>
      <c r="C482" s="6">
        <f t="shared" si="28"/>
        <v>5.1097284728668438E-2</v>
      </c>
      <c r="G482" s="3">
        <v>36495</v>
      </c>
      <c r="H482" s="4">
        <v>5.2999999999999999E-2</v>
      </c>
      <c r="I482" s="6">
        <v>5.1097284728668438E-2</v>
      </c>
      <c r="J482" s="6">
        <f t="shared" si="29"/>
        <v>1.5555727554179485E-3</v>
      </c>
      <c r="K482" s="21">
        <f t="shared" si="30"/>
        <v>3.6203254037583344E-6</v>
      </c>
      <c r="L482">
        <f t="shared" si="31"/>
        <v>3.5900288138331335</v>
      </c>
    </row>
    <row r="483" spans="1:12" x14ac:dyDescent="0.15">
      <c r="A483" s="3">
        <f>DATE(2000,1,1)</f>
        <v>36526</v>
      </c>
      <c r="B483" s="4">
        <v>5.45E-2</v>
      </c>
      <c r="C483" s="6">
        <f t="shared" si="28"/>
        <v>5.1287556255801593E-2</v>
      </c>
      <c r="G483" s="3">
        <v>36526</v>
      </c>
      <c r="H483" s="4">
        <v>5.45E-2</v>
      </c>
      <c r="I483" s="6">
        <v>5.1287556255801593E-2</v>
      </c>
      <c r="J483" s="6">
        <f t="shared" si="29"/>
        <v>5.5572755417947206E-5</v>
      </c>
      <c r="K483" s="21">
        <f t="shared" si="30"/>
        <v>1.0319794809639478E-5</v>
      </c>
      <c r="L483">
        <f t="shared" si="31"/>
        <v>5.8943921911897368</v>
      </c>
    </row>
    <row r="484" spans="1:12" x14ac:dyDescent="0.15">
      <c r="A484" s="3">
        <f>DATE(2000,2,1)</f>
        <v>36557</v>
      </c>
      <c r="B484" s="4">
        <v>5.7300000000000004E-2</v>
      </c>
      <c r="C484" s="6">
        <f t="shared" si="28"/>
        <v>5.1608800630221441E-2</v>
      </c>
      <c r="G484" s="3">
        <v>36557</v>
      </c>
      <c r="H484" s="4">
        <v>5.7300000000000004E-2</v>
      </c>
      <c r="I484" s="6">
        <v>5.1608800630221441E-2</v>
      </c>
      <c r="J484" s="6">
        <f t="shared" si="29"/>
        <v>2.7444272445820567E-3</v>
      </c>
      <c r="K484" s="21">
        <f t="shared" si="30"/>
        <v>3.2389750266567912E-5</v>
      </c>
      <c r="L484">
        <f t="shared" si="31"/>
        <v>9.9322851130515915</v>
      </c>
    </row>
    <row r="485" spans="1:12" x14ac:dyDescent="0.15">
      <c r="A485" s="3">
        <f>DATE(2000,3,1)</f>
        <v>36586</v>
      </c>
      <c r="B485" s="4">
        <v>5.8499999999999996E-2</v>
      </c>
      <c r="C485" s="6">
        <f t="shared" si="28"/>
        <v>5.2177920567199297E-2</v>
      </c>
      <c r="G485" s="3">
        <v>36586</v>
      </c>
      <c r="H485" s="4">
        <v>5.8499999999999996E-2</v>
      </c>
      <c r="I485" s="6">
        <v>5.2177920567199297E-2</v>
      </c>
      <c r="J485" s="6">
        <f t="shared" si="29"/>
        <v>3.9444272445820494E-3</v>
      </c>
      <c r="K485" s="21">
        <f t="shared" si="30"/>
        <v>3.9968688354641612E-5</v>
      </c>
      <c r="L485">
        <f t="shared" si="31"/>
        <v>10.806973389402906</v>
      </c>
    </row>
    <row r="486" spans="1:12" x14ac:dyDescent="0.15">
      <c r="A486" s="3">
        <f>DATE(2000,4,1)</f>
        <v>36617</v>
      </c>
      <c r="B486" s="4">
        <v>6.0199999999999997E-2</v>
      </c>
      <c r="C486" s="6">
        <f t="shared" si="28"/>
        <v>5.2810128510479372E-2</v>
      </c>
      <c r="G486" s="3">
        <v>36617</v>
      </c>
      <c r="H486" s="4">
        <v>6.0199999999999997E-2</v>
      </c>
      <c r="I486" s="6">
        <v>5.2810128510479372E-2</v>
      </c>
      <c r="J486" s="6">
        <f t="shared" si="29"/>
        <v>5.6444272445820495E-3</v>
      </c>
      <c r="K486" s="21">
        <f t="shared" si="30"/>
        <v>5.4610200631629773E-5</v>
      </c>
      <c r="L486">
        <f t="shared" si="31"/>
        <v>12.275534035748546</v>
      </c>
    </row>
    <row r="487" spans="1:12" x14ac:dyDescent="0.15">
      <c r="A487" s="3">
        <f>DATE(2000,5,1)</f>
        <v>36647</v>
      </c>
      <c r="B487" s="4">
        <v>6.2699999999999992E-2</v>
      </c>
      <c r="C487" s="6">
        <f t="shared" si="28"/>
        <v>5.3549115659431434E-2</v>
      </c>
      <c r="G487" s="3">
        <v>36647</v>
      </c>
      <c r="H487" s="4">
        <v>6.2699999999999992E-2</v>
      </c>
      <c r="I487" s="6">
        <v>5.3549115659431434E-2</v>
      </c>
      <c r="J487" s="6">
        <f t="shared" si="29"/>
        <v>8.1444272445820448E-3</v>
      </c>
      <c r="K487" s="21">
        <f t="shared" si="30"/>
        <v>8.3738684214462841E-5</v>
      </c>
      <c r="L487">
        <f t="shared" si="31"/>
        <v>14.5947118669355</v>
      </c>
    </row>
    <row r="488" spans="1:12" x14ac:dyDescent="0.15">
      <c r="A488" s="3">
        <f>DATE(2000,6,1)</f>
        <v>36678</v>
      </c>
      <c r="B488" s="4">
        <v>6.5299999999999997E-2</v>
      </c>
      <c r="C488" s="6">
        <f t="shared" si="28"/>
        <v>5.4464204093488289E-2</v>
      </c>
      <c r="G488" s="3">
        <v>36678</v>
      </c>
      <c r="H488" s="4">
        <v>6.5299999999999997E-2</v>
      </c>
      <c r="I488" s="6">
        <v>5.4464204093488289E-2</v>
      </c>
      <c r="J488" s="6">
        <f t="shared" si="29"/>
        <v>1.074442724458205E-2</v>
      </c>
      <c r="K488" s="21">
        <f t="shared" si="30"/>
        <v>1.174144729275759E-4</v>
      </c>
      <c r="L488">
        <f t="shared" si="31"/>
        <v>16.593868156985771</v>
      </c>
    </row>
    <row r="489" spans="1:12" x14ac:dyDescent="0.15">
      <c r="A489" s="3">
        <f>DATE(2000,7,1)</f>
        <v>36708</v>
      </c>
      <c r="B489" s="4">
        <v>6.54E-2</v>
      </c>
      <c r="C489" s="6">
        <f t="shared" si="28"/>
        <v>5.5547783684139464E-2</v>
      </c>
      <c r="G489" s="3">
        <v>36708</v>
      </c>
      <c r="H489" s="4">
        <v>6.54E-2</v>
      </c>
      <c r="I489" s="6">
        <v>5.5547783684139464E-2</v>
      </c>
      <c r="J489" s="6">
        <f t="shared" si="29"/>
        <v>1.0844427244582053E-2</v>
      </c>
      <c r="K489" s="21">
        <f t="shared" si="30"/>
        <v>9.7066166334508554E-5</v>
      </c>
      <c r="L489">
        <f t="shared" si="31"/>
        <v>15.064550941682779</v>
      </c>
    </row>
    <row r="490" spans="1:12" x14ac:dyDescent="0.15">
      <c r="A490" s="3">
        <f>DATE(2000,8,1)</f>
        <v>36739</v>
      </c>
      <c r="B490" s="4">
        <v>6.5000000000000002E-2</v>
      </c>
      <c r="C490" s="6">
        <f t="shared" si="28"/>
        <v>5.6533005315725512E-2</v>
      </c>
      <c r="G490" s="3">
        <v>36739</v>
      </c>
      <c r="H490" s="4">
        <v>6.5000000000000002E-2</v>
      </c>
      <c r="I490" s="6">
        <v>5.6533005315725512E-2</v>
      </c>
      <c r="J490" s="6">
        <f t="shared" si="29"/>
        <v>1.0444427244582055E-2</v>
      </c>
      <c r="K490" s="21">
        <f t="shared" si="30"/>
        <v>7.1689998983532463E-5</v>
      </c>
      <c r="L490">
        <f t="shared" si="31"/>
        <v>13.0261456681146</v>
      </c>
    </row>
    <row r="491" spans="1:12" x14ac:dyDescent="0.15">
      <c r="A491" s="3">
        <f>DATE(2000,9,1)</f>
        <v>36770</v>
      </c>
      <c r="B491" s="4">
        <v>6.5199999999999994E-2</v>
      </c>
      <c r="C491" s="6">
        <f t="shared" si="28"/>
        <v>5.7379704784152961E-2</v>
      </c>
      <c r="G491" s="3">
        <v>36770</v>
      </c>
      <c r="H491" s="4">
        <v>6.5199999999999994E-2</v>
      </c>
      <c r="I491" s="6">
        <v>5.7379704784152961E-2</v>
      </c>
      <c r="J491" s="6">
        <f t="shared" si="29"/>
        <v>1.0644427244582047E-2</v>
      </c>
      <c r="K491" s="21">
        <f t="shared" si="30"/>
        <v>6.1157017262999987E-5</v>
      </c>
      <c r="L491">
        <f t="shared" si="31"/>
        <v>11.994317815716309</v>
      </c>
    </row>
    <row r="492" spans="1:12" x14ac:dyDescent="0.15">
      <c r="A492" s="3">
        <f>DATE(2000,10,1)</f>
        <v>36800</v>
      </c>
      <c r="B492" s="4">
        <v>6.5099999999999991E-2</v>
      </c>
      <c r="C492" s="6">
        <f t="shared" si="28"/>
        <v>5.8161734305737664E-2</v>
      </c>
      <c r="G492" s="3">
        <v>36800</v>
      </c>
      <c r="H492" s="4">
        <v>6.5099999999999991E-2</v>
      </c>
      <c r="I492" s="6">
        <v>5.8161734305737664E-2</v>
      </c>
      <c r="J492" s="6">
        <f t="shared" si="29"/>
        <v>1.0544427244582044E-2</v>
      </c>
      <c r="K492" s="21">
        <f t="shared" si="30"/>
        <v>4.8139530844177495E-5</v>
      </c>
      <c r="L492">
        <f t="shared" si="31"/>
        <v>10.657858209312332</v>
      </c>
    </row>
    <row r="493" spans="1:12" x14ac:dyDescent="0.15">
      <c r="A493" s="3">
        <f>DATE(2000,11,1)</f>
        <v>36831</v>
      </c>
      <c r="B493" s="4">
        <v>6.5099999999999991E-2</v>
      </c>
      <c r="C493" s="6">
        <f t="shared" si="28"/>
        <v>5.8855560875163901E-2</v>
      </c>
      <c r="G493" s="3">
        <v>36831</v>
      </c>
      <c r="H493" s="4">
        <v>6.5099999999999991E-2</v>
      </c>
      <c r="I493" s="6">
        <v>5.8855560875163901E-2</v>
      </c>
      <c r="J493" s="6">
        <f t="shared" si="29"/>
        <v>1.0544427244582044E-2</v>
      </c>
      <c r="K493" s="21">
        <f t="shared" si="30"/>
        <v>3.8993019983783716E-5</v>
      </c>
      <c r="L493">
        <f t="shared" si="31"/>
        <v>9.5920723883810926</v>
      </c>
    </row>
    <row r="494" spans="1:12" x14ac:dyDescent="0.15">
      <c r="A494" s="3">
        <f>DATE(2000,12,1)</f>
        <v>36861</v>
      </c>
      <c r="B494" s="4">
        <v>6.4000000000000001E-2</v>
      </c>
      <c r="C494" s="6">
        <f t="shared" si="28"/>
        <v>5.9480004787647513E-2</v>
      </c>
      <c r="G494" s="3">
        <v>36861</v>
      </c>
      <c r="H494" s="4">
        <v>6.4000000000000001E-2</v>
      </c>
      <c r="I494" s="6">
        <v>5.9480004787647513E-2</v>
      </c>
      <c r="J494" s="6">
        <f t="shared" si="29"/>
        <v>9.4444272445820543E-3</v>
      </c>
      <c r="K494" s="21">
        <f t="shared" si="30"/>
        <v>2.0430356719689417E-5</v>
      </c>
      <c r="L494">
        <f t="shared" si="31"/>
        <v>7.062492519300763</v>
      </c>
    </row>
    <row r="495" spans="1:12" x14ac:dyDescent="0.15">
      <c r="A495" s="3">
        <f>DATE(2001,1,1)</f>
        <v>36892</v>
      </c>
      <c r="B495" s="4">
        <v>5.9800000000000006E-2</v>
      </c>
      <c r="C495" s="6">
        <f t="shared" si="28"/>
        <v>5.9932004308882764E-2</v>
      </c>
      <c r="G495" s="3">
        <v>36892</v>
      </c>
      <c r="H495" s="4">
        <v>5.9800000000000006E-2</v>
      </c>
      <c r="I495" s="6">
        <v>5.9932004308882764E-2</v>
      </c>
      <c r="J495" s="6">
        <f t="shared" si="29"/>
        <v>5.2444272445820589E-3</v>
      </c>
      <c r="K495" s="21">
        <f t="shared" si="30"/>
        <v>1.7425137563614508E-8</v>
      </c>
      <c r="L495">
        <f t="shared" si="31"/>
        <v>0.22074299144273862</v>
      </c>
    </row>
    <row r="496" spans="1:12" x14ac:dyDescent="0.15">
      <c r="A496" s="3">
        <f>DATE(2001,2,1)</f>
        <v>36923</v>
      </c>
      <c r="B496" s="4">
        <v>5.4900000000000004E-2</v>
      </c>
      <c r="C496" s="6">
        <f t="shared" si="28"/>
        <v>5.9918803877994489E-2</v>
      </c>
      <c r="G496" s="3">
        <v>36923</v>
      </c>
      <c r="H496" s="4">
        <v>5.4900000000000004E-2</v>
      </c>
      <c r="I496" s="6">
        <v>5.9918803877994489E-2</v>
      </c>
      <c r="J496" s="6">
        <f t="shared" si="29"/>
        <v>3.4442724458205731E-4</v>
      </c>
      <c r="K496" s="21">
        <f t="shared" si="30"/>
        <v>2.5188392365772482E-5</v>
      </c>
      <c r="L496">
        <f t="shared" si="31"/>
        <v>9.1417192677495169</v>
      </c>
    </row>
    <row r="497" spans="1:12" x14ac:dyDescent="0.15">
      <c r="A497" s="3">
        <f>DATE(2001,3,1)</f>
        <v>36951</v>
      </c>
      <c r="B497" s="4">
        <v>5.3099999999999994E-2</v>
      </c>
      <c r="C497" s="6">
        <f t="shared" si="28"/>
        <v>5.9416923490195041E-2</v>
      </c>
      <c r="G497" s="3">
        <v>36951</v>
      </c>
      <c r="H497" s="4">
        <v>5.3099999999999994E-2</v>
      </c>
      <c r="I497" s="6">
        <v>5.9416923490195041E-2</v>
      </c>
      <c r="J497" s="6">
        <f t="shared" si="29"/>
        <v>1.4555727554179526E-3</v>
      </c>
      <c r="K497" s="21">
        <f t="shared" si="30"/>
        <v>3.9903522380977966E-5</v>
      </c>
      <c r="L497">
        <f t="shared" si="31"/>
        <v>11.896277759312706</v>
      </c>
    </row>
    <row r="498" spans="1:12" x14ac:dyDescent="0.15">
      <c r="A498" s="3">
        <f>DATE(2001,4,1)</f>
        <v>36982</v>
      </c>
      <c r="B498" s="4">
        <v>4.8000000000000001E-2</v>
      </c>
      <c r="C498" s="6">
        <f t="shared" si="28"/>
        <v>5.8785231141175537E-2</v>
      </c>
      <c r="G498" s="3">
        <v>36982</v>
      </c>
      <c r="H498" s="4">
        <v>4.8000000000000001E-2</v>
      </c>
      <c r="I498" s="6">
        <v>5.8785231141175537E-2</v>
      </c>
      <c r="J498" s="6">
        <f t="shared" si="29"/>
        <v>6.555572755417946E-3</v>
      </c>
      <c r="K498" s="21">
        <f t="shared" si="30"/>
        <v>1.1632121076858255E-4</v>
      </c>
      <c r="L498">
        <f t="shared" si="31"/>
        <v>22.469231544115701</v>
      </c>
    </row>
    <row r="499" spans="1:12" x14ac:dyDescent="0.15">
      <c r="A499" s="3">
        <f>DATE(2001,5,1)</f>
        <v>37012</v>
      </c>
      <c r="B499" s="4">
        <v>4.2099999999999999E-2</v>
      </c>
      <c r="C499" s="6">
        <f t="shared" si="28"/>
        <v>5.7706708027057983E-2</v>
      </c>
      <c r="G499" s="3">
        <v>37012</v>
      </c>
      <c r="H499" s="4">
        <v>4.2099999999999999E-2</v>
      </c>
      <c r="I499" s="6">
        <v>5.7706708027057983E-2</v>
      </c>
      <c r="J499" s="6">
        <f t="shared" si="29"/>
        <v>1.2455572755417949E-2</v>
      </c>
      <c r="K499" s="21">
        <f t="shared" si="30"/>
        <v>2.4356933544183613E-4</v>
      </c>
      <c r="L499">
        <f t="shared" si="31"/>
        <v>37.070565384935833</v>
      </c>
    </row>
    <row r="500" spans="1:12" x14ac:dyDescent="0.15">
      <c r="A500" s="3">
        <f>DATE(2001,6,1)</f>
        <v>37043</v>
      </c>
      <c r="B500" s="4">
        <v>3.9699999999999999E-2</v>
      </c>
      <c r="C500" s="6">
        <f t="shared" si="28"/>
        <v>5.6146037224352185E-2</v>
      </c>
      <c r="G500" s="3">
        <v>37043</v>
      </c>
      <c r="H500" s="4">
        <v>3.9699999999999999E-2</v>
      </c>
      <c r="I500" s="6">
        <v>5.6146037224352185E-2</v>
      </c>
      <c r="J500" s="6">
        <f t="shared" si="29"/>
        <v>1.4855572755417948E-2</v>
      </c>
      <c r="K500" s="21">
        <f t="shared" si="30"/>
        <v>2.7047214038477776E-4</v>
      </c>
      <c r="L500">
        <f t="shared" si="31"/>
        <v>41.425786459325408</v>
      </c>
    </row>
    <row r="501" spans="1:12" x14ac:dyDescent="0.15">
      <c r="A501" s="3">
        <f>DATE(2001,7,1)</f>
        <v>37073</v>
      </c>
      <c r="B501" s="4">
        <v>3.7699999999999997E-2</v>
      </c>
      <c r="C501" s="6">
        <f t="shared" si="28"/>
        <v>5.4501433501916968E-2</v>
      </c>
      <c r="G501" s="3">
        <v>37073</v>
      </c>
      <c r="H501" s="4">
        <v>3.7699999999999997E-2</v>
      </c>
      <c r="I501" s="6">
        <v>5.4501433501916968E-2</v>
      </c>
      <c r="J501" s="6">
        <f t="shared" si="29"/>
        <v>1.685557275541795E-2</v>
      </c>
      <c r="K501" s="21">
        <f t="shared" si="30"/>
        <v>2.8228816771933799E-4</v>
      </c>
      <c r="L501">
        <f t="shared" si="31"/>
        <v>44.566136609859342</v>
      </c>
    </row>
    <row r="502" spans="1:12" x14ac:dyDescent="0.15">
      <c r="A502" s="3">
        <f>DATE(2001,8,1)</f>
        <v>37104</v>
      </c>
      <c r="B502" s="4">
        <v>3.6499999999999998E-2</v>
      </c>
      <c r="C502" s="6">
        <f t="shared" si="28"/>
        <v>5.2821290151725278E-2</v>
      </c>
      <c r="G502" s="3">
        <v>37104</v>
      </c>
      <c r="H502" s="4">
        <v>3.6499999999999998E-2</v>
      </c>
      <c r="I502" s="6">
        <v>5.2821290151725278E-2</v>
      </c>
      <c r="J502" s="6">
        <f t="shared" si="29"/>
        <v>1.8055572755417949E-2</v>
      </c>
      <c r="K502" s="21">
        <f t="shared" si="30"/>
        <v>2.6638451221680461E-4</v>
      </c>
      <c r="L502">
        <f t="shared" si="31"/>
        <v>44.715863429384335</v>
      </c>
    </row>
    <row r="503" spans="1:12" x14ac:dyDescent="0.15">
      <c r="A503" s="3">
        <f>DATE(2001,9,1)</f>
        <v>37135</v>
      </c>
      <c r="B503" s="4">
        <v>3.0699999999999998E-2</v>
      </c>
      <c r="C503" s="6">
        <f t="shared" si="28"/>
        <v>5.1189161136552752E-2</v>
      </c>
      <c r="G503" s="3">
        <v>37135</v>
      </c>
      <c r="H503" s="4">
        <v>3.0699999999999998E-2</v>
      </c>
      <c r="I503" s="6">
        <v>5.1189161136552752E-2</v>
      </c>
      <c r="J503" s="6">
        <f t="shared" si="29"/>
        <v>2.3855572755417949E-2</v>
      </c>
      <c r="K503" s="21">
        <f t="shared" si="30"/>
        <v>4.1980572407962372E-4</v>
      </c>
      <c r="L503">
        <f t="shared" si="31"/>
        <v>66.739938555546431</v>
      </c>
    </row>
    <row r="504" spans="1:12" x14ac:dyDescent="0.15">
      <c r="A504" s="3">
        <f>DATE(2001,10,1)</f>
        <v>37165</v>
      </c>
      <c r="B504" s="4">
        <v>2.4900000000000002E-2</v>
      </c>
      <c r="C504" s="6">
        <f t="shared" si="28"/>
        <v>4.9140245022897475E-2</v>
      </c>
      <c r="G504" s="3">
        <v>37165</v>
      </c>
      <c r="H504" s="4">
        <v>2.4900000000000002E-2</v>
      </c>
      <c r="I504" s="6">
        <v>4.9140245022897475E-2</v>
      </c>
      <c r="J504" s="6">
        <f t="shared" si="29"/>
        <v>2.9655572755417945E-2</v>
      </c>
      <c r="K504" s="21">
        <f t="shared" si="30"/>
        <v>5.8758947877010572E-4</v>
      </c>
      <c r="L504">
        <f t="shared" si="31"/>
        <v>97.35038161806213</v>
      </c>
    </row>
    <row r="505" spans="1:12" x14ac:dyDescent="0.15">
      <c r="A505" s="3">
        <f>DATE(2001,11,1)</f>
        <v>37196</v>
      </c>
      <c r="B505" s="4">
        <v>2.0899999999999998E-2</v>
      </c>
      <c r="C505" s="6">
        <f t="shared" si="28"/>
        <v>4.6716220520607726E-2</v>
      </c>
      <c r="G505" s="3">
        <v>37196</v>
      </c>
      <c r="H505" s="4">
        <v>2.0899999999999998E-2</v>
      </c>
      <c r="I505" s="6">
        <v>4.6716220520607726E-2</v>
      </c>
      <c r="J505" s="6">
        <f t="shared" si="29"/>
        <v>3.3655572755417945E-2</v>
      </c>
      <c r="K505" s="21">
        <f t="shared" si="30"/>
        <v>6.6647724196864755E-4</v>
      </c>
      <c r="L505">
        <f t="shared" si="31"/>
        <v>123.5225862230035</v>
      </c>
    </row>
    <row r="506" spans="1:12" x14ac:dyDescent="0.15">
      <c r="A506" s="3">
        <f>DATE(2001,12,1)</f>
        <v>37226</v>
      </c>
      <c r="B506" s="4">
        <v>1.8200000000000001E-2</v>
      </c>
      <c r="C506" s="6">
        <f t="shared" si="28"/>
        <v>4.4134598468546955E-2</v>
      </c>
      <c r="G506" s="3">
        <v>37226</v>
      </c>
      <c r="H506" s="4">
        <v>1.8200000000000001E-2</v>
      </c>
      <c r="I506" s="6">
        <v>4.4134598468546955E-2</v>
      </c>
      <c r="J506" s="6">
        <f t="shared" si="29"/>
        <v>3.6355572755417946E-2</v>
      </c>
      <c r="K506" s="21">
        <f t="shared" si="30"/>
        <v>6.7260339772475799E-4</v>
      </c>
      <c r="L506">
        <f t="shared" si="31"/>
        <v>142.49779378322503</v>
      </c>
    </row>
    <row r="507" spans="1:12" x14ac:dyDescent="0.15">
      <c r="A507" s="3">
        <f>DATE(2002,1,1)</f>
        <v>37257</v>
      </c>
      <c r="B507" s="4">
        <v>1.7299999999999999E-2</v>
      </c>
      <c r="C507" s="6">
        <f t="shared" si="28"/>
        <v>4.1541138621692265E-2</v>
      </c>
      <c r="G507" s="3">
        <v>37257</v>
      </c>
      <c r="H507" s="4">
        <v>1.7299999999999999E-2</v>
      </c>
      <c r="I507" s="6">
        <v>4.1541138621692265E-2</v>
      </c>
      <c r="J507" s="6">
        <f t="shared" si="29"/>
        <v>3.7255572755417951E-2</v>
      </c>
      <c r="K507" s="21">
        <f t="shared" si="30"/>
        <v>5.8763280167610044E-4</v>
      </c>
      <c r="L507">
        <f t="shared" si="31"/>
        <v>140.12218856469519</v>
      </c>
    </row>
    <row r="508" spans="1:12" x14ac:dyDescent="0.15">
      <c r="A508" s="3">
        <f>DATE(2002,2,1)</f>
        <v>37288</v>
      </c>
      <c r="B508" s="4">
        <v>1.7399999999999999E-2</v>
      </c>
      <c r="C508" s="6">
        <f t="shared" si="28"/>
        <v>3.9117024759523042E-2</v>
      </c>
      <c r="G508" s="3">
        <v>37288</v>
      </c>
      <c r="H508" s="4">
        <v>1.7399999999999999E-2</v>
      </c>
      <c r="I508" s="6">
        <v>3.9117024759523042E-2</v>
      </c>
      <c r="J508" s="6">
        <f t="shared" si="29"/>
        <v>3.7155572755417948E-2</v>
      </c>
      <c r="K508" s="21">
        <f t="shared" si="30"/>
        <v>4.716291644057369E-4</v>
      </c>
      <c r="L508">
        <f t="shared" si="31"/>
        <v>124.81048712369567</v>
      </c>
    </row>
    <row r="509" spans="1:12" x14ac:dyDescent="0.15">
      <c r="A509" s="3">
        <f>DATE(2002,3,1)</f>
        <v>37316</v>
      </c>
      <c r="B509" s="4">
        <v>1.7299999999999999E-2</v>
      </c>
      <c r="C509" s="6">
        <f t="shared" si="28"/>
        <v>3.6945322283570739E-2</v>
      </c>
      <c r="G509" s="3">
        <v>37316</v>
      </c>
      <c r="H509" s="4">
        <v>1.7299999999999999E-2</v>
      </c>
      <c r="I509" s="6">
        <v>3.6945322283570739E-2</v>
      </c>
      <c r="J509" s="6">
        <f t="shared" si="29"/>
        <v>3.7255572755417951E-2</v>
      </c>
      <c r="K509" s="21">
        <f t="shared" si="30"/>
        <v>3.8593868762536106E-4</v>
      </c>
      <c r="L509">
        <f t="shared" si="31"/>
        <v>113.55677620561121</v>
      </c>
    </row>
    <row r="510" spans="1:12" x14ac:dyDescent="0.15">
      <c r="A510" s="3">
        <f>DATE(2002,4,1)</f>
        <v>37347</v>
      </c>
      <c r="B510" s="4">
        <v>1.7500000000000002E-2</v>
      </c>
      <c r="C510" s="6">
        <f t="shared" si="28"/>
        <v>3.4980790055213672E-2</v>
      </c>
      <c r="G510" s="3">
        <v>37347</v>
      </c>
      <c r="H510" s="4">
        <v>1.7500000000000002E-2</v>
      </c>
      <c r="I510" s="6">
        <v>3.4980790055213672E-2</v>
      </c>
      <c r="J510" s="6">
        <f t="shared" si="29"/>
        <v>3.7055572755417945E-2</v>
      </c>
      <c r="K510" s="21">
        <f t="shared" si="30"/>
        <v>3.0557802095445712E-4</v>
      </c>
      <c r="L510">
        <f t="shared" si="31"/>
        <v>99.890228886935247</v>
      </c>
    </row>
    <row r="511" spans="1:12" x14ac:dyDescent="0.15">
      <c r="A511" s="3">
        <f>DATE(2002,5,1)</f>
        <v>37377</v>
      </c>
      <c r="B511" s="4">
        <v>1.7500000000000002E-2</v>
      </c>
      <c r="C511" s="6">
        <f t="shared" si="28"/>
        <v>3.3232711049692304E-2</v>
      </c>
      <c r="G511" s="3">
        <v>37377</v>
      </c>
      <c r="H511" s="4">
        <v>1.7500000000000002E-2</v>
      </c>
      <c r="I511" s="6">
        <v>3.3232711049692304E-2</v>
      </c>
      <c r="J511" s="6">
        <f t="shared" si="29"/>
        <v>3.7055572755417945E-2</v>
      </c>
      <c r="K511" s="21">
        <f t="shared" si="30"/>
        <v>2.4751819697311025E-4</v>
      </c>
      <c r="L511">
        <f t="shared" si="31"/>
        <v>89.901205998241721</v>
      </c>
    </row>
    <row r="512" spans="1:12" x14ac:dyDescent="0.15">
      <c r="A512" s="3">
        <f>DATE(2002,6,1)</f>
        <v>37408</v>
      </c>
      <c r="B512" s="4">
        <v>1.7500000000000002E-2</v>
      </c>
      <c r="C512" s="6">
        <f t="shared" si="28"/>
        <v>3.1659439944723075E-2</v>
      </c>
      <c r="G512" s="3">
        <v>37408</v>
      </c>
      <c r="H512" s="4">
        <v>1.7500000000000002E-2</v>
      </c>
      <c r="I512" s="6">
        <v>3.1659439944723075E-2</v>
      </c>
      <c r="J512" s="6">
        <f t="shared" si="29"/>
        <v>3.7055572755417945E-2</v>
      </c>
      <c r="K512" s="21">
        <f t="shared" si="30"/>
        <v>2.0048973954821936E-4</v>
      </c>
      <c r="L512">
        <f t="shared" si="31"/>
        <v>80.911085398417555</v>
      </c>
    </row>
    <row r="513" spans="1:12" x14ac:dyDescent="0.15">
      <c r="A513" s="3">
        <f>DATE(2002,7,1)</f>
        <v>37438</v>
      </c>
      <c r="B513" s="4">
        <v>1.7299999999999999E-2</v>
      </c>
      <c r="C513" s="6">
        <f t="shared" si="28"/>
        <v>3.0243495950250769E-2</v>
      </c>
      <c r="G513" s="3">
        <v>37438</v>
      </c>
      <c r="H513" s="4">
        <v>1.7299999999999999E-2</v>
      </c>
      <c r="I513" s="6">
        <v>3.0243495950250769E-2</v>
      </c>
      <c r="J513" s="6">
        <f t="shared" si="29"/>
        <v>3.7255572755417951E-2</v>
      </c>
      <c r="K513" s="21">
        <f t="shared" si="30"/>
        <v>1.6753408741415808E-4</v>
      </c>
      <c r="L513">
        <f t="shared" si="31"/>
        <v>74.817895666189429</v>
      </c>
    </row>
    <row r="514" spans="1:12" x14ac:dyDescent="0.15">
      <c r="A514" s="3">
        <f>DATE(2002,8,1)</f>
        <v>37469</v>
      </c>
      <c r="B514" s="4">
        <v>1.7399999999999999E-2</v>
      </c>
      <c r="C514" s="6">
        <f t="shared" si="28"/>
        <v>2.8949146355225691E-2</v>
      </c>
      <c r="G514" s="3">
        <v>37469</v>
      </c>
      <c r="H514" s="4">
        <v>1.7399999999999999E-2</v>
      </c>
      <c r="I514" s="6">
        <v>2.8949146355225691E-2</v>
      </c>
      <c r="J514" s="6">
        <f t="shared" si="29"/>
        <v>3.7155572755417948E-2</v>
      </c>
      <c r="K514" s="21">
        <f t="shared" si="30"/>
        <v>1.333827815344229E-4</v>
      </c>
      <c r="L514">
        <f t="shared" si="31"/>
        <v>66.374404340377552</v>
      </c>
    </row>
    <row r="515" spans="1:12" x14ac:dyDescent="0.15">
      <c r="A515" s="3">
        <f>DATE(2002,9,1)</f>
        <v>37500</v>
      </c>
      <c r="B515" s="4">
        <v>1.7500000000000002E-2</v>
      </c>
      <c r="C515" s="6">
        <f t="shared" si="28"/>
        <v>2.7794231719703123E-2</v>
      </c>
      <c r="G515" s="3">
        <v>37500</v>
      </c>
      <c r="H515" s="4">
        <v>1.7500000000000002E-2</v>
      </c>
      <c r="I515" s="6">
        <v>2.7794231719703123E-2</v>
      </c>
      <c r="J515" s="6">
        <f t="shared" si="29"/>
        <v>3.7055572755417945E-2</v>
      </c>
      <c r="K515" s="21">
        <f t="shared" si="30"/>
        <v>1.0597120669894188E-4</v>
      </c>
      <c r="L515">
        <f t="shared" si="31"/>
        <v>58.824181255446398</v>
      </c>
    </row>
    <row r="516" spans="1:12" x14ac:dyDescent="0.15">
      <c r="A516" s="3">
        <f>DATE(2002,10,1)</f>
        <v>37530</v>
      </c>
      <c r="B516" s="4">
        <v>1.7500000000000002E-2</v>
      </c>
      <c r="C516" s="6">
        <f t="shared" si="28"/>
        <v>2.6764808547732812E-2</v>
      </c>
      <c r="G516" s="3">
        <v>37530</v>
      </c>
      <c r="H516" s="4">
        <v>1.7500000000000002E-2</v>
      </c>
      <c r="I516" s="6">
        <v>2.6764808547732812E-2</v>
      </c>
      <c r="J516" s="6">
        <f t="shared" si="29"/>
        <v>3.7055572755417945E-2</v>
      </c>
      <c r="K516" s="21">
        <f t="shared" si="30"/>
        <v>8.5836677426142941E-5</v>
      </c>
      <c r="L516">
        <f t="shared" si="31"/>
        <v>52.941763129901766</v>
      </c>
    </row>
    <row r="517" spans="1:12" x14ac:dyDescent="0.15">
      <c r="A517" s="3">
        <f>DATE(2002,11,1)</f>
        <v>37561</v>
      </c>
      <c r="B517" s="4">
        <v>1.34E-2</v>
      </c>
      <c r="C517" s="6">
        <f t="shared" ref="C517:C580" si="32">0.1*B516+0.9*C516</f>
        <v>2.5838327692959531E-2</v>
      </c>
      <c r="G517" s="3">
        <v>37561</v>
      </c>
      <c r="H517" s="4">
        <v>1.34E-2</v>
      </c>
      <c r="I517" s="6">
        <v>2.5838327692959531E-2</v>
      </c>
      <c r="J517" s="6">
        <f t="shared" ref="J517:J580" si="33">ABS(H517-$P$6)</f>
        <v>4.1155572755417945E-2</v>
      </c>
      <c r="K517" s="21">
        <f t="shared" ref="K517:K580" si="34">(H517-I517)^2</f>
        <v>1.5471199579744396E-4</v>
      </c>
      <c r="L517">
        <f t="shared" ref="L517:L580" si="35">ABS(I517-H517)/H517*100</f>
        <v>92.823340992235302</v>
      </c>
    </row>
    <row r="518" spans="1:12" x14ac:dyDescent="0.15">
      <c r="A518" s="3">
        <f>DATE(2002,12,1)</f>
        <v>37591</v>
      </c>
      <c r="B518" s="4">
        <v>1.24E-2</v>
      </c>
      <c r="C518" s="6">
        <f t="shared" si="32"/>
        <v>2.4594494923663581E-2</v>
      </c>
      <c r="G518" s="3">
        <v>37591</v>
      </c>
      <c r="H518" s="4">
        <v>1.24E-2</v>
      </c>
      <c r="I518" s="6">
        <v>2.4594494923663581E-2</v>
      </c>
      <c r="J518" s="6">
        <f t="shared" si="33"/>
        <v>4.2155572755417946E-2</v>
      </c>
      <c r="K518" s="21">
        <f t="shared" si="34"/>
        <v>1.4870570644325687E-4</v>
      </c>
      <c r="L518">
        <f t="shared" si="35"/>
        <v>98.342700997286954</v>
      </c>
    </row>
    <row r="519" spans="1:12" x14ac:dyDescent="0.15">
      <c r="A519" s="3">
        <f>DATE(2003,1,1)</f>
        <v>37622</v>
      </c>
      <c r="B519" s="4">
        <v>1.24E-2</v>
      </c>
      <c r="C519" s="6">
        <f t="shared" si="32"/>
        <v>2.3375045431297224E-2</v>
      </c>
      <c r="G519" s="3">
        <v>37622</v>
      </c>
      <c r="H519" s="4">
        <v>1.24E-2</v>
      </c>
      <c r="I519" s="6">
        <v>2.3375045431297224E-2</v>
      </c>
      <c r="J519" s="6">
        <f t="shared" si="33"/>
        <v>4.2155572755417946E-2</v>
      </c>
      <c r="K519" s="21">
        <f t="shared" si="34"/>
        <v>1.2045162221903808E-4</v>
      </c>
      <c r="L519">
        <f t="shared" si="35"/>
        <v>88.50843089755827</v>
      </c>
    </row>
    <row r="520" spans="1:12" x14ac:dyDescent="0.15">
      <c r="A520" s="3">
        <f>DATE(2003,2,1)</f>
        <v>37653</v>
      </c>
      <c r="B520" s="4">
        <v>1.26E-2</v>
      </c>
      <c r="C520" s="6">
        <f t="shared" si="32"/>
        <v>2.2277540888167503E-2</v>
      </c>
      <c r="G520" s="3">
        <v>37653</v>
      </c>
      <c r="H520" s="4">
        <v>1.26E-2</v>
      </c>
      <c r="I520" s="6">
        <v>2.2277540888167503E-2</v>
      </c>
      <c r="J520" s="6">
        <f t="shared" si="33"/>
        <v>4.1955572755417947E-2</v>
      </c>
      <c r="K520" s="21">
        <f t="shared" si="34"/>
        <v>9.365479764215386E-5</v>
      </c>
      <c r="L520">
        <f t="shared" si="35"/>
        <v>76.805880064821451</v>
      </c>
    </row>
    <row r="521" spans="1:12" x14ac:dyDescent="0.15">
      <c r="A521" s="3">
        <f>DATE(2003,3,1)</f>
        <v>37681</v>
      </c>
      <c r="B521" s="4">
        <v>1.2500000000000001E-2</v>
      </c>
      <c r="C521" s="6">
        <f t="shared" si="32"/>
        <v>2.1309786799350753E-2</v>
      </c>
      <c r="G521" s="3">
        <v>37681</v>
      </c>
      <c r="H521" s="4">
        <v>1.2500000000000001E-2</v>
      </c>
      <c r="I521" s="6">
        <v>2.1309786799350753E-2</v>
      </c>
      <c r="J521" s="6">
        <f t="shared" si="33"/>
        <v>4.205557275541795E-2</v>
      </c>
      <c r="K521" s="21">
        <f t="shared" si="34"/>
        <v>7.7612343450014768E-5</v>
      </c>
      <c r="L521">
        <f t="shared" si="35"/>
        <v>70.478294394806014</v>
      </c>
    </row>
    <row r="522" spans="1:12" x14ac:dyDescent="0.15">
      <c r="A522" s="3">
        <f>DATE(2003,4,1)</f>
        <v>37712</v>
      </c>
      <c r="B522" s="4">
        <v>1.26E-2</v>
      </c>
      <c r="C522" s="6">
        <f t="shared" si="32"/>
        <v>2.0428808119415678E-2</v>
      </c>
      <c r="G522" s="3">
        <v>37712</v>
      </c>
      <c r="H522" s="4">
        <v>1.26E-2</v>
      </c>
      <c r="I522" s="6">
        <v>2.0428808119415678E-2</v>
      </c>
      <c r="J522" s="6">
        <f t="shared" si="33"/>
        <v>4.1955572755417947E-2</v>
      </c>
      <c r="K522" s="21">
        <f t="shared" si="34"/>
        <v>6.1290236570628854E-5</v>
      </c>
      <c r="L522">
        <f t="shared" si="35"/>
        <v>62.13339777314031</v>
      </c>
    </row>
    <row r="523" spans="1:12" x14ac:dyDescent="0.15">
      <c r="A523" s="3">
        <f>DATE(2003,5,1)</f>
        <v>37742</v>
      </c>
      <c r="B523" s="4">
        <v>1.26E-2</v>
      </c>
      <c r="C523" s="6">
        <f t="shared" si="32"/>
        <v>1.9645927307474113E-2</v>
      </c>
      <c r="G523" s="3">
        <v>37742</v>
      </c>
      <c r="H523" s="4">
        <v>1.26E-2</v>
      </c>
      <c r="I523" s="6">
        <v>1.9645927307474113E-2</v>
      </c>
      <c r="J523" s="6">
        <f t="shared" si="33"/>
        <v>4.1955572755417947E-2</v>
      </c>
      <c r="K523" s="21">
        <f t="shared" si="34"/>
        <v>4.9645091622209395E-5</v>
      </c>
      <c r="L523">
        <f t="shared" si="35"/>
        <v>55.920057995826291</v>
      </c>
    </row>
    <row r="524" spans="1:12" x14ac:dyDescent="0.15">
      <c r="A524" s="3">
        <f>DATE(2003,6,1)</f>
        <v>37773</v>
      </c>
      <c r="B524" s="4">
        <v>1.2199999999999999E-2</v>
      </c>
      <c r="C524" s="6">
        <f t="shared" si="32"/>
        <v>1.8941334576726702E-2</v>
      </c>
      <c r="G524" s="3">
        <v>37773</v>
      </c>
      <c r="H524" s="4">
        <v>1.2199999999999999E-2</v>
      </c>
      <c r="I524" s="6">
        <v>1.8941334576726702E-2</v>
      </c>
      <c r="J524" s="6">
        <f t="shared" si="33"/>
        <v>4.2355572755417945E-2</v>
      </c>
      <c r="K524" s="21">
        <f t="shared" si="34"/>
        <v>4.544559187537099E-5</v>
      </c>
      <c r="L524">
        <f t="shared" si="35"/>
        <v>55.256840792841835</v>
      </c>
    </row>
    <row r="525" spans="1:12" x14ac:dyDescent="0.15">
      <c r="A525" s="3">
        <f>DATE(2003,7,1)</f>
        <v>37803</v>
      </c>
      <c r="B525" s="4">
        <v>1.01E-2</v>
      </c>
      <c r="C525" s="6">
        <f t="shared" si="32"/>
        <v>1.8267201119054031E-2</v>
      </c>
      <c r="G525" s="3">
        <v>37803</v>
      </c>
      <c r="H525" s="4">
        <v>1.01E-2</v>
      </c>
      <c r="I525" s="6">
        <v>1.8267201119054031E-2</v>
      </c>
      <c r="J525" s="6">
        <f t="shared" si="33"/>
        <v>4.4455572755417949E-2</v>
      </c>
      <c r="K525" s="21">
        <f t="shared" si="34"/>
        <v>6.6703174119077421E-5</v>
      </c>
      <c r="L525">
        <f t="shared" si="35"/>
        <v>80.863377416376551</v>
      </c>
    </row>
    <row r="526" spans="1:12" x14ac:dyDescent="0.15">
      <c r="A526" s="3">
        <f>DATE(2003,8,1)</f>
        <v>37834</v>
      </c>
      <c r="B526" s="4">
        <v>1.03E-2</v>
      </c>
      <c r="C526" s="6">
        <f t="shared" si="32"/>
        <v>1.7450481007148629E-2</v>
      </c>
      <c r="G526" s="3">
        <v>37834</v>
      </c>
      <c r="H526" s="4">
        <v>1.03E-2</v>
      </c>
      <c r="I526" s="6">
        <v>1.7450481007148629E-2</v>
      </c>
      <c r="J526" s="6">
        <f t="shared" si="33"/>
        <v>4.4255572755417943E-2</v>
      </c>
      <c r="K526" s="21">
        <f t="shared" si="34"/>
        <v>5.1129378633593274E-5</v>
      </c>
      <c r="L526">
        <f t="shared" si="35"/>
        <v>69.422145700472129</v>
      </c>
    </row>
    <row r="527" spans="1:12" x14ac:dyDescent="0.15">
      <c r="A527" s="3">
        <f>DATE(2003,9,1)</f>
        <v>37865</v>
      </c>
      <c r="B527" s="4">
        <v>1.01E-2</v>
      </c>
      <c r="C527" s="6">
        <f t="shared" si="32"/>
        <v>1.6735432906433766E-2</v>
      </c>
      <c r="G527" s="3">
        <v>37865</v>
      </c>
      <c r="H527" s="4">
        <v>1.01E-2</v>
      </c>
      <c r="I527" s="6">
        <v>1.6735432906433766E-2</v>
      </c>
      <c r="J527" s="6">
        <f t="shared" si="33"/>
        <v>4.4455572755417949E-2</v>
      </c>
      <c r="K527" s="21">
        <f t="shared" si="34"/>
        <v>4.4028969855784068E-5</v>
      </c>
      <c r="L527">
        <f t="shared" si="35"/>
        <v>65.697355509245213</v>
      </c>
    </row>
    <row r="528" spans="1:12" x14ac:dyDescent="0.15">
      <c r="A528" s="3">
        <f>DATE(2003,10,1)</f>
        <v>37895</v>
      </c>
      <c r="B528" s="4">
        <v>1.01E-2</v>
      </c>
      <c r="C528" s="6">
        <f t="shared" si="32"/>
        <v>1.607188961579039E-2</v>
      </c>
      <c r="G528" s="3">
        <v>37895</v>
      </c>
      <c r="H528" s="4">
        <v>1.01E-2</v>
      </c>
      <c r="I528" s="6">
        <v>1.607188961579039E-2</v>
      </c>
      <c r="J528" s="6">
        <f t="shared" si="33"/>
        <v>4.4455572755417949E-2</v>
      </c>
      <c r="K528" s="21">
        <f t="shared" si="34"/>
        <v>3.5663465583185097E-5</v>
      </c>
      <c r="L528">
        <f t="shared" si="35"/>
        <v>59.1276199583207</v>
      </c>
    </row>
    <row r="529" spans="1:12" x14ac:dyDescent="0.15">
      <c r="A529" s="3">
        <f>DATE(2003,11,1)</f>
        <v>37926</v>
      </c>
      <c r="B529" s="4">
        <v>0.01</v>
      </c>
      <c r="C529" s="6">
        <f t="shared" si="32"/>
        <v>1.5474700654211351E-2</v>
      </c>
      <c r="G529" s="3">
        <v>37926</v>
      </c>
      <c r="H529" s="4">
        <v>0.01</v>
      </c>
      <c r="I529" s="6">
        <v>1.5474700654211351E-2</v>
      </c>
      <c r="J529" s="6">
        <f t="shared" si="33"/>
        <v>4.4555572755417945E-2</v>
      </c>
      <c r="K529" s="21">
        <f t="shared" si="34"/>
        <v>2.9972347253222193E-5</v>
      </c>
      <c r="L529">
        <f t="shared" si="35"/>
        <v>54.74700654211351</v>
      </c>
    </row>
    <row r="530" spans="1:12" x14ac:dyDescent="0.15">
      <c r="A530" s="3">
        <f>DATE(2003,12,1)</f>
        <v>37956</v>
      </c>
      <c r="B530" s="4">
        <v>9.7999999999999997E-3</v>
      </c>
      <c r="C530" s="6">
        <f t="shared" si="32"/>
        <v>1.4927230588790218E-2</v>
      </c>
      <c r="G530" s="3">
        <v>37956</v>
      </c>
      <c r="H530" s="4">
        <v>9.7999999999999997E-3</v>
      </c>
      <c r="I530" s="6">
        <v>1.4927230588790218E-2</v>
      </c>
      <c r="J530" s="6">
        <f t="shared" si="33"/>
        <v>4.4755572755417944E-2</v>
      </c>
      <c r="K530" s="21">
        <f t="shared" si="34"/>
        <v>2.6288493510626086E-5</v>
      </c>
      <c r="L530">
        <f t="shared" si="35"/>
        <v>52.318679477451205</v>
      </c>
    </row>
    <row r="531" spans="1:12" x14ac:dyDescent="0.15">
      <c r="A531" s="3">
        <f>DATE(2004,1,1)</f>
        <v>37987</v>
      </c>
      <c r="B531" s="4">
        <v>0.01</v>
      </c>
      <c r="C531" s="6">
        <f t="shared" si="32"/>
        <v>1.4414507529911197E-2</v>
      </c>
      <c r="G531" s="3">
        <v>37987</v>
      </c>
      <c r="H531" s="4">
        <v>0.01</v>
      </c>
      <c r="I531" s="6">
        <v>1.4414507529911197E-2</v>
      </c>
      <c r="J531" s="6">
        <f t="shared" si="33"/>
        <v>4.4555572755417945E-2</v>
      </c>
      <c r="K531" s="21">
        <f t="shared" si="34"/>
        <v>1.9487876731642653E-5</v>
      </c>
      <c r="L531">
        <f t="shared" si="35"/>
        <v>44.145075299111966</v>
      </c>
    </row>
    <row r="532" spans="1:12" x14ac:dyDescent="0.15">
      <c r="A532" s="3">
        <f>DATE(2004,2,1)</f>
        <v>38018</v>
      </c>
      <c r="B532" s="4">
        <v>1.01E-2</v>
      </c>
      <c r="C532" s="6">
        <f t="shared" si="32"/>
        <v>1.3973056776920078E-2</v>
      </c>
      <c r="G532" s="3">
        <v>38018</v>
      </c>
      <c r="H532" s="4">
        <v>1.01E-2</v>
      </c>
      <c r="I532" s="6">
        <v>1.3973056776920078E-2</v>
      </c>
      <c r="J532" s="6">
        <f t="shared" si="33"/>
        <v>4.4455572755417949E-2</v>
      </c>
      <c r="K532" s="21">
        <f t="shared" si="34"/>
        <v>1.5000568797246545E-5</v>
      </c>
      <c r="L532">
        <f t="shared" si="35"/>
        <v>38.347096801188897</v>
      </c>
    </row>
    <row r="533" spans="1:12" x14ac:dyDescent="0.15">
      <c r="A533" s="3">
        <f>DATE(2004,3,1)</f>
        <v>38047</v>
      </c>
      <c r="B533" s="4">
        <v>0.01</v>
      </c>
      <c r="C533" s="6">
        <f t="shared" si="32"/>
        <v>1.358575109922807E-2</v>
      </c>
      <c r="G533" s="3">
        <v>38047</v>
      </c>
      <c r="H533" s="4">
        <v>0.01</v>
      </c>
      <c r="I533" s="6">
        <v>1.358575109922807E-2</v>
      </c>
      <c r="J533" s="6">
        <f t="shared" si="33"/>
        <v>4.4555572755417945E-2</v>
      </c>
      <c r="K533" s="21">
        <f t="shared" si="34"/>
        <v>1.2857610945615313E-5</v>
      </c>
      <c r="L533">
        <f t="shared" si="35"/>
        <v>35.857510992280702</v>
      </c>
    </row>
    <row r="534" spans="1:12" x14ac:dyDescent="0.15">
      <c r="A534" s="3">
        <f>DATE(2004,4,1)</f>
        <v>38078</v>
      </c>
      <c r="B534" s="4">
        <v>0.01</v>
      </c>
      <c r="C534" s="6">
        <f t="shared" si="32"/>
        <v>1.3227175989305263E-2</v>
      </c>
      <c r="G534" s="3">
        <v>38078</v>
      </c>
      <c r="H534" s="4">
        <v>0.01</v>
      </c>
      <c r="I534" s="6">
        <v>1.3227175989305263E-2</v>
      </c>
      <c r="J534" s="6">
        <f t="shared" si="33"/>
        <v>4.4555572755417945E-2</v>
      </c>
      <c r="K534" s="21">
        <f t="shared" si="34"/>
        <v>1.0414664865948404E-5</v>
      </c>
      <c r="L534">
        <f t="shared" si="35"/>
        <v>32.271759893052632</v>
      </c>
    </row>
    <row r="535" spans="1:12" x14ac:dyDescent="0.15">
      <c r="A535" s="3">
        <f>DATE(2004,5,1)</f>
        <v>38108</v>
      </c>
      <c r="B535" s="4">
        <v>0.01</v>
      </c>
      <c r="C535" s="6">
        <f t="shared" si="32"/>
        <v>1.2904458390374737E-2</v>
      </c>
      <c r="G535" s="3">
        <v>38108</v>
      </c>
      <c r="H535" s="4">
        <v>0.01</v>
      </c>
      <c r="I535" s="6">
        <v>1.2904458390374737E-2</v>
      </c>
      <c r="J535" s="6">
        <f t="shared" si="33"/>
        <v>4.4555572755417945E-2</v>
      </c>
      <c r="K535" s="21">
        <f t="shared" si="34"/>
        <v>8.4358785414182047E-6</v>
      </c>
      <c r="L535">
        <f t="shared" si="35"/>
        <v>29.044583903747363</v>
      </c>
    </row>
    <row r="536" spans="1:12" x14ac:dyDescent="0.15">
      <c r="A536" s="3">
        <f>DATE(2004,6,1)</f>
        <v>38139</v>
      </c>
      <c r="B536" s="4">
        <v>1.03E-2</v>
      </c>
      <c r="C536" s="6">
        <f t="shared" si="32"/>
        <v>1.2614012551337265E-2</v>
      </c>
      <c r="G536" s="3">
        <v>38139</v>
      </c>
      <c r="H536" s="4">
        <v>1.03E-2</v>
      </c>
      <c r="I536" s="6">
        <v>1.2614012551337265E-2</v>
      </c>
      <c r="J536" s="6">
        <f t="shared" si="33"/>
        <v>4.4255572755417943E-2</v>
      </c>
      <c r="K536" s="21">
        <f t="shared" si="34"/>
        <v>5.3546540877463975E-6</v>
      </c>
      <c r="L536">
        <f t="shared" si="35"/>
        <v>22.466141275119075</v>
      </c>
    </row>
    <row r="537" spans="1:12" x14ac:dyDescent="0.15">
      <c r="A537" s="3">
        <f>DATE(2004,7,1)</f>
        <v>38169</v>
      </c>
      <c r="B537" s="4">
        <v>1.26E-2</v>
      </c>
      <c r="C537" s="6">
        <f t="shared" si="32"/>
        <v>1.2382611296203539E-2</v>
      </c>
      <c r="G537" s="3">
        <v>38169</v>
      </c>
      <c r="H537" s="4">
        <v>1.26E-2</v>
      </c>
      <c r="I537" s="6">
        <v>1.2382611296203539E-2</v>
      </c>
      <c r="J537" s="6">
        <f t="shared" si="33"/>
        <v>4.1955572755417947E-2</v>
      </c>
      <c r="K537" s="21">
        <f t="shared" si="34"/>
        <v>4.7257848538305455E-8</v>
      </c>
      <c r="L537">
        <f t="shared" si="35"/>
        <v>1.7253071729877858</v>
      </c>
    </row>
    <row r="538" spans="1:12" x14ac:dyDescent="0.15">
      <c r="A538" s="3">
        <f>DATE(2004,8,1)</f>
        <v>38200</v>
      </c>
      <c r="B538" s="4">
        <v>1.43E-2</v>
      </c>
      <c r="C538" s="6">
        <f t="shared" si="32"/>
        <v>1.2404350166583186E-2</v>
      </c>
      <c r="G538" s="3">
        <v>38200</v>
      </c>
      <c r="H538" s="4">
        <v>1.43E-2</v>
      </c>
      <c r="I538" s="6">
        <v>1.2404350166583186E-2</v>
      </c>
      <c r="J538" s="6">
        <f t="shared" si="33"/>
        <v>4.0255572755417947E-2</v>
      </c>
      <c r="K538" s="21">
        <f t="shared" si="34"/>
        <v>3.5934882909331945E-6</v>
      </c>
      <c r="L538">
        <f t="shared" si="35"/>
        <v>13.256292541376322</v>
      </c>
    </row>
    <row r="539" spans="1:12" x14ac:dyDescent="0.15">
      <c r="A539" s="3">
        <f>DATE(2004,9,1)</f>
        <v>38231</v>
      </c>
      <c r="B539" s="4">
        <v>1.61E-2</v>
      </c>
      <c r="C539" s="6">
        <f t="shared" si="32"/>
        <v>1.2593915149924868E-2</v>
      </c>
      <c r="G539" s="3">
        <v>38231</v>
      </c>
      <c r="H539" s="4">
        <v>1.61E-2</v>
      </c>
      <c r="I539" s="6">
        <v>1.2593915149924868E-2</v>
      </c>
      <c r="J539" s="6">
        <f t="shared" si="33"/>
        <v>3.8455572755417944E-2</v>
      </c>
      <c r="K539" s="21">
        <f t="shared" si="34"/>
        <v>1.2292630975926356E-5</v>
      </c>
      <c r="L539">
        <f t="shared" si="35"/>
        <v>21.776924534628144</v>
      </c>
    </row>
    <row r="540" spans="1:12" x14ac:dyDescent="0.15">
      <c r="A540" s="3">
        <f>DATE(2004,10,1)</f>
        <v>38261</v>
      </c>
      <c r="B540" s="4">
        <v>1.7600000000000001E-2</v>
      </c>
      <c r="C540" s="6">
        <f t="shared" si="32"/>
        <v>1.2944523634932382E-2</v>
      </c>
      <c r="G540" s="3">
        <v>38261</v>
      </c>
      <c r="H540" s="4">
        <v>1.7600000000000001E-2</v>
      </c>
      <c r="I540" s="6">
        <v>1.2944523634932382E-2</v>
      </c>
      <c r="J540" s="6">
        <f t="shared" si="33"/>
        <v>3.6955572755417943E-2</v>
      </c>
      <c r="K540" s="21">
        <f t="shared" si="34"/>
        <v>2.1673460185703211E-5</v>
      </c>
      <c r="L540">
        <f t="shared" si="35"/>
        <v>26.451570256066013</v>
      </c>
    </row>
    <row r="541" spans="1:12" x14ac:dyDescent="0.15">
      <c r="A541" s="3">
        <f>DATE(2004,11,1)</f>
        <v>38292</v>
      </c>
      <c r="B541" s="4">
        <v>1.9299999999999998E-2</v>
      </c>
      <c r="C541" s="6">
        <f t="shared" si="32"/>
        <v>1.3410071271439145E-2</v>
      </c>
      <c r="G541" s="3">
        <v>38292</v>
      </c>
      <c r="H541" s="4">
        <v>1.9299999999999998E-2</v>
      </c>
      <c r="I541" s="6">
        <v>1.3410071271439145E-2</v>
      </c>
      <c r="J541" s="6">
        <f t="shared" si="33"/>
        <v>3.5255572755417949E-2</v>
      </c>
      <c r="K541" s="21">
        <f t="shared" si="34"/>
        <v>3.4691260427526465E-5</v>
      </c>
      <c r="L541">
        <f t="shared" si="35"/>
        <v>30.517765432957795</v>
      </c>
    </row>
    <row r="542" spans="1:12" x14ac:dyDescent="0.15">
      <c r="A542" s="3">
        <f>DATE(2004,12,1)</f>
        <v>38322</v>
      </c>
      <c r="B542" s="4">
        <v>2.1600000000000001E-2</v>
      </c>
      <c r="C542" s="6">
        <f t="shared" si="32"/>
        <v>1.3999064144295231E-2</v>
      </c>
      <c r="G542" s="3">
        <v>38322</v>
      </c>
      <c r="H542" s="4">
        <v>2.1600000000000001E-2</v>
      </c>
      <c r="I542" s="6">
        <v>1.3999064144295231E-2</v>
      </c>
      <c r="J542" s="6">
        <f t="shared" si="33"/>
        <v>3.2955572755417946E-2</v>
      </c>
      <c r="K542" s="21">
        <f t="shared" si="34"/>
        <v>5.7774225882538415E-5</v>
      </c>
      <c r="L542">
        <f t="shared" si="35"/>
        <v>35.189517850485046</v>
      </c>
    </row>
    <row r="543" spans="1:12" x14ac:dyDescent="0.15">
      <c r="A543" s="3">
        <f>DATE(2005,1,1)</f>
        <v>38353</v>
      </c>
      <c r="B543" s="4">
        <v>2.2799999999999997E-2</v>
      </c>
      <c r="C543" s="6">
        <f t="shared" si="32"/>
        <v>1.4759157729865708E-2</v>
      </c>
      <c r="G543" s="3">
        <v>38353</v>
      </c>
      <c r="H543" s="4">
        <v>2.2799999999999997E-2</v>
      </c>
      <c r="I543" s="6">
        <v>1.4759157729865708E-2</v>
      </c>
      <c r="J543" s="6">
        <f t="shared" si="33"/>
        <v>3.1755572755417946E-2</v>
      </c>
      <c r="K543" s="21">
        <f t="shared" si="34"/>
        <v>6.4655144413178353E-5</v>
      </c>
      <c r="L543">
        <f t="shared" si="35"/>
        <v>35.266852061992502</v>
      </c>
    </row>
    <row r="544" spans="1:12" x14ac:dyDescent="0.15">
      <c r="A544" s="3">
        <f>DATE(2005,2,1)</f>
        <v>38384</v>
      </c>
      <c r="B544" s="4">
        <v>2.5000000000000001E-2</v>
      </c>
      <c r="C544" s="6">
        <f t="shared" si="32"/>
        <v>1.5563241956879137E-2</v>
      </c>
      <c r="G544" s="3">
        <v>38384</v>
      </c>
      <c r="H544" s="4">
        <v>2.5000000000000001E-2</v>
      </c>
      <c r="I544" s="6">
        <v>1.5563241956879137E-2</v>
      </c>
      <c r="J544" s="6">
        <f t="shared" si="33"/>
        <v>2.9555572755417946E-2</v>
      </c>
      <c r="K544" s="21">
        <f t="shared" si="34"/>
        <v>8.9052402364406334E-5</v>
      </c>
      <c r="L544">
        <f t="shared" si="35"/>
        <v>37.747032172483458</v>
      </c>
    </row>
    <row r="545" spans="1:12" x14ac:dyDescent="0.15">
      <c r="A545" s="3">
        <f>DATE(2005,3,1)</f>
        <v>38412</v>
      </c>
      <c r="B545" s="4">
        <v>2.63E-2</v>
      </c>
      <c r="C545" s="6">
        <f t="shared" si="32"/>
        <v>1.6506917761191224E-2</v>
      </c>
      <c r="G545" s="3">
        <v>38412</v>
      </c>
      <c r="H545" s="4">
        <v>2.63E-2</v>
      </c>
      <c r="I545" s="6">
        <v>1.6506917761191224E-2</v>
      </c>
      <c r="J545" s="6">
        <f t="shared" si="33"/>
        <v>2.8255572755417947E-2</v>
      </c>
      <c r="K545" s="21">
        <f t="shared" si="34"/>
        <v>9.590445973607192E-5</v>
      </c>
      <c r="L545">
        <f t="shared" si="35"/>
        <v>37.236054139957325</v>
      </c>
    </row>
    <row r="546" spans="1:12" x14ac:dyDescent="0.15">
      <c r="A546" s="3">
        <f>DATE(2005,4,1)</f>
        <v>38443</v>
      </c>
      <c r="B546" s="4">
        <v>2.7900000000000001E-2</v>
      </c>
      <c r="C546" s="6">
        <f t="shared" si="32"/>
        <v>1.7486225985072101E-2</v>
      </c>
      <c r="G546" s="3">
        <v>38443</v>
      </c>
      <c r="H546" s="4">
        <v>2.7900000000000001E-2</v>
      </c>
      <c r="I546" s="6">
        <v>1.7486225985072101E-2</v>
      </c>
      <c r="J546" s="6">
        <f t="shared" si="33"/>
        <v>2.6655572755417946E-2</v>
      </c>
      <c r="K546" s="21">
        <f t="shared" si="34"/>
        <v>1.0844668923398755E-4</v>
      </c>
      <c r="L546">
        <f t="shared" si="35"/>
        <v>37.32535489221469</v>
      </c>
    </row>
    <row r="547" spans="1:12" x14ac:dyDescent="0.15">
      <c r="A547" s="3">
        <f>DATE(2005,5,1)</f>
        <v>38473</v>
      </c>
      <c r="B547" s="4">
        <v>0.03</v>
      </c>
      <c r="C547" s="6">
        <f t="shared" si="32"/>
        <v>1.8527603386564891E-2</v>
      </c>
      <c r="G547" s="3">
        <v>38473</v>
      </c>
      <c r="H547" s="4">
        <v>0.03</v>
      </c>
      <c r="I547" s="6">
        <v>1.8527603386564891E-2</v>
      </c>
      <c r="J547" s="6">
        <f t="shared" si="33"/>
        <v>2.4555572755417948E-2</v>
      </c>
      <c r="K547" s="21">
        <f t="shared" si="34"/>
        <v>1.3161588405595731E-4</v>
      </c>
      <c r="L547">
        <f t="shared" si="35"/>
        <v>38.241322044783693</v>
      </c>
    </row>
    <row r="548" spans="1:12" x14ac:dyDescent="0.15">
      <c r="A548" s="3">
        <f>DATE(2005,6,1)</f>
        <v>38504</v>
      </c>
      <c r="B548" s="4">
        <v>3.04E-2</v>
      </c>
      <c r="C548" s="6">
        <f t="shared" si="32"/>
        <v>1.96748430479084E-2</v>
      </c>
      <c r="G548" s="3">
        <v>38504</v>
      </c>
      <c r="H548" s="4">
        <v>3.04E-2</v>
      </c>
      <c r="I548" s="6">
        <v>1.96748430479084E-2</v>
      </c>
      <c r="J548" s="6">
        <f t="shared" si="33"/>
        <v>2.4155572755417947E-2</v>
      </c>
      <c r="K548" s="21">
        <f t="shared" si="34"/>
        <v>1.1502899164699877E-4</v>
      </c>
      <c r="L548">
        <f t="shared" si="35"/>
        <v>35.28012155293289</v>
      </c>
    </row>
    <row r="549" spans="1:12" x14ac:dyDescent="0.15">
      <c r="A549" s="3">
        <f>DATE(2005,7,1)</f>
        <v>38534</v>
      </c>
      <c r="B549" s="4">
        <v>3.2599999999999997E-2</v>
      </c>
      <c r="C549" s="6">
        <f t="shared" si="32"/>
        <v>2.0747358743117561E-2</v>
      </c>
      <c r="G549" s="3">
        <v>38534</v>
      </c>
      <c r="H549" s="4">
        <v>3.2599999999999997E-2</v>
      </c>
      <c r="I549" s="6">
        <v>2.0747358743117561E-2</v>
      </c>
      <c r="J549" s="6">
        <f t="shared" si="33"/>
        <v>2.195557275541795E-2</v>
      </c>
      <c r="K549" s="21">
        <f t="shared" si="34"/>
        <v>1.4048510476435166E-4</v>
      </c>
      <c r="L549">
        <f t="shared" si="35"/>
        <v>36.357795266510543</v>
      </c>
    </row>
    <row r="550" spans="1:12" x14ac:dyDescent="0.15">
      <c r="A550" s="3">
        <f>DATE(2005,8,1)</f>
        <v>38565</v>
      </c>
      <c r="B550" s="4">
        <v>3.5000000000000003E-2</v>
      </c>
      <c r="C550" s="6">
        <f t="shared" si="32"/>
        <v>2.1932622868805804E-2</v>
      </c>
      <c r="G550" s="3">
        <v>38565</v>
      </c>
      <c r="H550" s="4">
        <v>3.5000000000000003E-2</v>
      </c>
      <c r="I550" s="6">
        <v>2.1932622868805804E-2</v>
      </c>
      <c r="J550" s="6">
        <f t="shared" si="33"/>
        <v>1.9555572755417944E-2</v>
      </c>
      <c r="K550" s="21">
        <f t="shared" si="34"/>
        <v>1.7075634508885714E-4</v>
      </c>
      <c r="L550">
        <f t="shared" si="35"/>
        <v>37.335363231983429</v>
      </c>
    </row>
    <row r="551" spans="1:12" x14ac:dyDescent="0.15">
      <c r="A551" s="3">
        <f>DATE(2005,9,1)</f>
        <v>38596</v>
      </c>
      <c r="B551" s="4">
        <v>3.6200000000000003E-2</v>
      </c>
      <c r="C551" s="6">
        <f t="shared" si="32"/>
        <v>2.3239360581925224E-2</v>
      </c>
      <c r="G551" s="3">
        <v>38596</v>
      </c>
      <c r="H551" s="4">
        <v>3.6200000000000003E-2</v>
      </c>
      <c r="I551" s="6">
        <v>2.3239360581925224E-2</v>
      </c>
      <c r="J551" s="6">
        <f t="shared" si="33"/>
        <v>1.8355572755417944E-2</v>
      </c>
      <c r="K551" s="21">
        <f t="shared" si="34"/>
        <v>1.6797817412535375E-4</v>
      </c>
      <c r="L551">
        <f t="shared" si="35"/>
        <v>35.802871320648563</v>
      </c>
    </row>
    <row r="552" spans="1:12" x14ac:dyDescent="0.15">
      <c r="A552" s="3">
        <f>DATE(2005,10,1)</f>
        <v>38626</v>
      </c>
      <c r="B552" s="4">
        <v>3.78E-2</v>
      </c>
      <c r="C552" s="6">
        <f t="shared" si="32"/>
        <v>2.4535424523732703E-2</v>
      </c>
      <c r="G552" s="3">
        <v>38626</v>
      </c>
      <c r="H552" s="4">
        <v>3.78E-2</v>
      </c>
      <c r="I552" s="6">
        <v>2.4535424523732703E-2</v>
      </c>
      <c r="J552" s="6">
        <f t="shared" si="33"/>
        <v>1.6755572755417947E-2</v>
      </c>
      <c r="K552" s="21">
        <f t="shared" si="34"/>
        <v>1.7594896256559178E-4</v>
      </c>
      <c r="L552">
        <f t="shared" si="35"/>
        <v>35.091469513934648</v>
      </c>
    </row>
    <row r="553" spans="1:12" x14ac:dyDescent="0.15">
      <c r="A553" s="3">
        <f>DATE(2005,11,1)</f>
        <v>38657</v>
      </c>
      <c r="B553" s="4">
        <v>0.04</v>
      </c>
      <c r="C553" s="6">
        <f t="shared" si="32"/>
        <v>2.5861882071359435E-2</v>
      </c>
      <c r="G553" s="3">
        <v>38657</v>
      </c>
      <c r="H553" s="4">
        <v>0.04</v>
      </c>
      <c r="I553" s="6">
        <v>2.5861882071359435E-2</v>
      </c>
      <c r="J553" s="6">
        <f t="shared" si="33"/>
        <v>1.4555572755417946E-2</v>
      </c>
      <c r="K553" s="21">
        <f t="shared" si="34"/>
        <v>1.9988637856414781E-4</v>
      </c>
      <c r="L553">
        <f t="shared" si="35"/>
        <v>35.345294821601414</v>
      </c>
    </row>
    <row r="554" spans="1:12" x14ac:dyDescent="0.15">
      <c r="A554" s="3">
        <f>DATE(2005,12,1)</f>
        <v>38687</v>
      </c>
      <c r="B554" s="4">
        <v>4.1599999999999998E-2</v>
      </c>
      <c r="C554" s="6">
        <f t="shared" si="32"/>
        <v>2.7275693864223492E-2</v>
      </c>
      <c r="G554" s="3">
        <v>38687</v>
      </c>
      <c r="H554" s="4">
        <v>4.1599999999999998E-2</v>
      </c>
      <c r="I554" s="6">
        <v>2.7275693864223492E-2</v>
      </c>
      <c r="J554" s="6">
        <f t="shared" si="33"/>
        <v>1.2955572755417949E-2</v>
      </c>
      <c r="K554" s="21">
        <f t="shared" si="34"/>
        <v>2.0518574627144447E-4</v>
      </c>
      <c r="L554">
        <f t="shared" si="35"/>
        <v>34.433428211001221</v>
      </c>
    </row>
    <row r="555" spans="1:12" x14ac:dyDescent="0.15">
      <c r="A555" s="3">
        <f>DATE(2006,1,1)</f>
        <v>38718</v>
      </c>
      <c r="B555" s="4">
        <v>4.2900000000000001E-2</v>
      </c>
      <c r="C555" s="6">
        <f t="shared" si="32"/>
        <v>2.8708124477801144E-2</v>
      </c>
      <c r="G555" s="3">
        <v>38718</v>
      </c>
      <c r="H555" s="4">
        <v>4.2900000000000001E-2</v>
      </c>
      <c r="I555" s="6">
        <v>2.8708124477801144E-2</v>
      </c>
      <c r="J555" s="6">
        <f t="shared" si="33"/>
        <v>1.1655572755417946E-2</v>
      </c>
      <c r="K555" s="21">
        <f t="shared" si="34"/>
        <v>2.0140933083758708E-4</v>
      </c>
      <c r="L555">
        <f t="shared" si="35"/>
        <v>33.081294923540462</v>
      </c>
    </row>
    <row r="556" spans="1:12" x14ac:dyDescent="0.15">
      <c r="A556" s="3">
        <f>DATE(2006,2,1)</f>
        <v>38749</v>
      </c>
      <c r="B556" s="4">
        <v>4.4900000000000002E-2</v>
      </c>
      <c r="C556" s="6">
        <f t="shared" si="32"/>
        <v>3.0127312030021031E-2</v>
      </c>
      <c r="G556" s="3">
        <v>38749</v>
      </c>
      <c r="H556" s="4">
        <v>4.4900000000000002E-2</v>
      </c>
      <c r="I556" s="6">
        <v>3.0127312030021031E-2</v>
      </c>
      <c r="J556" s="6">
        <f t="shared" si="33"/>
        <v>9.6555727554179446E-3</v>
      </c>
      <c r="K556" s="21">
        <f t="shared" si="34"/>
        <v>2.1823230985836144E-4</v>
      </c>
      <c r="L556">
        <f t="shared" si="35"/>
        <v>32.901309509975434</v>
      </c>
    </row>
    <row r="557" spans="1:12" x14ac:dyDescent="0.15">
      <c r="A557" s="3">
        <f>DATE(2006,3,1)</f>
        <v>38777</v>
      </c>
      <c r="B557" s="4">
        <v>4.5899999999999996E-2</v>
      </c>
      <c r="C557" s="6">
        <f t="shared" si="32"/>
        <v>3.1604580827018926E-2</v>
      </c>
      <c r="G557" s="3">
        <v>38777</v>
      </c>
      <c r="H557" s="4">
        <v>4.5899999999999996E-2</v>
      </c>
      <c r="I557" s="6">
        <v>3.1604580827018926E-2</v>
      </c>
      <c r="J557" s="6">
        <f t="shared" si="33"/>
        <v>8.6555727554179507E-3</v>
      </c>
      <c r="K557" s="21">
        <f t="shared" si="34"/>
        <v>2.043590093312348E-4</v>
      </c>
      <c r="L557">
        <f t="shared" si="35"/>
        <v>31.144704080568786</v>
      </c>
    </row>
    <row r="558" spans="1:12" x14ac:dyDescent="0.15">
      <c r="A558" s="3">
        <f>DATE(2006,4,1)</f>
        <v>38808</v>
      </c>
      <c r="B558" s="4">
        <v>4.7899999999999998E-2</v>
      </c>
      <c r="C558" s="6">
        <f t="shared" si="32"/>
        <v>3.3034122744317031E-2</v>
      </c>
      <c r="G558" s="3">
        <v>38808</v>
      </c>
      <c r="H558" s="4">
        <v>4.7899999999999998E-2</v>
      </c>
      <c r="I558" s="6">
        <v>3.3034122744317031E-2</v>
      </c>
      <c r="J558" s="6">
        <f t="shared" si="33"/>
        <v>6.6555727554179489E-3</v>
      </c>
      <c r="K558" s="21">
        <f t="shared" si="34"/>
        <v>2.2099430658103215E-4</v>
      </c>
      <c r="L558">
        <f t="shared" si="35"/>
        <v>31.035234354244189</v>
      </c>
    </row>
    <row r="559" spans="1:12" x14ac:dyDescent="0.15">
      <c r="A559" s="3">
        <f>DATE(2006,5,1)</f>
        <v>38838</v>
      </c>
      <c r="B559" s="4">
        <v>4.9400000000000006E-2</v>
      </c>
      <c r="C559" s="6">
        <f t="shared" si="32"/>
        <v>3.4520710469885328E-2</v>
      </c>
      <c r="G559" s="3">
        <v>38838</v>
      </c>
      <c r="H559" s="4">
        <v>4.9400000000000006E-2</v>
      </c>
      <c r="I559" s="6">
        <v>3.4520710469885328E-2</v>
      </c>
      <c r="J559" s="6">
        <f t="shared" si="33"/>
        <v>5.1555727554179406E-3</v>
      </c>
      <c r="K559" s="21">
        <f t="shared" si="34"/>
        <v>2.2139325692098027E-4</v>
      </c>
      <c r="L559">
        <f t="shared" si="35"/>
        <v>30.120019291730117</v>
      </c>
    </row>
    <row r="560" spans="1:12" x14ac:dyDescent="0.15">
      <c r="A560" s="3">
        <f>DATE(2006,6,1)</f>
        <v>38869</v>
      </c>
      <c r="B560" s="4">
        <v>4.99E-2</v>
      </c>
      <c r="C560" s="6">
        <f t="shared" si="32"/>
        <v>3.6008639422896796E-2</v>
      </c>
      <c r="G560" s="3">
        <v>38869</v>
      </c>
      <c r="H560" s="4">
        <v>4.99E-2</v>
      </c>
      <c r="I560" s="6">
        <v>3.6008639422896796E-2</v>
      </c>
      <c r="J560" s="6">
        <f t="shared" si="33"/>
        <v>4.6555727554179471E-3</v>
      </c>
      <c r="K560" s="21">
        <f t="shared" si="34"/>
        <v>1.9296989868309707E-4</v>
      </c>
      <c r="L560">
        <f t="shared" si="35"/>
        <v>27.838397950106618</v>
      </c>
    </row>
    <row r="561" spans="1:12" x14ac:dyDescent="0.15">
      <c r="A561" s="3">
        <f>DATE(2006,7,1)</f>
        <v>38899</v>
      </c>
      <c r="B561" s="4">
        <v>5.2400000000000002E-2</v>
      </c>
      <c r="C561" s="6">
        <f t="shared" si="32"/>
        <v>3.7397775480607118E-2</v>
      </c>
      <c r="G561" s="3">
        <v>38899</v>
      </c>
      <c r="H561" s="4">
        <v>5.2400000000000002E-2</v>
      </c>
      <c r="I561" s="6">
        <v>3.7397775480607118E-2</v>
      </c>
      <c r="J561" s="6">
        <f t="shared" si="33"/>
        <v>2.1555727554179449E-3</v>
      </c>
      <c r="K561" s="21">
        <f t="shared" si="34"/>
        <v>2.2506674053027306E-4</v>
      </c>
      <c r="L561">
        <f t="shared" si="35"/>
        <v>28.630199464490236</v>
      </c>
    </row>
    <row r="562" spans="1:12" x14ac:dyDescent="0.15">
      <c r="A562" s="3">
        <f>DATE(2006,8,1)</f>
        <v>38930</v>
      </c>
      <c r="B562" s="4">
        <v>5.2499999999999998E-2</v>
      </c>
      <c r="C562" s="6">
        <f t="shared" si="32"/>
        <v>3.8897997932546412E-2</v>
      </c>
      <c r="G562" s="3">
        <v>38930</v>
      </c>
      <c r="H562" s="4">
        <v>5.2499999999999998E-2</v>
      </c>
      <c r="I562" s="6">
        <v>3.8897997932546412E-2</v>
      </c>
      <c r="J562" s="6">
        <f t="shared" si="33"/>
        <v>2.055572755417949E-3</v>
      </c>
      <c r="K562" s="21">
        <f t="shared" si="34"/>
        <v>1.8501446024301164E-4</v>
      </c>
      <c r="L562">
        <f t="shared" si="35"/>
        <v>25.908575366578262</v>
      </c>
    </row>
    <row r="563" spans="1:12" x14ac:dyDescent="0.15">
      <c r="A563" s="3">
        <f>DATE(2006,9,1)</f>
        <v>38961</v>
      </c>
      <c r="B563" s="4">
        <v>5.2499999999999998E-2</v>
      </c>
      <c r="C563" s="6">
        <f t="shared" si="32"/>
        <v>4.0258198139291768E-2</v>
      </c>
      <c r="G563" s="3">
        <v>38961</v>
      </c>
      <c r="H563" s="4">
        <v>5.2499999999999998E-2</v>
      </c>
      <c r="I563" s="6">
        <v>4.0258198139291768E-2</v>
      </c>
      <c r="J563" s="6">
        <f t="shared" si="33"/>
        <v>2.055572755417949E-3</v>
      </c>
      <c r="K563" s="21">
        <f t="shared" si="34"/>
        <v>1.498617127968395E-4</v>
      </c>
      <c r="L563">
        <f t="shared" si="35"/>
        <v>23.31771782992044</v>
      </c>
    </row>
    <row r="564" spans="1:12" x14ac:dyDescent="0.15">
      <c r="A564" s="3">
        <f>DATE(2006,10,1)</f>
        <v>38991</v>
      </c>
      <c r="B564" s="4">
        <v>5.2499999999999998E-2</v>
      </c>
      <c r="C564" s="6">
        <f t="shared" si="32"/>
        <v>4.1482378325362591E-2</v>
      </c>
      <c r="G564" s="3">
        <v>38991</v>
      </c>
      <c r="H564" s="4">
        <v>5.2499999999999998E-2</v>
      </c>
      <c r="I564" s="6">
        <v>4.1482378325362591E-2</v>
      </c>
      <c r="J564" s="6">
        <f t="shared" si="33"/>
        <v>2.055572755417949E-3</v>
      </c>
      <c r="K564" s="21">
        <f t="shared" si="34"/>
        <v>1.2138798736543997E-4</v>
      </c>
      <c r="L564">
        <f t="shared" si="35"/>
        <v>20.985946046928394</v>
      </c>
    </row>
    <row r="565" spans="1:12" x14ac:dyDescent="0.15">
      <c r="A565" s="3">
        <f>DATE(2006,11,1)</f>
        <v>39022</v>
      </c>
      <c r="B565" s="4">
        <v>5.2499999999999998E-2</v>
      </c>
      <c r="C565" s="6">
        <f t="shared" si="32"/>
        <v>4.2584140492826328E-2</v>
      </c>
      <c r="G565" s="3">
        <v>39022</v>
      </c>
      <c r="H565" s="4">
        <v>5.2499999999999998E-2</v>
      </c>
      <c r="I565" s="6">
        <v>4.2584140492826328E-2</v>
      </c>
      <c r="J565" s="6">
        <f t="shared" si="33"/>
        <v>2.055572755417949E-3</v>
      </c>
      <c r="K565" s="21">
        <f t="shared" si="34"/>
        <v>9.8324269766006465E-5</v>
      </c>
      <c r="L565">
        <f t="shared" si="35"/>
        <v>18.887351442235563</v>
      </c>
    </row>
    <row r="566" spans="1:12" x14ac:dyDescent="0.15">
      <c r="A566" s="3">
        <f>DATE(2006,12,1)</f>
        <v>39052</v>
      </c>
      <c r="B566" s="4">
        <v>5.2400000000000002E-2</v>
      </c>
      <c r="C566" s="6">
        <f t="shared" si="32"/>
        <v>4.3575726443543697E-2</v>
      </c>
      <c r="G566" s="3">
        <v>39052</v>
      </c>
      <c r="H566" s="4">
        <v>5.2400000000000002E-2</v>
      </c>
      <c r="I566" s="6">
        <v>4.3575726443543697E-2</v>
      </c>
      <c r="J566" s="6">
        <f t="shared" si="33"/>
        <v>2.1555727554179449E-3</v>
      </c>
      <c r="K566" s="21">
        <f t="shared" si="34"/>
        <v>7.7867803799174009E-5</v>
      </c>
      <c r="L566">
        <f t="shared" si="35"/>
        <v>16.840216710794476</v>
      </c>
    </row>
    <row r="567" spans="1:12" x14ac:dyDescent="0.15">
      <c r="A567" s="3">
        <f>DATE(2007,1,1)</f>
        <v>39083</v>
      </c>
      <c r="B567" s="4">
        <v>5.2499999999999998E-2</v>
      </c>
      <c r="C567" s="6">
        <f t="shared" si="32"/>
        <v>4.4458153799189333E-2</v>
      </c>
      <c r="G567" s="3">
        <v>39083</v>
      </c>
      <c r="H567" s="4">
        <v>5.2499999999999998E-2</v>
      </c>
      <c r="I567" s="6">
        <v>4.4458153799189333E-2</v>
      </c>
      <c r="J567" s="6">
        <f t="shared" si="33"/>
        <v>2.055572755417949E-3</v>
      </c>
      <c r="K567" s="21">
        <f t="shared" si="34"/>
        <v>6.4671290317492924E-5</v>
      </c>
      <c r="L567">
        <f t="shared" si="35"/>
        <v>15.317802287258411</v>
      </c>
    </row>
    <row r="568" spans="1:12" x14ac:dyDescent="0.15">
      <c r="A568" s="3">
        <f>DATE(2007,2,1)</f>
        <v>39114</v>
      </c>
      <c r="B568" s="4">
        <v>5.2600000000000001E-2</v>
      </c>
      <c r="C568" s="6">
        <f t="shared" si="32"/>
        <v>4.5262338419270395E-2</v>
      </c>
      <c r="G568" s="3">
        <v>39114</v>
      </c>
      <c r="H568" s="4">
        <v>5.2600000000000001E-2</v>
      </c>
      <c r="I568" s="6">
        <v>4.5262338419270395E-2</v>
      </c>
      <c r="J568" s="6">
        <f t="shared" si="33"/>
        <v>1.9555727554179461E-3</v>
      </c>
      <c r="K568" s="21">
        <f t="shared" si="34"/>
        <v>5.3841277473315295E-5</v>
      </c>
      <c r="L568">
        <f t="shared" si="35"/>
        <v>13.949926959561987</v>
      </c>
    </row>
    <row r="569" spans="1:12" x14ac:dyDescent="0.15">
      <c r="A569" s="3">
        <f>DATE(2007,3,1)</f>
        <v>39142</v>
      </c>
      <c r="B569" s="4">
        <v>5.2600000000000001E-2</v>
      </c>
      <c r="C569" s="6">
        <f t="shared" si="32"/>
        <v>4.5996104577343357E-2</v>
      </c>
      <c r="G569" s="3">
        <v>39142</v>
      </c>
      <c r="H569" s="4">
        <v>5.2600000000000001E-2</v>
      </c>
      <c r="I569" s="6">
        <v>4.5996104577343357E-2</v>
      </c>
      <c r="J569" s="6">
        <f t="shared" si="33"/>
        <v>1.9555727554179461E-3</v>
      </c>
      <c r="K569" s="21">
        <f t="shared" si="34"/>
        <v>4.3611434753385378E-5</v>
      </c>
      <c r="L569">
        <f t="shared" si="35"/>
        <v>12.554934263605787</v>
      </c>
    </row>
    <row r="570" spans="1:12" x14ac:dyDescent="0.15">
      <c r="A570" s="3">
        <f>DATE(2007,4,1)</f>
        <v>39173</v>
      </c>
      <c r="B570" s="4">
        <v>5.2499999999999998E-2</v>
      </c>
      <c r="C570" s="6">
        <f t="shared" si="32"/>
        <v>4.6656494119609024E-2</v>
      </c>
      <c r="G570" s="3">
        <v>39173</v>
      </c>
      <c r="H570" s="4">
        <v>5.2499999999999998E-2</v>
      </c>
      <c r="I570" s="6">
        <v>4.6656494119609024E-2</v>
      </c>
      <c r="J570" s="6">
        <f t="shared" si="33"/>
        <v>2.055572755417949E-3</v>
      </c>
      <c r="K570" s="21">
        <f t="shared" si="34"/>
        <v>3.4146560974163892E-5</v>
      </c>
      <c r="L570">
        <f t="shared" si="35"/>
        <v>11.130487391220905</v>
      </c>
    </row>
    <row r="571" spans="1:12" x14ac:dyDescent="0.15">
      <c r="A571" s="3">
        <f>DATE(2007,5,1)</f>
        <v>39203</v>
      </c>
      <c r="B571" s="4">
        <v>5.2499999999999998E-2</v>
      </c>
      <c r="C571" s="6">
        <f t="shared" si="32"/>
        <v>4.7240844707648118E-2</v>
      </c>
      <c r="G571" s="3">
        <v>39203</v>
      </c>
      <c r="H571" s="4">
        <v>5.2499999999999998E-2</v>
      </c>
      <c r="I571" s="6">
        <v>4.7240844707648118E-2</v>
      </c>
      <c r="J571" s="6">
        <f t="shared" si="33"/>
        <v>2.055572755417949E-3</v>
      </c>
      <c r="K571" s="21">
        <f t="shared" si="34"/>
        <v>2.7658714389072792E-5</v>
      </c>
      <c r="L571">
        <f t="shared" si="35"/>
        <v>10.01743865209882</v>
      </c>
    </row>
    <row r="572" spans="1:12" x14ac:dyDescent="0.15">
      <c r="A572" s="3">
        <v>39234</v>
      </c>
      <c r="B572" s="4">
        <v>5.2499999999999998E-2</v>
      </c>
      <c r="C572" s="6">
        <f t="shared" si="32"/>
        <v>4.7766760236883303E-2</v>
      </c>
      <c r="G572" s="3">
        <v>39234</v>
      </c>
      <c r="H572" s="4">
        <v>5.2499999999999998E-2</v>
      </c>
      <c r="I572" s="6">
        <v>4.7766760236883303E-2</v>
      </c>
      <c r="J572" s="6">
        <f t="shared" si="33"/>
        <v>2.055572755417949E-3</v>
      </c>
      <c r="K572" s="21">
        <f t="shared" si="34"/>
        <v>2.2403558655148989E-5</v>
      </c>
      <c r="L572">
        <f t="shared" si="35"/>
        <v>9.0156947868889432</v>
      </c>
    </row>
    <row r="573" spans="1:12" x14ac:dyDescent="0.15">
      <c r="A573" s="3">
        <v>39264</v>
      </c>
      <c r="B573" s="4">
        <v>5.2600000000000001E-2</v>
      </c>
      <c r="C573" s="6">
        <f t="shared" si="32"/>
        <v>4.8240084213194971E-2</v>
      </c>
      <c r="G573" s="3">
        <v>39264</v>
      </c>
      <c r="H573" s="4">
        <v>5.2600000000000001E-2</v>
      </c>
      <c r="I573" s="6">
        <v>4.8240084213194971E-2</v>
      </c>
      <c r="J573" s="6">
        <f t="shared" si="33"/>
        <v>1.9555727554179461E-3</v>
      </c>
      <c r="K573" s="21">
        <f t="shared" si="34"/>
        <v>1.9008865668031722E-5</v>
      </c>
      <c r="L573">
        <f t="shared" si="35"/>
        <v>8.2888132828992962</v>
      </c>
    </row>
    <row r="574" spans="1:12" x14ac:dyDescent="0.15">
      <c r="A574" s="3">
        <v>39295</v>
      </c>
      <c r="B574" s="4">
        <v>5.0199999999999995E-2</v>
      </c>
      <c r="C574" s="6">
        <f t="shared" si="32"/>
        <v>4.8676075791875474E-2</v>
      </c>
      <c r="G574" s="3">
        <v>39295</v>
      </c>
      <c r="H574" s="4">
        <v>5.0199999999999995E-2</v>
      </c>
      <c r="I574" s="6">
        <v>4.8676075791875474E-2</v>
      </c>
      <c r="J574" s="6">
        <f t="shared" si="33"/>
        <v>4.3555727554179524E-3</v>
      </c>
      <c r="K574" s="21">
        <f t="shared" si="34"/>
        <v>2.3223449921079471E-6</v>
      </c>
      <c r="L574">
        <f t="shared" si="35"/>
        <v>3.0357055938735473</v>
      </c>
    </row>
    <row r="575" spans="1:12" x14ac:dyDescent="0.15">
      <c r="A575" s="3">
        <v>39326</v>
      </c>
      <c r="B575" s="4">
        <v>4.9400000000000006E-2</v>
      </c>
      <c r="C575" s="6">
        <f t="shared" si="32"/>
        <v>4.8828468212687923E-2</v>
      </c>
      <c r="G575" s="3">
        <v>39326</v>
      </c>
      <c r="H575" s="4">
        <v>4.9400000000000006E-2</v>
      </c>
      <c r="I575" s="6">
        <v>4.8828468212687923E-2</v>
      </c>
      <c r="J575" s="6">
        <f t="shared" si="33"/>
        <v>5.1555727554179406E-3</v>
      </c>
      <c r="K575" s="21">
        <f t="shared" si="34"/>
        <v>3.2664858390814486E-7</v>
      </c>
      <c r="L575">
        <f t="shared" si="35"/>
        <v>1.1569469378787118</v>
      </c>
    </row>
    <row r="576" spans="1:12" x14ac:dyDescent="0.15">
      <c r="A576" s="3">
        <v>39356</v>
      </c>
      <c r="B576" s="4">
        <v>4.7599999999999996E-2</v>
      </c>
      <c r="C576" s="6">
        <f t="shared" si="32"/>
        <v>4.888562139141913E-2</v>
      </c>
      <c r="G576" s="3">
        <v>39356</v>
      </c>
      <c r="H576" s="4">
        <v>4.7599999999999996E-2</v>
      </c>
      <c r="I576" s="6">
        <v>4.888562139141913E-2</v>
      </c>
      <c r="J576" s="6">
        <f t="shared" si="33"/>
        <v>6.9555727554179506E-3</v>
      </c>
      <c r="K576" s="21">
        <f t="shared" si="34"/>
        <v>1.65282236207447E-6</v>
      </c>
      <c r="L576">
        <f t="shared" si="35"/>
        <v>2.7008852760906175</v>
      </c>
    </row>
    <row r="577" spans="1:12" x14ac:dyDescent="0.15">
      <c r="A577" s="3">
        <v>39387</v>
      </c>
      <c r="B577" s="4">
        <v>4.4900000000000002E-2</v>
      </c>
      <c r="C577" s="6">
        <f t="shared" si="32"/>
        <v>4.8757059252277218E-2</v>
      </c>
      <c r="G577" s="3">
        <v>39387</v>
      </c>
      <c r="H577" s="4">
        <v>4.4900000000000002E-2</v>
      </c>
      <c r="I577" s="6">
        <v>4.8757059252277218E-2</v>
      </c>
      <c r="J577" s="6">
        <f t="shared" si="33"/>
        <v>9.6555727554179446E-3</v>
      </c>
      <c r="K577" s="21">
        <f t="shared" si="34"/>
        <v>1.4876906075577277E-5</v>
      </c>
      <c r="L577">
        <f t="shared" si="35"/>
        <v>8.5903324104169627</v>
      </c>
    </row>
    <row r="578" spans="1:12" x14ac:dyDescent="0.15">
      <c r="A578" s="3">
        <v>39417</v>
      </c>
      <c r="B578" s="4">
        <v>4.24E-2</v>
      </c>
      <c r="C578" s="6">
        <f t="shared" si="32"/>
        <v>4.8371353327049497E-2</v>
      </c>
      <c r="G578" s="3">
        <v>39417</v>
      </c>
      <c r="H578" s="4">
        <v>4.24E-2</v>
      </c>
      <c r="I578" s="6">
        <v>4.8371353327049497E-2</v>
      </c>
      <c r="J578" s="6">
        <f t="shared" si="33"/>
        <v>1.2155572755417947E-2</v>
      </c>
      <c r="K578" s="21">
        <f t="shared" si="34"/>
        <v>3.5657060556465103E-5</v>
      </c>
      <c r="L578">
        <f t="shared" si="35"/>
        <v>14.083380488324284</v>
      </c>
    </row>
    <row r="579" spans="1:12" x14ac:dyDescent="0.15">
      <c r="A579" s="3">
        <v>39448</v>
      </c>
      <c r="B579" s="4">
        <v>3.9399999999999998E-2</v>
      </c>
      <c r="C579" s="6">
        <f t="shared" si="32"/>
        <v>4.7774217994344552E-2</v>
      </c>
      <c r="G579" s="3">
        <v>39448</v>
      </c>
      <c r="H579" s="4">
        <v>3.9399999999999998E-2</v>
      </c>
      <c r="I579" s="6">
        <v>4.7774217994344552E-2</v>
      </c>
      <c r="J579" s="6">
        <f t="shared" si="33"/>
        <v>1.515557275541795E-2</v>
      </c>
      <c r="K579" s="21">
        <f t="shared" si="34"/>
        <v>7.0127527016804127E-5</v>
      </c>
      <c r="L579">
        <f t="shared" si="35"/>
        <v>21.25436039173745</v>
      </c>
    </row>
    <row r="580" spans="1:12" x14ac:dyDescent="0.15">
      <c r="A580" s="3">
        <v>39479</v>
      </c>
      <c r="B580" s="4">
        <v>2.98E-2</v>
      </c>
      <c r="C580" s="6">
        <f t="shared" si="32"/>
        <v>4.6936796194910098E-2</v>
      </c>
      <c r="G580" s="3">
        <v>39479</v>
      </c>
      <c r="H580" s="4">
        <v>2.98E-2</v>
      </c>
      <c r="I580" s="6">
        <v>4.6936796194910098E-2</v>
      </c>
      <c r="J580" s="6">
        <f t="shared" si="33"/>
        <v>2.4755572755417947E-2</v>
      </c>
      <c r="K580" s="21">
        <f t="shared" si="34"/>
        <v>2.936697838258852E-4</v>
      </c>
      <c r="L580">
        <f t="shared" si="35"/>
        <v>57.506027499698305</v>
      </c>
    </row>
    <row r="581" spans="1:12" x14ac:dyDescent="0.15">
      <c r="A581" s="3">
        <v>39508</v>
      </c>
      <c r="B581" s="4">
        <v>2.6099999999999998E-2</v>
      </c>
      <c r="C581" s="6">
        <f t="shared" ref="C581:C649" si="36">0.1*B580+0.9*C580</f>
        <v>4.5223116575419095E-2</v>
      </c>
      <c r="G581" s="3">
        <v>39508</v>
      </c>
      <c r="H581" s="4">
        <v>2.6099999999999998E-2</v>
      </c>
      <c r="I581" s="6">
        <v>4.5223116575419095E-2</v>
      </c>
      <c r="J581" s="6">
        <f t="shared" ref="J581:J644" si="37">ABS(H581-$P$6)</f>
        <v>2.8455572755417949E-2</v>
      </c>
      <c r="K581" s="21">
        <f t="shared" ref="K581:K644" si="38">(H581-I581)^2</f>
        <v>3.6569358755706859E-4</v>
      </c>
      <c r="L581">
        <f t="shared" ref="L581:L644" si="39">ABS(I581-H581)/H581*100</f>
        <v>73.268645882831791</v>
      </c>
    </row>
    <row r="582" spans="1:12" x14ac:dyDescent="0.15">
      <c r="A582" s="3">
        <v>39539</v>
      </c>
      <c r="B582" s="4">
        <v>2.2799999999999997E-2</v>
      </c>
      <c r="C582" s="6">
        <f t="shared" si="36"/>
        <v>4.3310804917877185E-2</v>
      </c>
      <c r="G582" s="3">
        <v>39539</v>
      </c>
      <c r="H582" s="4">
        <v>2.2799999999999997E-2</v>
      </c>
      <c r="I582" s="6">
        <v>4.3310804917877185E-2</v>
      </c>
      <c r="J582" s="6">
        <f t="shared" si="37"/>
        <v>3.1755572755417946E-2</v>
      </c>
      <c r="K582" s="21">
        <f t="shared" si="38"/>
        <v>4.2069311837921505E-4</v>
      </c>
      <c r="L582">
        <f t="shared" si="39"/>
        <v>89.959670692443822</v>
      </c>
    </row>
    <row r="583" spans="1:12" x14ac:dyDescent="0.15">
      <c r="A583" s="3">
        <v>39569</v>
      </c>
      <c r="B583" s="4">
        <v>1.9799999999999998E-2</v>
      </c>
      <c r="C583" s="6">
        <f t="shared" si="36"/>
        <v>4.1259724426089467E-2</v>
      </c>
      <c r="G583" s="3">
        <v>39569</v>
      </c>
      <c r="H583" s="4">
        <v>1.9799999999999998E-2</v>
      </c>
      <c r="I583" s="6">
        <v>4.1259724426089467E-2</v>
      </c>
      <c r="J583" s="6">
        <f t="shared" si="37"/>
        <v>3.4755572755417949E-2</v>
      </c>
      <c r="K583" s="21">
        <f t="shared" si="38"/>
        <v>4.6051977244370096E-4</v>
      </c>
      <c r="L583">
        <f t="shared" si="39"/>
        <v>108.38244659641147</v>
      </c>
    </row>
    <row r="584" spans="1:12" x14ac:dyDescent="0.15">
      <c r="A584" s="3">
        <v>39600</v>
      </c>
      <c r="B584" s="4">
        <v>0.02</v>
      </c>
      <c r="C584" s="6">
        <f t="shared" si="36"/>
        <v>3.9113751983480521E-2</v>
      </c>
      <c r="G584" s="3">
        <v>39600</v>
      </c>
      <c r="H584" s="4">
        <v>0.02</v>
      </c>
      <c r="I584" s="6">
        <v>3.9113751983480521E-2</v>
      </c>
      <c r="J584" s="6">
        <f t="shared" si="37"/>
        <v>3.4555572755417943E-2</v>
      </c>
      <c r="K584" s="21">
        <f t="shared" si="38"/>
        <v>3.6533551488600557E-4</v>
      </c>
      <c r="L584">
        <f t="shared" si="39"/>
        <v>95.568759917402602</v>
      </c>
    </row>
    <row r="585" spans="1:12" x14ac:dyDescent="0.15">
      <c r="A585" s="3">
        <v>39630</v>
      </c>
      <c r="B585" s="4">
        <v>2.0099999999999996E-2</v>
      </c>
      <c r="C585" s="6">
        <f t="shared" si="36"/>
        <v>3.7202376785132475E-2</v>
      </c>
      <c r="G585" s="3">
        <v>39630</v>
      </c>
      <c r="H585" s="4">
        <v>2.0099999999999996E-2</v>
      </c>
      <c r="I585" s="6">
        <v>3.7202376785132475E-2</v>
      </c>
      <c r="J585" s="6">
        <f t="shared" si="37"/>
        <v>3.4455572755417954E-2</v>
      </c>
      <c r="K585" s="21">
        <f t="shared" si="38"/>
        <v>2.9249129170063834E-4</v>
      </c>
      <c r="L585">
        <f t="shared" si="39"/>
        <v>85.086451667325775</v>
      </c>
    </row>
    <row r="586" spans="1:12" x14ac:dyDescent="0.15">
      <c r="A586" s="3">
        <v>39661</v>
      </c>
      <c r="B586" s="4">
        <v>0.02</v>
      </c>
      <c r="C586" s="6">
        <f t="shared" si="36"/>
        <v>3.5492139106619226E-2</v>
      </c>
      <c r="G586" s="3">
        <v>39661</v>
      </c>
      <c r="H586" s="4">
        <v>0.02</v>
      </c>
      <c r="I586" s="6">
        <v>3.5492139106619226E-2</v>
      </c>
      <c r="J586" s="6">
        <f t="shared" si="37"/>
        <v>3.4555572755417943E-2</v>
      </c>
      <c r="K586" s="21">
        <f t="shared" si="38"/>
        <v>2.4000637409884074E-4</v>
      </c>
      <c r="L586">
        <f t="shared" si="39"/>
        <v>77.460695533096128</v>
      </c>
    </row>
    <row r="587" spans="1:12" x14ac:dyDescent="0.15">
      <c r="A587" s="3">
        <v>39692</v>
      </c>
      <c r="B587" s="4">
        <v>1.8100000000000002E-2</v>
      </c>
      <c r="C587" s="6">
        <f t="shared" si="36"/>
        <v>3.3942925195957305E-2</v>
      </c>
      <c r="G587" s="3">
        <v>39692</v>
      </c>
      <c r="H587" s="4">
        <v>1.8100000000000002E-2</v>
      </c>
      <c r="I587" s="6">
        <v>3.3942925195957305E-2</v>
      </c>
      <c r="J587" s="6">
        <f t="shared" si="37"/>
        <v>3.6455572755417942E-2</v>
      </c>
      <c r="K587" s="21">
        <f t="shared" si="38"/>
        <v>2.5099827876469877E-4</v>
      </c>
      <c r="L587">
        <f t="shared" si="39"/>
        <v>87.529973458327632</v>
      </c>
    </row>
    <row r="588" spans="1:12" x14ac:dyDescent="0.15">
      <c r="A588" s="3">
        <v>39722</v>
      </c>
      <c r="B588" s="4">
        <v>9.7000000000000003E-3</v>
      </c>
      <c r="C588" s="6">
        <f t="shared" si="36"/>
        <v>3.2358632676361576E-2</v>
      </c>
      <c r="G588" s="3">
        <v>39722</v>
      </c>
      <c r="H588" s="4">
        <v>9.7000000000000003E-3</v>
      </c>
      <c r="I588" s="6">
        <v>3.2358632676361576E-2</v>
      </c>
      <c r="J588" s="6">
        <f t="shared" si="37"/>
        <v>4.4855572755417947E-2</v>
      </c>
      <c r="K588" s="21">
        <f t="shared" si="38"/>
        <v>5.134136347622805E-4</v>
      </c>
      <c r="L588">
        <f t="shared" si="39"/>
        <v>233.59415130269667</v>
      </c>
    </row>
    <row r="589" spans="1:12" x14ac:dyDescent="0.15">
      <c r="A589" s="3">
        <v>39753</v>
      </c>
      <c r="B589" s="4">
        <v>3.8999999999999998E-3</v>
      </c>
      <c r="C589" s="6">
        <f t="shared" si="36"/>
        <v>3.0092769408725416E-2</v>
      </c>
      <c r="G589" s="3">
        <v>39753</v>
      </c>
      <c r="H589" s="4">
        <v>3.8999999999999998E-3</v>
      </c>
      <c r="I589" s="6">
        <v>3.0092769408725416E-2</v>
      </c>
      <c r="J589" s="6">
        <f t="shared" si="37"/>
        <v>5.0655572755417946E-2</v>
      </c>
      <c r="K589" s="21">
        <f t="shared" si="38"/>
        <v>6.8606116929866197E-4</v>
      </c>
      <c r="L589">
        <f t="shared" si="39"/>
        <v>671.6094720186004</v>
      </c>
    </row>
    <row r="590" spans="1:12" x14ac:dyDescent="0.15">
      <c r="A590" s="3">
        <v>39783</v>
      </c>
      <c r="B590" s="4">
        <v>1.6000000000000001E-3</v>
      </c>
      <c r="C590" s="6">
        <f t="shared" si="36"/>
        <v>2.7473492467852877E-2</v>
      </c>
      <c r="G590" s="3">
        <v>39783</v>
      </c>
      <c r="H590" s="4">
        <v>1.6000000000000001E-3</v>
      </c>
      <c r="I590" s="6">
        <v>2.7473492467852877E-2</v>
      </c>
      <c r="J590" s="6">
        <f t="shared" si="37"/>
        <v>5.295557275541795E-2</v>
      </c>
      <c r="K590" s="21">
        <f t="shared" si="38"/>
        <v>6.6943761248403955E-4</v>
      </c>
      <c r="L590">
        <f t="shared" si="39"/>
        <v>1617.0932792408046</v>
      </c>
    </row>
    <row r="591" spans="1:12" x14ac:dyDescent="0.15">
      <c r="A591" s="3">
        <v>39814</v>
      </c>
      <c r="B591" s="4">
        <v>1.5E-3</v>
      </c>
      <c r="C591" s="6">
        <f t="shared" si="36"/>
        <v>2.4886143221067591E-2</v>
      </c>
      <c r="G591" s="3">
        <v>39814</v>
      </c>
      <c r="H591" s="4">
        <v>1.5E-3</v>
      </c>
      <c r="I591" s="6">
        <v>2.4886143221067591E-2</v>
      </c>
      <c r="J591" s="6">
        <f t="shared" si="37"/>
        <v>5.3055572755417946E-2</v>
      </c>
      <c r="K591" s="21">
        <f t="shared" si="38"/>
        <v>5.4691169475628556E-4</v>
      </c>
      <c r="L591">
        <f t="shared" si="39"/>
        <v>1559.0762147378391</v>
      </c>
    </row>
    <row r="592" spans="1:12" x14ac:dyDescent="0.15">
      <c r="A592" s="3">
        <v>39845</v>
      </c>
      <c r="B592" s="4">
        <v>2.2000000000000001E-3</v>
      </c>
      <c r="C592" s="6">
        <f t="shared" si="36"/>
        <v>2.2547528898960834E-2</v>
      </c>
      <c r="G592" s="3">
        <v>39845</v>
      </c>
      <c r="H592" s="4">
        <v>2.2000000000000001E-3</v>
      </c>
      <c r="I592" s="6">
        <v>2.2547528898960834E-2</v>
      </c>
      <c r="J592" s="6">
        <f t="shared" si="37"/>
        <v>5.2355572755417946E-2</v>
      </c>
      <c r="K592" s="21">
        <f t="shared" si="38"/>
        <v>4.1402193229404626E-4</v>
      </c>
      <c r="L592">
        <f t="shared" si="39"/>
        <v>924.88767722549244</v>
      </c>
    </row>
    <row r="593" spans="1:12" x14ac:dyDescent="0.15">
      <c r="A593" s="3">
        <v>39873</v>
      </c>
      <c r="B593" s="4">
        <v>1.8E-3</v>
      </c>
      <c r="C593" s="6">
        <f t="shared" si="36"/>
        <v>2.0512776009064752E-2</v>
      </c>
      <c r="G593" s="3">
        <v>39873</v>
      </c>
      <c r="H593" s="4">
        <v>1.8E-3</v>
      </c>
      <c r="I593" s="6">
        <v>2.0512776009064752E-2</v>
      </c>
      <c r="J593" s="6">
        <f t="shared" si="37"/>
        <v>5.2755572755417944E-2</v>
      </c>
      <c r="K593" s="21">
        <f t="shared" si="38"/>
        <v>3.5016798596542939E-4</v>
      </c>
      <c r="L593">
        <f t="shared" si="39"/>
        <v>1039.598667170264</v>
      </c>
    </row>
    <row r="594" spans="1:12" x14ac:dyDescent="0.15">
      <c r="A594" s="3">
        <v>39904</v>
      </c>
      <c r="B594" s="4">
        <v>1.5E-3</v>
      </c>
      <c r="C594" s="6">
        <f t="shared" si="36"/>
        <v>1.8641498408158277E-2</v>
      </c>
      <c r="G594" s="3">
        <v>39904</v>
      </c>
      <c r="H594" s="4">
        <v>1.5E-3</v>
      </c>
      <c r="I594" s="6">
        <v>1.8641498408158277E-2</v>
      </c>
      <c r="J594" s="6">
        <f t="shared" si="37"/>
        <v>5.3055572755417946E-2</v>
      </c>
      <c r="K594" s="21">
        <f t="shared" si="38"/>
        <v>2.9383096767689269E-4</v>
      </c>
      <c r="L594">
        <f t="shared" si="39"/>
        <v>1142.7665605438851</v>
      </c>
    </row>
    <row r="595" spans="1:12" x14ac:dyDescent="0.15">
      <c r="A595" s="3">
        <v>39934</v>
      </c>
      <c r="B595" s="4">
        <v>1.8E-3</v>
      </c>
      <c r="C595" s="6">
        <f t="shared" si="36"/>
        <v>1.6927348567342453E-2</v>
      </c>
      <c r="G595" s="3">
        <v>39934</v>
      </c>
      <c r="H595" s="4">
        <v>1.8E-3</v>
      </c>
      <c r="I595" s="6">
        <v>1.6927348567342453E-2</v>
      </c>
      <c r="J595" s="6">
        <f t="shared" si="37"/>
        <v>5.2755572755417944E-2</v>
      </c>
      <c r="K595" s="21">
        <f t="shared" si="38"/>
        <v>2.2883667467787778E-4</v>
      </c>
      <c r="L595">
        <f t="shared" si="39"/>
        <v>840.40825374124745</v>
      </c>
    </row>
    <row r="596" spans="1:12" x14ac:dyDescent="0.15">
      <c r="A596" s="3">
        <v>39965</v>
      </c>
      <c r="B596" s="4">
        <v>2.0999999999999999E-3</v>
      </c>
      <c r="C596" s="6">
        <f t="shared" si="36"/>
        <v>1.5414613710608207E-2</v>
      </c>
      <c r="G596" s="3">
        <v>39965</v>
      </c>
      <c r="H596" s="4">
        <v>2.0999999999999999E-3</v>
      </c>
      <c r="I596" s="6">
        <v>1.5414613710608207E-2</v>
      </c>
      <c r="J596" s="6">
        <f t="shared" si="37"/>
        <v>5.2455572755417949E-2</v>
      </c>
      <c r="K596" s="21">
        <f t="shared" si="38"/>
        <v>1.7727893826271606E-4</v>
      </c>
      <c r="L596">
        <f t="shared" si="39"/>
        <v>634.02922431467653</v>
      </c>
    </row>
    <row r="597" spans="1:12" x14ac:dyDescent="0.15">
      <c r="A597" s="3">
        <v>39995</v>
      </c>
      <c r="B597" s="4">
        <v>1.6000000000000001E-3</v>
      </c>
      <c r="C597" s="6">
        <f t="shared" si="36"/>
        <v>1.4083152339547387E-2</v>
      </c>
      <c r="G597" s="3">
        <v>39995</v>
      </c>
      <c r="H597" s="4">
        <v>1.6000000000000001E-3</v>
      </c>
      <c r="I597" s="6">
        <v>1.4083152339547387E-2</v>
      </c>
      <c r="J597" s="6">
        <f t="shared" si="37"/>
        <v>5.295557275541795E-2</v>
      </c>
      <c r="K597" s="21">
        <f t="shared" si="38"/>
        <v>1.5582909233234738E-4</v>
      </c>
      <c r="L597">
        <f t="shared" si="39"/>
        <v>780.19702122171157</v>
      </c>
    </row>
    <row r="598" spans="1:12" x14ac:dyDescent="0.15">
      <c r="A598" s="3">
        <v>40026</v>
      </c>
      <c r="B598" s="4">
        <v>1.6000000000000001E-3</v>
      </c>
      <c r="C598" s="6">
        <f t="shared" si="36"/>
        <v>1.2834837105592649E-2</v>
      </c>
      <c r="G598" s="3">
        <v>40026</v>
      </c>
      <c r="H598" s="4">
        <v>1.6000000000000001E-3</v>
      </c>
      <c r="I598" s="6">
        <v>1.2834837105592649E-2</v>
      </c>
      <c r="J598" s="6">
        <f t="shared" si="37"/>
        <v>5.295557275541795E-2</v>
      </c>
      <c r="K598" s="21">
        <f t="shared" si="38"/>
        <v>1.2622156478920139E-4</v>
      </c>
      <c r="L598">
        <f t="shared" si="39"/>
        <v>702.17731909954045</v>
      </c>
    </row>
    <row r="599" spans="1:12" x14ac:dyDescent="0.15">
      <c r="A599" s="3">
        <v>40057</v>
      </c>
      <c r="B599" s="4">
        <v>1.5E-3</v>
      </c>
      <c r="C599" s="6">
        <f t="shared" si="36"/>
        <v>1.1711353395033385E-2</v>
      </c>
      <c r="G599" s="3">
        <v>40057</v>
      </c>
      <c r="H599" s="4">
        <v>1.5E-3</v>
      </c>
      <c r="I599" s="6">
        <v>1.1711353395033385E-2</v>
      </c>
      <c r="J599" s="6">
        <f t="shared" si="37"/>
        <v>5.3055572755417946E-2</v>
      </c>
      <c r="K599" s="21">
        <f t="shared" si="38"/>
        <v>1.0427173815825985E-4</v>
      </c>
      <c r="L599">
        <f t="shared" si="39"/>
        <v>680.75689300222575</v>
      </c>
    </row>
    <row r="600" spans="1:12" x14ac:dyDescent="0.15">
      <c r="A600" s="3">
        <v>40087</v>
      </c>
      <c r="B600" s="4">
        <v>1.1999999999999999E-3</v>
      </c>
      <c r="C600" s="6">
        <f t="shared" si="36"/>
        <v>1.0690218055530047E-2</v>
      </c>
      <c r="G600" s="3">
        <v>40087</v>
      </c>
      <c r="H600" s="4">
        <v>1.1999999999999999E-3</v>
      </c>
      <c r="I600" s="6">
        <v>1.0690218055530047E-2</v>
      </c>
      <c r="J600" s="6">
        <f t="shared" si="37"/>
        <v>5.3355572755417947E-2</v>
      </c>
      <c r="K600" s="21">
        <f t="shared" si="38"/>
        <v>9.006423874150852E-5</v>
      </c>
      <c r="L600">
        <f t="shared" si="39"/>
        <v>790.85150462750403</v>
      </c>
    </row>
    <row r="601" spans="1:12" x14ac:dyDescent="0.15">
      <c r="A601" s="3">
        <v>40118</v>
      </c>
      <c r="B601" s="4">
        <v>1.1999999999999999E-3</v>
      </c>
      <c r="C601" s="6">
        <f t="shared" si="36"/>
        <v>9.7411962499770431E-3</v>
      </c>
      <c r="G601" s="3">
        <v>40118</v>
      </c>
      <c r="H601" s="4">
        <v>1.1999999999999999E-3</v>
      </c>
      <c r="I601" s="6">
        <v>9.7411962499770431E-3</v>
      </c>
      <c r="J601" s="6">
        <f t="shared" si="37"/>
        <v>5.3355572755417947E-2</v>
      </c>
      <c r="K601" s="21">
        <f t="shared" si="38"/>
        <v>7.2952033380621904E-5</v>
      </c>
      <c r="L601">
        <f t="shared" si="39"/>
        <v>711.76635416475369</v>
      </c>
    </row>
    <row r="602" spans="1:12" x14ac:dyDescent="0.15">
      <c r="A602" s="3">
        <v>40148</v>
      </c>
      <c r="B602" s="4">
        <v>1.1999999999999999E-3</v>
      </c>
      <c r="C602" s="6">
        <f t="shared" si="36"/>
        <v>8.8870766249793398E-3</v>
      </c>
      <c r="G602" s="3">
        <v>40148</v>
      </c>
      <c r="H602" s="4">
        <v>1.1999999999999999E-3</v>
      </c>
      <c r="I602" s="6">
        <v>8.8870766249793398E-3</v>
      </c>
      <c r="J602" s="6">
        <f t="shared" si="37"/>
        <v>5.3355572755417947E-2</v>
      </c>
      <c r="K602" s="21">
        <f t="shared" si="38"/>
        <v>5.9091147038303761E-5</v>
      </c>
      <c r="L602">
        <f t="shared" si="39"/>
        <v>640.58971874827841</v>
      </c>
    </row>
    <row r="603" spans="1:12" x14ac:dyDescent="0.15">
      <c r="A603" s="3">
        <v>40179</v>
      </c>
      <c r="B603" s="4">
        <v>1.1000000000000001E-3</v>
      </c>
      <c r="C603" s="6">
        <f t="shared" si="36"/>
        <v>8.1183689624814061E-3</v>
      </c>
      <c r="G603" s="3">
        <v>40179</v>
      </c>
      <c r="H603" s="4">
        <v>1.1000000000000001E-3</v>
      </c>
      <c r="I603" s="6">
        <v>8.1183689624814061E-3</v>
      </c>
      <c r="J603" s="6">
        <f t="shared" si="37"/>
        <v>5.345557275541795E-2</v>
      </c>
      <c r="K603" s="21">
        <f t="shared" si="38"/>
        <v>4.9257502893522323E-5</v>
      </c>
      <c r="L603">
        <f t="shared" si="39"/>
        <v>638.03354204376421</v>
      </c>
    </row>
    <row r="604" spans="1:12" x14ac:dyDescent="0.15">
      <c r="A604" s="3">
        <v>40210</v>
      </c>
      <c r="B604" s="4">
        <v>1.2999999999999999E-3</v>
      </c>
      <c r="C604" s="6">
        <f t="shared" si="36"/>
        <v>7.4165320662332654E-3</v>
      </c>
      <c r="G604" s="3">
        <v>40210</v>
      </c>
      <c r="H604" s="4">
        <v>1.2999999999999999E-3</v>
      </c>
      <c r="I604" s="6">
        <v>7.4165320662332654E-3</v>
      </c>
      <c r="J604" s="6">
        <f t="shared" si="37"/>
        <v>5.3255572755417944E-2</v>
      </c>
      <c r="K604" s="21">
        <f t="shared" si="38"/>
        <v>3.741196451725978E-5</v>
      </c>
      <c r="L604">
        <f t="shared" si="39"/>
        <v>470.5024666333282</v>
      </c>
    </row>
    <row r="605" spans="1:12" x14ac:dyDescent="0.15">
      <c r="A605" s="3">
        <v>40238</v>
      </c>
      <c r="B605" s="4">
        <v>1.6000000000000001E-3</v>
      </c>
      <c r="C605" s="6">
        <f t="shared" si="36"/>
        <v>6.8048788596099391E-3</v>
      </c>
      <c r="G605" s="3">
        <v>40238</v>
      </c>
      <c r="H605" s="4">
        <v>1.6000000000000001E-3</v>
      </c>
      <c r="I605" s="6">
        <v>6.8048788596099391E-3</v>
      </c>
      <c r="J605" s="6">
        <f t="shared" si="37"/>
        <v>5.295557275541795E-2</v>
      </c>
      <c r="K605" s="21">
        <f t="shared" si="38"/>
        <v>2.709076394321446E-5</v>
      </c>
      <c r="L605">
        <f t="shared" si="39"/>
        <v>325.30492872562121</v>
      </c>
    </row>
    <row r="606" spans="1:12" x14ac:dyDescent="0.15">
      <c r="A606" s="3">
        <v>40269</v>
      </c>
      <c r="B606" s="4">
        <v>2E-3</v>
      </c>
      <c r="C606" s="6">
        <f t="shared" si="36"/>
        <v>6.2843909736489461E-3</v>
      </c>
      <c r="G606" s="3">
        <v>40269</v>
      </c>
      <c r="H606" s="4">
        <v>2E-3</v>
      </c>
      <c r="I606" s="6">
        <v>6.2843909736489461E-3</v>
      </c>
      <c r="J606" s="6">
        <f t="shared" si="37"/>
        <v>5.2555572755417945E-2</v>
      </c>
      <c r="K606" s="21">
        <f t="shared" si="38"/>
        <v>1.8356006015084564E-5</v>
      </c>
      <c r="L606">
        <f t="shared" si="39"/>
        <v>214.21954868244728</v>
      </c>
    </row>
    <row r="607" spans="1:12" x14ac:dyDescent="0.15">
      <c r="A607" s="3">
        <v>40299</v>
      </c>
      <c r="B607" s="4">
        <v>2E-3</v>
      </c>
      <c r="C607" s="6">
        <f t="shared" si="36"/>
        <v>5.8559518762840513E-3</v>
      </c>
      <c r="G607" s="3">
        <v>40299</v>
      </c>
      <c r="H607" s="4">
        <v>2E-3</v>
      </c>
      <c r="I607" s="6">
        <v>5.8559518762840513E-3</v>
      </c>
      <c r="J607" s="6">
        <f t="shared" si="37"/>
        <v>5.2555572755417945E-2</v>
      </c>
      <c r="K607" s="21">
        <f t="shared" si="38"/>
        <v>1.4868364872218496E-5</v>
      </c>
      <c r="L607">
        <f t="shared" si="39"/>
        <v>192.79759381420257</v>
      </c>
    </row>
    <row r="608" spans="1:12" x14ac:dyDescent="0.15">
      <c r="A608" s="3">
        <v>40330</v>
      </c>
      <c r="B608" s="4">
        <v>1.8E-3</v>
      </c>
      <c r="C608" s="6">
        <f t="shared" si="36"/>
        <v>5.4703566886556455E-3</v>
      </c>
      <c r="G608" s="3">
        <v>40330</v>
      </c>
      <c r="H608" s="4">
        <v>1.8E-3</v>
      </c>
      <c r="I608" s="6">
        <v>5.4703566886556455E-3</v>
      </c>
      <c r="J608" s="6">
        <f t="shared" si="37"/>
        <v>5.2755572755417944E-2</v>
      </c>
      <c r="K608" s="21">
        <f t="shared" si="38"/>
        <v>1.3471518221959236E-5</v>
      </c>
      <c r="L608">
        <f t="shared" si="39"/>
        <v>203.90870492531366</v>
      </c>
    </row>
    <row r="609" spans="1:12" x14ac:dyDescent="0.15">
      <c r="A609" s="3">
        <v>40360</v>
      </c>
      <c r="B609" s="4">
        <v>1.8E-3</v>
      </c>
      <c r="C609" s="6">
        <f t="shared" si="36"/>
        <v>5.1033210197900811E-3</v>
      </c>
      <c r="G609" s="3">
        <v>40360</v>
      </c>
      <c r="H609" s="4">
        <v>1.8E-3</v>
      </c>
      <c r="I609" s="6">
        <v>5.1033210197900811E-3</v>
      </c>
      <c r="J609" s="6">
        <f t="shared" si="37"/>
        <v>5.2755572755417944E-2</v>
      </c>
      <c r="K609" s="21">
        <f t="shared" si="38"/>
        <v>1.0911929759786982E-5</v>
      </c>
      <c r="L609">
        <f t="shared" si="39"/>
        <v>183.51783443278228</v>
      </c>
    </row>
    <row r="610" spans="1:12" x14ac:dyDescent="0.15">
      <c r="A610" s="3">
        <v>40391</v>
      </c>
      <c r="B610" s="4">
        <v>1.9E-3</v>
      </c>
      <c r="C610" s="6">
        <f t="shared" si="36"/>
        <v>4.7729889178110725E-3</v>
      </c>
      <c r="G610" s="3">
        <v>40391</v>
      </c>
      <c r="H610" s="4">
        <v>1.9E-3</v>
      </c>
      <c r="I610" s="6">
        <v>4.7729889178110725E-3</v>
      </c>
      <c r="J610" s="6">
        <f t="shared" si="37"/>
        <v>5.2655572755417948E-2</v>
      </c>
      <c r="K610" s="21">
        <f t="shared" si="38"/>
        <v>8.2540653218652393E-6</v>
      </c>
      <c r="L610">
        <f t="shared" si="39"/>
        <v>151.20994304268805</v>
      </c>
    </row>
    <row r="611" spans="1:12" x14ac:dyDescent="0.15">
      <c r="A611" s="3">
        <v>40422</v>
      </c>
      <c r="B611" s="6">
        <v>1.9E-3</v>
      </c>
      <c r="C611" s="6">
        <f t="shared" si="36"/>
        <v>4.4856900260299652E-3</v>
      </c>
      <c r="G611" s="3">
        <v>40422</v>
      </c>
      <c r="H611" s="6">
        <v>1.9E-3</v>
      </c>
      <c r="I611" s="6">
        <v>4.4856900260299652E-3</v>
      </c>
      <c r="J611" s="6">
        <f t="shared" si="37"/>
        <v>5.2655572755417948E-2</v>
      </c>
      <c r="K611" s="21">
        <f t="shared" si="38"/>
        <v>6.6857929107108431E-6</v>
      </c>
      <c r="L611">
        <f t="shared" si="39"/>
        <v>136.08894873841925</v>
      </c>
    </row>
    <row r="612" spans="1:12" x14ac:dyDescent="0.15">
      <c r="A612" s="3">
        <v>40452</v>
      </c>
      <c r="B612" s="6">
        <v>1.9E-3</v>
      </c>
      <c r="C612" s="6">
        <f t="shared" si="36"/>
        <v>4.227121023426969E-3</v>
      </c>
      <c r="G612" s="3">
        <v>40452</v>
      </c>
      <c r="H612" s="6">
        <v>1.9E-3</v>
      </c>
      <c r="I612" s="6">
        <v>4.227121023426969E-3</v>
      </c>
      <c r="J612" s="6">
        <f t="shared" si="37"/>
        <v>5.2655572755417948E-2</v>
      </c>
      <c r="K612" s="21">
        <f t="shared" si="38"/>
        <v>5.4154922576757852E-6</v>
      </c>
      <c r="L612">
        <f t="shared" si="39"/>
        <v>122.48005386457731</v>
      </c>
    </row>
    <row r="613" spans="1:12" x14ac:dyDescent="0.15">
      <c r="A613" s="3">
        <v>40483</v>
      </c>
      <c r="B613" s="6">
        <v>1.9E-3</v>
      </c>
      <c r="C613" s="6">
        <f t="shared" si="36"/>
        <v>3.9944089210842719E-3</v>
      </c>
      <c r="G613" s="3">
        <v>40483</v>
      </c>
      <c r="H613" s="6">
        <v>1.9E-3</v>
      </c>
      <c r="I613" s="6">
        <v>3.9944089210842719E-3</v>
      </c>
      <c r="J613" s="6">
        <f t="shared" si="37"/>
        <v>5.2655572755417948E-2</v>
      </c>
      <c r="K613" s="21">
        <f t="shared" si="38"/>
        <v>4.3865487287173844E-6</v>
      </c>
      <c r="L613">
        <f t="shared" si="39"/>
        <v>110.23204847811958</v>
      </c>
    </row>
    <row r="614" spans="1:12" x14ac:dyDescent="0.15">
      <c r="A614" s="3">
        <v>40513</v>
      </c>
      <c r="B614" s="6">
        <v>1.8E-3</v>
      </c>
      <c r="C614" s="6">
        <f t="shared" si="36"/>
        <v>3.7849680289758448E-3</v>
      </c>
      <c r="G614" s="3">
        <v>40513</v>
      </c>
      <c r="H614" s="6">
        <v>1.8E-3</v>
      </c>
      <c r="I614" s="6">
        <v>3.7849680289758448E-3</v>
      </c>
      <c r="J614" s="6">
        <f t="shared" si="37"/>
        <v>5.2755572755417944E-2</v>
      </c>
      <c r="K614" s="21">
        <f t="shared" si="38"/>
        <v>3.9400980760562506E-6</v>
      </c>
      <c r="L614">
        <f t="shared" si="39"/>
        <v>110.27600160976915</v>
      </c>
    </row>
    <row r="615" spans="1:12" x14ac:dyDescent="0.15">
      <c r="A615" s="3">
        <v>40544</v>
      </c>
      <c r="B615" s="6">
        <v>1.6999999999999999E-3</v>
      </c>
      <c r="C615" s="6">
        <f t="shared" si="36"/>
        <v>3.5864712260782606E-3</v>
      </c>
      <c r="G615" s="3">
        <v>40544</v>
      </c>
      <c r="H615" s="6">
        <v>1.6999999999999999E-3</v>
      </c>
      <c r="I615" s="6">
        <v>3.5864712260782606E-3</v>
      </c>
      <c r="J615" s="6">
        <f t="shared" si="37"/>
        <v>5.2855572755417947E-2</v>
      </c>
      <c r="K615" s="21">
        <f t="shared" si="38"/>
        <v>3.5587736868212164E-6</v>
      </c>
      <c r="L615">
        <f t="shared" si="39"/>
        <v>110.96889565166239</v>
      </c>
    </row>
    <row r="616" spans="1:12" x14ac:dyDescent="0.15">
      <c r="A616" s="3">
        <v>40575</v>
      </c>
      <c r="B616" s="6">
        <v>1.6000000000000001E-3</v>
      </c>
      <c r="C616" s="6">
        <f t="shared" si="36"/>
        <v>3.3978241034704347E-3</v>
      </c>
      <c r="G616" s="3">
        <v>40575</v>
      </c>
      <c r="H616" s="6">
        <v>1.6000000000000001E-3</v>
      </c>
      <c r="I616" s="6">
        <v>3.3978241034704347E-3</v>
      </c>
      <c r="J616" s="6">
        <f t="shared" si="37"/>
        <v>5.295557275541795E-2</v>
      </c>
      <c r="K616" s="21">
        <f t="shared" si="38"/>
        <v>3.2321715070192719E-6</v>
      </c>
      <c r="L616">
        <f t="shared" si="39"/>
        <v>112.36400646690217</v>
      </c>
    </row>
    <row r="617" spans="1:12" x14ac:dyDescent="0.15">
      <c r="A617" s="3">
        <v>40603</v>
      </c>
      <c r="B617" s="6">
        <v>1.4E-3</v>
      </c>
      <c r="C617" s="6">
        <f t="shared" si="36"/>
        <v>3.2180416931233912E-3</v>
      </c>
      <c r="G617" s="3">
        <v>40603</v>
      </c>
      <c r="H617" s="6">
        <v>1.4E-3</v>
      </c>
      <c r="I617" s="6">
        <v>3.2180416931233912E-3</v>
      </c>
      <c r="J617" s="6">
        <f t="shared" si="37"/>
        <v>5.3155572755417949E-2</v>
      </c>
      <c r="K617" s="21">
        <f t="shared" si="38"/>
        <v>3.3052755979349671E-6</v>
      </c>
      <c r="L617">
        <f t="shared" si="39"/>
        <v>129.86012093738509</v>
      </c>
    </row>
    <row r="618" spans="1:12" x14ac:dyDescent="0.15">
      <c r="A618" s="3">
        <v>40634</v>
      </c>
      <c r="B618" s="6">
        <v>1E-3</v>
      </c>
      <c r="C618" s="6">
        <f t="shared" si="36"/>
        <v>3.036237523811052E-3</v>
      </c>
      <c r="G618" s="3">
        <v>40634</v>
      </c>
      <c r="H618" s="6">
        <v>1E-3</v>
      </c>
      <c r="I618" s="6">
        <v>3.036237523811052E-3</v>
      </c>
      <c r="J618" s="6">
        <f t="shared" si="37"/>
        <v>5.3555572755417946E-2</v>
      </c>
      <c r="K618" s="21">
        <f t="shared" si="38"/>
        <v>4.1462632533761648E-6</v>
      </c>
      <c r="L618">
        <f t="shared" si="39"/>
        <v>203.62375238110522</v>
      </c>
    </row>
    <row r="619" spans="1:12" x14ac:dyDescent="0.15">
      <c r="A619" s="3">
        <v>40664</v>
      </c>
      <c r="B619" s="6">
        <v>8.9999999999999998E-4</v>
      </c>
      <c r="C619" s="6">
        <f t="shared" si="36"/>
        <v>2.8326137714299467E-3</v>
      </c>
      <c r="G619" s="3">
        <v>40664</v>
      </c>
      <c r="H619" s="6">
        <v>8.9999999999999998E-4</v>
      </c>
      <c r="I619" s="6">
        <v>2.8326137714299467E-3</v>
      </c>
      <c r="J619" s="6">
        <f t="shared" si="37"/>
        <v>5.3655572755417949E-2</v>
      </c>
      <c r="K619" s="21">
        <f t="shared" si="38"/>
        <v>3.7349959895206826E-6</v>
      </c>
      <c r="L619">
        <f t="shared" si="39"/>
        <v>214.73486349221633</v>
      </c>
    </row>
    <row r="620" spans="1:12" x14ac:dyDescent="0.15">
      <c r="A620" s="3">
        <v>40695</v>
      </c>
      <c r="B620" s="6">
        <v>8.9999999999999998E-4</v>
      </c>
      <c r="C620" s="6">
        <f t="shared" si="36"/>
        <v>2.6393523942869518E-3</v>
      </c>
      <c r="G620" s="3">
        <v>40695</v>
      </c>
      <c r="H620" s="6">
        <v>8.9999999999999998E-4</v>
      </c>
      <c r="I620" s="6">
        <v>2.6393523942869518E-3</v>
      </c>
      <c r="J620" s="6">
        <f t="shared" si="37"/>
        <v>5.3655572755417949E-2</v>
      </c>
      <c r="K620" s="21">
        <f t="shared" si="38"/>
        <v>3.0253467515117518E-6</v>
      </c>
      <c r="L620">
        <f t="shared" si="39"/>
        <v>193.26137714299466</v>
      </c>
    </row>
    <row r="621" spans="1:12" x14ac:dyDescent="0.15">
      <c r="A621" s="3">
        <v>40725</v>
      </c>
      <c r="B621" s="6">
        <v>6.9999999999999999E-4</v>
      </c>
      <c r="C621" s="6">
        <f t="shared" si="36"/>
        <v>2.4654171548582566E-3</v>
      </c>
      <c r="G621" s="3">
        <v>40725</v>
      </c>
      <c r="H621" s="6">
        <v>6.9999999999999999E-4</v>
      </c>
      <c r="I621" s="6">
        <v>2.4654171548582566E-3</v>
      </c>
      <c r="J621" s="6">
        <f t="shared" si="37"/>
        <v>5.3855572755417948E-2</v>
      </c>
      <c r="K621" s="21">
        <f t="shared" si="38"/>
        <v>3.1166977306678209E-6</v>
      </c>
      <c r="L621">
        <f t="shared" si="39"/>
        <v>252.20245069403663</v>
      </c>
    </row>
    <row r="622" spans="1:12" x14ac:dyDescent="0.15">
      <c r="A622" s="3">
        <v>40756</v>
      </c>
      <c r="B622" s="6">
        <v>1E-3</v>
      </c>
      <c r="C622" s="6">
        <f t="shared" si="36"/>
        <v>2.2888754393724313E-3</v>
      </c>
      <c r="G622" s="3">
        <v>40756</v>
      </c>
      <c r="H622" s="6">
        <v>1E-3</v>
      </c>
      <c r="I622" s="6">
        <v>2.2888754393724313E-3</v>
      </c>
      <c r="J622" s="6">
        <f t="shared" si="37"/>
        <v>5.3555572755417946E-2</v>
      </c>
      <c r="K622" s="21">
        <f t="shared" si="38"/>
        <v>1.661199898217478E-6</v>
      </c>
      <c r="L622">
        <f t="shared" si="39"/>
        <v>128.88754393724312</v>
      </c>
    </row>
    <row r="623" spans="1:12" x14ac:dyDescent="0.15">
      <c r="A623" s="3">
        <v>40787</v>
      </c>
      <c r="B623" s="6">
        <v>8.0000000000000004E-4</v>
      </c>
      <c r="C623" s="6">
        <f t="shared" si="36"/>
        <v>2.1599878954351882E-3</v>
      </c>
      <c r="G623" s="3">
        <v>40787</v>
      </c>
      <c r="H623" s="6">
        <v>8.0000000000000004E-4</v>
      </c>
      <c r="I623" s="6">
        <v>2.1599878954351882E-3</v>
      </c>
      <c r="J623" s="6">
        <f t="shared" si="37"/>
        <v>5.3755572755417945E-2</v>
      </c>
      <c r="K623" s="21">
        <f t="shared" si="38"/>
        <v>1.8495670757302325E-6</v>
      </c>
      <c r="L623">
        <f t="shared" si="39"/>
        <v>169.99848692939852</v>
      </c>
    </row>
    <row r="624" spans="1:12" x14ac:dyDescent="0.15">
      <c r="A624" s="3">
        <v>40817</v>
      </c>
      <c r="B624" s="6">
        <v>6.9999999999999999E-4</v>
      </c>
      <c r="C624" s="6">
        <f t="shared" si="36"/>
        <v>2.0239891058916695E-3</v>
      </c>
      <c r="G624" s="3">
        <v>40817</v>
      </c>
      <c r="H624" s="6">
        <v>6.9999999999999999E-4</v>
      </c>
      <c r="I624" s="6">
        <v>2.0239891058916695E-3</v>
      </c>
      <c r="J624" s="6">
        <f t="shared" si="37"/>
        <v>5.3855572755417948E-2</v>
      </c>
      <c r="K624" s="21">
        <f t="shared" si="38"/>
        <v>1.7529471525198221E-6</v>
      </c>
      <c r="L624">
        <f t="shared" si="39"/>
        <v>189.14130084166706</v>
      </c>
    </row>
    <row r="625" spans="1:12" x14ac:dyDescent="0.15">
      <c r="A625" s="3">
        <v>40848</v>
      </c>
      <c r="B625" s="6">
        <v>8.0000000000000004E-4</v>
      </c>
      <c r="C625" s="6">
        <f t="shared" si="36"/>
        <v>1.8915901953025025E-3</v>
      </c>
      <c r="G625" s="3">
        <v>40848</v>
      </c>
      <c r="H625" s="6">
        <v>8.0000000000000004E-4</v>
      </c>
      <c r="I625" s="6">
        <v>1.8915901953025025E-3</v>
      </c>
      <c r="J625" s="6">
        <f t="shared" si="37"/>
        <v>5.3755572755417945E-2</v>
      </c>
      <c r="K625" s="21">
        <f t="shared" si="38"/>
        <v>1.1915691544805553E-6</v>
      </c>
      <c r="L625">
        <f t="shared" si="39"/>
        <v>136.44877441281281</v>
      </c>
    </row>
    <row r="626" spans="1:12" x14ac:dyDescent="0.15">
      <c r="A626" s="3">
        <v>40878</v>
      </c>
      <c r="B626" s="6">
        <v>6.9999999999999999E-4</v>
      </c>
      <c r="C626" s="6">
        <f t="shared" si="36"/>
        <v>1.7824311757722523E-3</v>
      </c>
      <c r="G626" s="3">
        <v>40878</v>
      </c>
      <c r="H626" s="6">
        <v>6.9999999999999999E-4</v>
      </c>
      <c r="I626" s="6">
        <v>1.7824311757722523E-3</v>
      </c>
      <c r="J626" s="6">
        <f t="shared" si="37"/>
        <v>5.3855572755417948E-2</v>
      </c>
      <c r="K626" s="21">
        <f t="shared" si="38"/>
        <v>1.1716572502837004E-6</v>
      </c>
      <c r="L626">
        <f t="shared" si="39"/>
        <v>154.63302511032174</v>
      </c>
    </row>
    <row r="627" spans="1:12" x14ac:dyDescent="0.15">
      <c r="A627" s="3">
        <v>40909</v>
      </c>
      <c r="B627" s="6">
        <v>8.0000000000000004E-4</v>
      </c>
      <c r="C627" s="6">
        <f t="shared" si="36"/>
        <v>1.6741880581950272E-3</v>
      </c>
      <c r="G627" s="3">
        <v>40909</v>
      </c>
      <c r="H627" s="6">
        <v>8.0000000000000004E-4</v>
      </c>
      <c r="I627" s="6">
        <v>1.6741880581950272E-3</v>
      </c>
      <c r="J627" s="6">
        <f t="shared" si="37"/>
        <v>5.3755572755417945E-2</v>
      </c>
      <c r="K627" s="21">
        <f t="shared" si="38"/>
        <v>7.6420476109079223E-7</v>
      </c>
      <c r="L627">
        <f t="shared" si="39"/>
        <v>109.27350727437839</v>
      </c>
    </row>
    <row r="628" spans="1:12" x14ac:dyDescent="0.15">
      <c r="A628" s="3">
        <v>40940</v>
      </c>
      <c r="B628" s="6">
        <v>1E-3</v>
      </c>
      <c r="C628" s="6">
        <f t="shared" si="36"/>
        <v>1.5867692523755246E-3</v>
      </c>
      <c r="G628" s="3">
        <v>40940</v>
      </c>
      <c r="H628" s="6">
        <v>1E-3</v>
      </c>
      <c r="I628" s="6">
        <v>1.5867692523755246E-3</v>
      </c>
      <c r="J628" s="6">
        <f t="shared" si="37"/>
        <v>5.3555572755417946E-2</v>
      </c>
      <c r="K628" s="21">
        <f t="shared" si="38"/>
        <v>3.4429815553333203E-7</v>
      </c>
      <c r="L628">
        <f t="shared" si="39"/>
        <v>58.67692523755246</v>
      </c>
    </row>
    <row r="629" spans="1:12" x14ac:dyDescent="0.15">
      <c r="A629" s="3">
        <v>40969</v>
      </c>
      <c r="B629" s="6">
        <v>1.2999999999999999E-3</v>
      </c>
      <c r="C629" s="6">
        <f t="shared" si="36"/>
        <v>1.5280923271379723E-3</v>
      </c>
      <c r="G629" s="3">
        <v>40969</v>
      </c>
      <c r="H629" s="6">
        <v>1.2999999999999999E-3</v>
      </c>
      <c r="I629" s="6">
        <v>1.5280923271379723E-3</v>
      </c>
      <c r="J629" s="6">
        <f t="shared" si="37"/>
        <v>5.3255572755417944E-2</v>
      </c>
      <c r="K629" s="21">
        <f t="shared" si="38"/>
        <v>5.2026109699215802E-8</v>
      </c>
      <c r="L629">
        <f t="shared" si="39"/>
        <v>17.545563625997875</v>
      </c>
    </row>
    <row r="630" spans="1:12" x14ac:dyDescent="0.15">
      <c r="A630" s="3">
        <v>41000</v>
      </c>
      <c r="B630" s="6">
        <v>1.4E-3</v>
      </c>
      <c r="C630" s="6">
        <f t="shared" si="36"/>
        <v>1.5052830944241749E-3</v>
      </c>
      <c r="G630" s="3">
        <v>41000</v>
      </c>
      <c r="H630" s="6">
        <v>1.4E-3</v>
      </c>
      <c r="I630" s="6">
        <v>1.5052830944241749E-3</v>
      </c>
      <c r="J630" s="6">
        <f t="shared" si="37"/>
        <v>5.3155572755417949E-2</v>
      </c>
      <c r="K630" s="21">
        <f t="shared" si="38"/>
        <v>1.1084529971529734E-8</v>
      </c>
      <c r="L630">
        <f t="shared" si="39"/>
        <v>7.5202210302982087</v>
      </c>
    </row>
    <row r="631" spans="1:12" x14ac:dyDescent="0.15">
      <c r="A631" s="3">
        <v>41030</v>
      </c>
      <c r="B631" s="6">
        <v>1.6000000000000001E-3</v>
      </c>
      <c r="C631" s="6">
        <f t="shared" si="36"/>
        <v>1.4947547849817574E-3</v>
      </c>
      <c r="G631" s="3">
        <v>41030</v>
      </c>
      <c r="H631" s="6">
        <v>1.6000000000000001E-3</v>
      </c>
      <c r="I631" s="6">
        <v>1.4947547849817574E-3</v>
      </c>
      <c r="J631" s="6">
        <f t="shared" si="37"/>
        <v>5.295557275541795E-2</v>
      </c>
      <c r="K631" s="21">
        <f t="shared" si="38"/>
        <v>1.1076555284236139E-8</v>
      </c>
      <c r="L631">
        <f t="shared" si="39"/>
        <v>6.5778259386401681</v>
      </c>
    </row>
    <row r="632" spans="1:12" x14ac:dyDescent="0.15">
      <c r="A632" s="3">
        <v>41061</v>
      </c>
      <c r="B632" s="6">
        <v>1.6000000000000001E-3</v>
      </c>
      <c r="C632" s="6">
        <f t="shared" si="36"/>
        <v>1.5052793064835816E-3</v>
      </c>
      <c r="G632" s="3">
        <v>41061</v>
      </c>
      <c r="H632" s="6">
        <v>1.6000000000000001E-3</v>
      </c>
      <c r="I632" s="6">
        <v>1.5052793064835816E-3</v>
      </c>
      <c r="J632" s="6">
        <f t="shared" si="37"/>
        <v>5.295557275541795E-2</v>
      </c>
      <c r="K632" s="21">
        <f t="shared" si="38"/>
        <v>8.972009780231289E-9</v>
      </c>
      <c r="L632">
        <f t="shared" si="39"/>
        <v>5.9200433447761567</v>
      </c>
    </row>
    <row r="633" spans="1:12" x14ac:dyDescent="0.15">
      <c r="A633" s="3">
        <v>41091</v>
      </c>
      <c r="B633" s="6">
        <v>1.6000000000000001E-3</v>
      </c>
      <c r="C633" s="6">
        <f t="shared" si="36"/>
        <v>1.5147513758352233E-3</v>
      </c>
      <c r="G633" s="3">
        <v>41091</v>
      </c>
      <c r="H633" s="6">
        <v>1.6000000000000001E-3</v>
      </c>
      <c r="I633" s="6">
        <v>1.5147513758352233E-3</v>
      </c>
      <c r="J633" s="6">
        <f t="shared" si="37"/>
        <v>5.295557275541795E-2</v>
      </c>
      <c r="K633" s="21">
        <f t="shared" si="38"/>
        <v>7.267327921987355E-9</v>
      </c>
      <c r="L633">
        <f t="shared" si="39"/>
        <v>5.3280390102985447</v>
      </c>
    </row>
    <row r="634" spans="1:12" x14ac:dyDescent="0.15">
      <c r="A634" s="3">
        <v>41122</v>
      </c>
      <c r="B634" s="6">
        <v>1.2999999999999999E-3</v>
      </c>
      <c r="C634" s="6">
        <f t="shared" si="36"/>
        <v>1.523276238251701E-3</v>
      </c>
      <c r="G634" s="3">
        <v>41122</v>
      </c>
      <c r="H634" s="6">
        <v>1.2999999999999999E-3</v>
      </c>
      <c r="I634" s="6">
        <v>1.523276238251701E-3</v>
      </c>
      <c r="J634" s="6">
        <f t="shared" si="37"/>
        <v>5.3255572755417944E-2</v>
      </c>
      <c r="K634" s="21">
        <f t="shared" si="38"/>
        <v>4.9852278567830365E-8</v>
      </c>
      <c r="L634">
        <f t="shared" si="39"/>
        <v>17.175095250130852</v>
      </c>
    </row>
    <row r="635" spans="1:12" x14ac:dyDescent="0.15">
      <c r="A635" s="3">
        <v>41153</v>
      </c>
      <c r="B635" s="6">
        <v>1.4E-3</v>
      </c>
      <c r="C635" s="6">
        <f t="shared" si="36"/>
        <v>1.5009486144265309E-3</v>
      </c>
      <c r="G635" s="3">
        <v>41153</v>
      </c>
      <c r="H635" s="6">
        <v>1.4E-3</v>
      </c>
      <c r="I635" s="6">
        <v>1.5009486144265309E-3</v>
      </c>
      <c r="J635" s="6">
        <f t="shared" si="37"/>
        <v>5.3155572755417949E-2</v>
      </c>
      <c r="K635" s="21">
        <f t="shared" si="38"/>
        <v>1.0190622754636408E-8</v>
      </c>
      <c r="L635">
        <f t="shared" si="39"/>
        <v>7.2106153161807809</v>
      </c>
    </row>
    <row r="636" spans="1:12" x14ac:dyDescent="0.15">
      <c r="A636" s="3">
        <v>41183</v>
      </c>
      <c r="B636" s="6">
        <v>1.6000000000000001E-3</v>
      </c>
      <c r="C636" s="6">
        <f t="shared" si="36"/>
        <v>1.4908537529838778E-3</v>
      </c>
      <c r="G636" s="3">
        <v>41183</v>
      </c>
      <c r="H636" s="6">
        <v>1.6000000000000001E-3</v>
      </c>
      <c r="I636" s="6">
        <v>1.4908537529838778E-3</v>
      </c>
      <c r="J636" s="6">
        <f t="shared" si="37"/>
        <v>5.295557275541795E-2</v>
      </c>
      <c r="K636" s="21">
        <f t="shared" si="38"/>
        <v>1.1912903237704376E-8</v>
      </c>
      <c r="L636">
        <f t="shared" si="39"/>
        <v>6.8216404385076412</v>
      </c>
    </row>
    <row r="637" spans="1:12" x14ac:dyDescent="0.15">
      <c r="A637" s="3">
        <v>41214</v>
      </c>
      <c r="B637" s="6">
        <v>1.6000000000000001E-3</v>
      </c>
      <c r="C637" s="6">
        <f t="shared" si="36"/>
        <v>1.50176837768549E-3</v>
      </c>
      <c r="G637" s="3">
        <v>41214</v>
      </c>
      <c r="H637" s="6">
        <v>1.6000000000000001E-3</v>
      </c>
      <c r="I637" s="6">
        <v>1.50176837768549E-3</v>
      </c>
      <c r="J637" s="6">
        <f t="shared" si="37"/>
        <v>5.295557275541795E-2</v>
      </c>
      <c r="K637" s="21">
        <f t="shared" si="38"/>
        <v>9.6494516225405568E-9</v>
      </c>
      <c r="L637">
        <f t="shared" si="39"/>
        <v>6.1394763946568807</v>
      </c>
    </row>
    <row r="638" spans="1:12" x14ac:dyDescent="0.15">
      <c r="A638" s="3">
        <v>41244</v>
      </c>
      <c r="B638" s="6">
        <v>1.6000000000000001E-3</v>
      </c>
      <c r="C638" s="6">
        <f t="shared" si="36"/>
        <v>1.5115915399169411E-3</v>
      </c>
      <c r="G638" s="3">
        <v>41244</v>
      </c>
      <c r="H638" s="6">
        <v>1.6000000000000001E-3</v>
      </c>
      <c r="I638" s="6">
        <v>1.5115915399169411E-3</v>
      </c>
      <c r="J638" s="6">
        <f t="shared" si="37"/>
        <v>5.295557275541795E-2</v>
      </c>
      <c r="K638" s="21">
        <f t="shared" si="38"/>
        <v>7.8160558142578358E-9</v>
      </c>
      <c r="L638">
        <f t="shared" si="39"/>
        <v>5.5255287551911874</v>
      </c>
    </row>
    <row r="639" spans="1:12" x14ac:dyDescent="0.15">
      <c r="A639" s="3">
        <v>41275</v>
      </c>
      <c r="B639" s="6">
        <v>1.4E-3</v>
      </c>
      <c r="C639" s="6">
        <f t="shared" si="36"/>
        <v>1.520432385925247E-3</v>
      </c>
      <c r="G639" s="3">
        <v>41275</v>
      </c>
      <c r="H639" s="6">
        <v>1.4E-3</v>
      </c>
      <c r="I639" s="6">
        <v>1.520432385925247E-3</v>
      </c>
      <c r="J639" s="6">
        <f t="shared" si="37"/>
        <v>5.3155572755417949E-2</v>
      </c>
      <c r="K639" s="21">
        <f t="shared" si="38"/>
        <v>1.4503959579647635E-8</v>
      </c>
      <c r="L639">
        <f t="shared" si="39"/>
        <v>8.602313280374787</v>
      </c>
    </row>
    <row r="640" spans="1:12" x14ac:dyDescent="0.15">
      <c r="A640" s="3">
        <v>41306</v>
      </c>
      <c r="B640" s="6">
        <v>1.5E-3</v>
      </c>
      <c r="C640" s="6">
        <f t="shared" si="36"/>
        <v>1.5083891473327224E-3</v>
      </c>
      <c r="G640" s="3">
        <v>41306</v>
      </c>
      <c r="H640" s="6">
        <v>1.5E-3</v>
      </c>
      <c r="I640" s="6">
        <v>1.5083891473327224E-3</v>
      </c>
      <c r="J640" s="6">
        <f t="shared" si="37"/>
        <v>5.3055572755417946E-2</v>
      </c>
      <c r="K640" s="21">
        <f t="shared" si="38"/>
        <v>7.0377792970122242E-11</v>
      </c>
      <c r="L640">
        <f t="shared" si="39"/>
        <v>0.55927648884815562</v>
      </c>
    </row>
    <row r="641" spans="1:12" x14ac:dyDescent="0.15">
      <c r="A641" s="3">
        <v>41334</v>
      </c>
      <c r="B641" s="6">
        <v>1.4E-3</v>
      </c>
      <c r="C641" s="6">
        <f t="shared" si="36"/>
        <v>1.5075502325994502E-3</v>
      </c>
      <c r="G641" s="3">
        <v>41334</v>
      </c>
      <c r="H641" s="6">
        <v>1.4E-3</v>
      </c>
      <c r="I641" s="6">
        <v>1.5075502325994502E-3</v>
      </c>
      <c r="J641" s="6">
        <f t="shared" si="37"/>
        <v>5.3155572755417949E-2</v>
      </c>
      <c r="K641" s="21">
        <f t="shared" si="38"/>
        <v>1.1567052532195844E-8</v>
      </c>
      <c r="L641">
        <f t="shared" si="39"/>
        <v>7.6821594713893004</v>
      </c>
    </row>
    <row r="642" spans="1:12" x14ac:dyDescent="0.15">
      <c r="A642" s="3">
        <v>41365</v>
      </c>
      <c r="B642" s="6">
        <v>1.5E-3</v>
      </c>
      <c r="C642" s="6">
        <f t="shared" si="36"/>
        <v>1.4967952093395051E-3</v>
      </c>
      <c r="G642" s="3">
        <v>41365</v>
      </c>
      <c r="H642" s="6">
        <v>1.5E-3</v>
      </c>
      <c r="I642" s="6">
        <v>1.4967952093395051E-3</v>
      </c>
      <c r="J642" s="6">
        <f t="shared" si="37"/>
        <v>5.3055572755417946E-2</v>
      </c>
      <c r="K642" s="21">
        <f t="shared" si="38"/>
        <v>1.0270683177595332E-11</v>
      </c>
      <c r="L642">
        <f t="shared" si="39"/>
        <v>0.21365271069965996</v>
      </c>
    </row>
    <row r="643" spans="1:12" x14ac:dyDescent="0.15">
      <c r="A643" s="3">
        <v>41395</v>
      </c>
      <c r="B643" s="6">
        <v>1.1000000000000001E-3</v>
      </c>
      <c r="C643" s="6">
        <f t="shared" si="36"/>
        <v>1.4971156884055546E-3</v>
      </c>
      <c r="G643" s="3">
        <v>41395</v>
      </c>
      <c r="H643" s="6">
        <v>1.1000000000000001E-3</v>
      </c>
      <c r="I643" s="6">
        <v>1.4971156884055546E-3</v>
      </c>
      <c r="J643" s="6">
        <f t="shared" si="37"/>
        <v>5.345557275541795E-2</v>
      </c>
      <c r="K643" s="21">
        <f t="shared" si="38"/>
        <v>1.5770086997781747E-7</v>
      </c>
      <c r="L643">
        <f t="shared" si="39"/>
        <v>36.101426218686768</v>
      </c>
    </row>
    <row r="644" spans="1:12" x14ac:dyDescent="0.15">
      <c r="A644" s="3">
        <v>41426</v>
      </c>
      <c r="B644" s="6">
        <v>8.9999999999999998E-4</v>
      </c>
      <c r="C644" s="6">
        <f t="shared" si="36"/>
        <v>1.4574041195649992E-3</v>
      </c>
      <c r="G644" s="3">
        <v>41426</v>
      </c>
      <c r="H644" s="6">
        <v>8.9999999999999998E-4</v>
      </c>
      <c r="I644" s="6">
        <v>1.4574041195649992E-3</v>
      </c>
      <c r="J644" s="6">
        <f t="shared" si="37"/>
        <v>5.3655572755417949E-2</v>
      </c>
      <c r="K644" s="21">
        <f t="shared" si="38"/>
        <v>3.1069935250803197E-7</v>
      </c>
      <c r="L644">
        <f t="shared" si="39"/>
        <v>61.933791062777701</v>
      </c>
    </row>
    <row r="645" spans="1:12" x14ac:dyDescent="0.15">
      <c r="A645" s="3">
        <v>41456</v>
      </c>
      <c r="B645" s="6">
        <v>8.9999999999999998E-4</v>
      </c>
      <c r="C645" s="6">
        <f t="shared" si="36"/>
        <v>1.4016637076084994E-3</v>
      </c>
      <c r="G645" s="3">
        <v>41456</v>
      </c>
      <c r="H645" s="6">
        <v>8.9999999999999998E-4</v>
      </c>
      <c r="I645" s="6">
        <v>1.4016637076084994E-3</v>
      </c>
      <c r="J645" s="6">
        <f t="shared" ref="J645:J649" si="40">ABS(H645-$P$6)</f>
        <v>5.3655572755417949E-2</v>
      </c>
      <c r="K645" s="21">
        <f t="shared" ref="K645:K649" si="41">(H645-I645)^2</f>
        <v>2.5166647553150598E-7</v>
      </c>
      <c r="L645">
        <f t="shared" ref="L645:L649" si="42">ABS(I645-H645)/H645*100</f>
        <v>55.740411956499933</v>
      </c>
    </row>
    <row r="646" spans="1:12" x14ac:dyDescent="0.15">
      <c r="A646" s="3">
        <v>41487</v>
      </c>
      <c r="B646" s="6">
        <v>8.0000000000000004E-4</v>
      </c>
      <c r="C646" s="6">
        <f t="shared" si="36"/>
        <v>1.3514973368476495E-3</v>
      </c>
      <c r="G646" s="3">
        <v>41487</v>
      </c>
      <c r="H646" s="6">
        <v>8.0000000000000004E-4</v>
      </c>
      <c r="I646" s="6">
        <v>1.3514973368476495E-3</v>
      </c>
      <c r="J646" s="6">
        <f t="shared" si="40"/>
        <v>5.3755572755417945E-2</v>
      </c>
      <c r="K646" s="21">
        <f t="shared" si="41"/>
        <v>3.0414931255004972E-7</v>
      </c>
      <c r="L646">
        <f t="shared" si="42"/>
        <v>68.937167105956178</v>
      </c>
    </row>
    <row r="647" spans="1:12" x14ac:dyDescent="0.15">
      <c r="A647" s="3">
        <v>41518</v>
      </c>
      <c r="B647" s="6">
        <v>8.0000000000000004E-4</v>
      </c>
      <c r="C647" s="6">
        <f t="shared" si="36"/>
        <v>1.2963476031628846E-3</v>
      </c>
      <c r="G647" s="3">
        <v>41518</v>
      </c>
      <c r="H647" s="6">
        <v>8.0000000000000004E-4</v>
      </c>
      <c r="I647" s="6">
        <v>1.2963476031628846E-3</v>
      </c>
      <c r="J647" s="6">
        <f t="shared" si="40"/>
        <v>5.3755572755417945E-2</v>
      </c>
      <c r="K647" s="21">
        <f t="shared" si="41"/>
        <v>2.4636094316554038E-7</v>
      </c>
      <c r="L647">
        <f t="shared" si="42"/>
        <v>62.04345039536058</v>
      </c>
    </row>
    <row r="648" spans="1:12" x14ac:dyDescent="0.15">
      <c r="A648" s="3">
        <v>41548</v>
      </c>
      <c r="B648" s="6">
        <v>8.9999999999999998E-4</v>
      </c>
      <c r="C648" s="6">
        <f t="shared" si="36"/>
        <v>1.2467128428465962E-3</v>
      </c>
      <c r="G648" s="3">
        <v>41548</v>
      </c>
      <c r="H648" s="6">
        <v>8.9999999999999998E-4</v>
      </c>
      <c r="I648" s="6">
        <v>1.2467128428465962E-3</v>
      </c>
      <c r="J648" s="6">
        <f t="shared" si="40"/>
        <v>5.3655572755417949E-2</v>
      </c>
      <c r="K648" s="21">
        <f t="shared" si="41"/>
        <v>1.2020979539476853E-7</v>
      </c>
      <c r="L648">
        <f t="shared" si="42"/>
        <v>38.523649205177357</v>
      </c>
    </row>
    <row r="649" spans="1:12" x14ac:dyDescent="0.15">
      <c r="A649" s="3">
        <v>41579</v>
      </c>
      <c r="B649" s="6">
        <v>8.0000000000000004E-4</v>
      </c>
      <c r="C649" s="6">
        <f t="shared" si="36"/>
        <v>1.2120415585619366E-3</v>
      </c>
      <c r="G649" s="3">
        <v>41579</v>
      </c>
      <c r="H649" s="6">
        <v>8.0000000000000004E-4</v>
      </c>
      <c r="I649" s="6">
        <v>1.2120415585619366E-3</v>
      </c>
      <c r="J649" s="6">
        <f t="shared" si="40"/>
        <v>5.3755572755417945E-2</v>
      </c>
      <c r="K649" s="21">
        <f t="shared" si="41"/>
        <v>1.6977824598214978E-7</v>
      </c>
      <c r="L649">
        <f t="shared" si="42"/>
        <v>51.50519482024206</v>
      </c>
    </row>
    <row r="655" spans="1:12" x14ac:dyDescent="0.15">
      <c r="D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2779-0D89-9348-9A90-7C7FDBE5AEF3}">
  <dimension ref="A2:AB652"/>
  <sheetViews>
    <sheetView tabSelected="1" topLeftCell="F1" workbookViewId="0">
      <selection activeCell="G25" sqref="G25"/>
    </sheetView>
  </sheetViews>
  <sheetFormatPr baseColWidth="10" defaultRowHeight="13" x14ac:dyDescent="0.15"/>
  <cols>
    <col min="14" max="14" width="12.33203125" customWidth="1"/>
    <col min="15" max="15" width="15.33203125" customWidth="1"/>
    <col min="16" max="16" width="17.33203125" customWidth="1"/>
    <col min="17" max="17" width="21.33203125" customWidth="1"/>
    <col min="21" max="21" width="11.1640625" bestFit="1" customWidth="1"/>
  </cols>
  <sheetData>
    <row r="2" spans="1:25" ht="14" thickBot="1" x14ac:dyDescent="0.2">
      <c r="A2" s="5" t="s">
        <v>1</v>
      </c>
      <c r="B2" s="5" t="s">
        <v>2</v>
      </c>
      <c r="I2" s="2" t="s">
        <v>51</v>
      </c>
    </row>
    <row r="3" spans="1:25" ht="14" thickTop="1" x14ac:dyDescent="0.15">
      <c r="A3" s="3">
        <v>21916</v>
      </c>
      <c r="B3" s="4">
        <v>3.9900000000000005E-2</v>
      </c>
    </row>
    <row r="4" spans="1:25" x14ac:dyDescent="0.15">
      <c r="A4" s="3">
        <v>21947</v>
      </c>
      <c r="B4" s="4">
        <v>3.9699999999999999E-2</v>
      </c>
      <c r="C4" s="4">
        <v>3.9900000000000005E-2</v>
      </c>
    </row>
    <row r="5" spans="1:25" x14ac:dyDescent="0.15">
      <c r="A5" s="3">
        <v>21976</v>
      </c>
      <c r="B5" s="4">
        <v>3.8399999999999997E-2</v>
      </c>
      <c r="C5" s="4">
        <v>3.9699999999999999E-2</v>
      </c>
      <c r="D5" s="4">
        <v>3.9900000000000005E-2</v>
      </c>
      <c r="J5" s="11" t="s">
        <v>43</v>
      </c>
      <c r="K5" s="11" t="s">
        <v>44</v>
      </c>
      <c r="L5" s="11" t="s">
        <v>45</v>
      </c>
      <c r="M5" s="11" t="s">
        <v>46</v>
      </c>
      <c r="N5" s="11" t="s">
        <v>49</v>
      </c>
      <c r="O5" s="11" t="s">
        <v>6</v>
      </c>
      <c r="P5" s="11" t="s">
        <v>7</v>
      </c>
      <c r="Q5" s="11" t="s">
        <v>9</v>
      </c>
    </row>
    <row r="6" spans="1:25" x14ac:dyDescent="0.15">
      <c r="A6" s="3">
        <v>22007</v>
      </c>
      <c r="B6" s="4">
        <v>3.9199999999999999E-2</v>
      </c>
      <c r="C6" s="4">
        <v>3.8399999999999997E-2</v>
      </c>
      <c r="D6" s="4">
        <v>3.9699999999999999E-2</v>
      </c>
      <c r="E6" s="4">
        <v>3.9900000000000005E-2</v>
      </c>
      <c r="I6" s="3">
        <v>22007</v>
      </c>
      <c r="J6" s="4">
        <v>3.9199999999999999E-2</v>
      </c>
      <c r="K6" s="4">
        <v>3.8399999999999997E-2</v>
      </c>
      <c r="L6" s="4">
        <v>3.9699999999999999E-2</v>
      </c>
      <c r="M6" s="4">
        <v>3.9900000000000005E-2</v>
      </c>
      <c r="N6" s="6">
        <f xml:space="preserve"> 0.00063539 + 1.44140757*K6 - 0.611849*L6 + 0.15807396*M6</f>
        <v>3.8002186391999995E-2</v>
      </c>
      <c r="O6" s="6">
        <f>ABS(J6-$U$32)</f>
        <v>1.5403726708074536E-2</v>
      </c>
      <c r="P6" s="21">
        <f>(N6-J6)^2</f>
        <v>1.4347574395099859E-6</v>
      </c>
      <c r="Q6">
        <f>ABS(N6-J6)/J6*100</f>
        <v>3.0556469591836826</v>
      </c>
      <c r="T6" t="s">
        <v>17</v>
      </c>
    </row>
    <row r="7" spans="1:25" ht="14" thickBot="1" x14ac:dyDescent="0.2">
      <c r="A7" s="3">
        <v>22037</v>
      </c>
      <c r="B7" s="4">
        <v>3.85E-2</v>
      </c>
      <c r="C7" s="4">
        <v>3.9199999999999999E-2</v>
      </c>
      <c r="D7" s="4">
        <v>3.8399999999999997E-2</v>
      </c>
      <c r="E7" s="4">
        <v>3.9699999999999999E-2</v>
      </c>
      <c r="I7" s="3">
        <v>22037</v>
      </c>
      <c r="J7" s="4">
        <v>3.85E-2</v>
      </c>
      <c r="K7" s="4">
        <v>3.9199999999999999E-2</v>
      </c>
      <c r="L7" s="4">
        <v>3.8399999999999997E-2</v>
      </c>
      <c r="M7" s="4">
        <v>3.9699999999999999E-2</v>
      </c>
      <c r="N7" s="6">
        <f t="shared" ref="N7:N70" si="0" xml:space="preserve"> 0.00063539 + 1.44140757*K7 - 0.611849*L7 + 0.15807396*M7</f>
        <v>3.9919101355999999E-2</v>
      </c>
      <c r="O7" s="6">
        <f t="shared" ref="O7:O70" si="1">ABS(J7-$U$32)</f>
        <v>1.6103726708074535E-2</v>
      </c>
      <c r="P7" s="21">
        <f t="shared" ref="P7:P70" si="2">(N7-J7)^2</f>
        <v>2.0138486586010366E-6</v>
      </c>
      <c r="Q7">
        <f t="shared" ref="Q7:Q70" si="3">ABS(N7-J7)/J7*100</f>
        <v>3.6859775480519463</v>
      </c>
    </row>
    <row r="8" spans="1:25" x14ac:dyDescent="0.15">
      <c r="A8" s="3">
        <v>22068</v>
      </c>
      <c r="B8" s="4">
        <v>3.32E-2</v>
      </c>
      <c r="C8" s="4">
        <v>3.85E-2</v>
      </c>
      <c r="D8" s="4">
        <v>3.9199999999999999E-2</v>
      </c>
      <c r="E8" s="4">
        <v>3.8399999999999997E-2</v>
      </c>
      <c r="I8" s="3">
        <v>22068</v>
      </c>
      <c r="J8" s="4">
        <v>3.32E-2</v>
      </c>
      <c r="K8" s="4">
        <v>3.85E-2</v>
      </c>
      <c r="L8" s="4">
        <v>3.9199999999999999E-2</v>
      </c>
      <c r="M8" s="4">
        <v>3.8399999999999997E-2</v>
      </c>
      <c r="N8" s="6">
        <f t="shared" si="0"/>
        <v>3.8215140708999999E-2</v>
      </c>
      <c r="O8" s="6">
        <f t="shared" si="1"/>
        <v>2.1403726708074534E-2</v>
      </c>
      <c r="P8" s="21">
        <f t="shared" si="2"/>
        <v>2.5151636331069011E-5</v>
      </c>
      <c r="Q8">
        <f t="shared" si="3"/>
        <v>15.105845509036142</v>
      </c>
      <c r="T8" s="18" t="s">
        <v>18</v>
      </c>
      <c r="U8" s="18"/>
    </row>
    <row r="9" spans="1:25" x14ac:dyDescent="0.15">
      <c r="A9" s="3">
        <v>22098</v>
      </c>
      <c r="B9" s="4">
        <v>3.2300000000000002E-2</v>
      </c>
      <c r="C9" s="4">
        <v>3.32E-2</v>
      </c>
      <c r="D9" s="4">
        <v>3.85E-2</v>
      </c>
      <c r="E9" s="4">
        <v>3.9199999999999999E-2</v>
      </c>
      <c r="I9" s="3">
        <v>22098</v>
      </c>
      <c r="J9" s="4">
        <v>3.2300000000000002E-2</v>
      </c>
      <c r="K9" s="4">
        <v>3.32E-2</v>
      </c>
      <c r="L9" s="4">
        <v>3.85E-2</v>
      </c>
      <c r="M9" s="4">
        <v>3.9199999999999999E-2</v>
      </c>
      <c r="N9" s="6">
        <f t="shared" si="0"/>
        <v>3.1130434055999998E-2</v>
      </c>
      <c r="O9" s="6">
        <f t="shared" si="1"/>
        <v>2.2303726708074532E-2</v>
      </c>
      <c r="P9" s="21">
        <f t="shared" si="2"/>
        <v>1.3678844973646206E-6</v>
      </c>
      <c r="Q9">
        <f t="shared" si="3"/>
        <v>3.620947195046452</v>
      </c>
      <c r="T9" s="15" t="s">
        <v>19</v>
      </c>
      <c r="U9" s="15">
        <v>0.9905560528243198</v>
      </c>
    </row>
    <row r="10" spans="1:25" x14ac:dyDescent="0.15">
      <c r="A10" s="3">
        <v>22129</v>
      </c>
      <c r="B10" s="4">
        <v>2.98E-2</v>
      </c>
      <c r="C10" s="4">
        <v>3.2300000000000002E-2</v>
      </c>
      <c r="D10" s="4">
        <v>3.32E-2</v>
      </c>
      <c r="E10" s="4">
        <v>3.85E-2</v>
      </c>
      <c r="I10" s="3">
        <v>22129</v>
      </c>
      <c r="J10" s="4">
        <v>2.98E-2</v>
      </c>
      <c r="K10" s="4">
        <v>3.2300000000000002E-2</v>
      </c>
      <c r="L10" s="4">
        <v>3.32E-2</v>
      </c>
      <c r="M10" s="4">
        <v>3.85E-2</v>
      </c>
      <c r="N10" s="6">
        <f t="shared" si="0"/>
        <v>3.2965315171000001E-2</v>
      </c>
      <c r="O10" s="6">
        <f t="shared" si="1"/>
        <v>2.4803726708074535E-2</v>
      </c>
      <c r="P10" s="21">
        <f t="shared" si="2"/>
        <v>1.0019220131762763E-5</v>
      </c>
      <c r="Q10">
        <f t="shared" si="3"/>
        <v>10.621862989932888</v>
      </c>
      <c r="T10" s="15" t="s">
        <v>20</v>
      </c>
      <c r="U10" s="15">
        <v>0.98120129378689669</v>
      </c>
    </row>
    <row r="11" spans="1:25" x14ac:dyDescent="0.15">
      <c r="A11" s="3">
        <v>22160</v>
      </c>
      <c r="B11" s="4">
        <v>2.6000000000000002E-2</v>
      </c>
      <c r="C11" s="4">
        <v>2.98E-2</v>
      </c>
      <c r="D11" s="4">
        <v>3.2300000000000002E-2</v>
      </c>
      <c r="E11" s="4">
        <v>3.32E-2</v>
      </c>
      <c r="I11" s="3">
        <v>22160</v>
      </c>
      <c r="J11" s="4">
        <v>2.6000000000000002E-2</v>
      </c>
      <c r="K11" s="4">
        <v>2.98E-2</v>
      </c>
      <c r="L11" s="4">
        <v>3.2300000000000002E-2</v>
      </c>
      <c r="M11" s="4">
        <v>3.32E-2</v>
      </c>
      <c r="N11" s="6">
        <f t="shared" si="0"/>
        <v>2.9074668357999996E-2</v>
      </c>
      <c r="O11" s="6">
        <f t="shared" si="1"/>
        <v>2.8603726708074532E-2</v>
      </c>
      <c r="P11" s="21">
        <f t="shared" si="2"/>
        <v>9.4535855116863754E-6</v>
      </c>
      <c r="Q11">
        <f t="shared" si="3"/>
        <v>11.825647530769205</v>
      </c>
      <c r="T11" s="15" t="s">
        <v>21</v>
      </c>
      <c r="U11" s="15">
        <v>0.98111317485152283</v>
      </c>
    </row>
    <row r="12" spans="1:25" x14ac:dyDescent="0.15">
      <c r="A12" s="3">
        <v>22190</v>
      </c>
      <c r="B12" s="4">
        <v>2.4700000000000003E-2</v>
      </c>
      <c r="C12" s="4">
        <v>2.6000000000000002E-2</v>
      </c>
      <c r="D12" s="4">
        <v>2.98E-2</v>
      </c>
      <c r="E12" s="4">
        <v>3.2300000000000002E-2</v>
      </c>
      <c r="I12" s="3">
        <v>22190</v>
      </c>
      <c r="J12" s="4">
        <v>2.4700000000000003E-2</v>
      </c>
      <c r="K12" s="4">
        <v>2.6000000000000002E-2</v>
      </c>
      <c r="L12" s="4">
        <v>2.98E-2</v>
      </c>
      <c r="M12" s="4">
        <v>3.2300000000000002E-2</v>
      </c>
      <c r="N12" s="6">
        <f t="shared" si="0"/>
        <v>2.4984675528000003E-2</v>
      </c>
      <c r="O12" s="6">
        <f t="shared" si="1"/>
        <v>2.9903726708074532E-2</v>
      </c>
      <c r="P12" s="21">
        <f t="shared" si="2"/>
        <v>8.1040156242078496E-8</v>
      </c>
      <c r="Q12">
        <f t="shared" si="3"/>
        <v>1.1525325020242891</v>
      </c>
      <c r="T12" s="15" t="s">
        <v>22</v>
      </c>
      <c r="U12" s="15">
        <v>4.9253123810626496E-3</v>
      </c>
    </row>
    <row r="13" spans="1:25" ht="14" thickBot="1" x14ac:dyDescent="0.2">
      <c r="A13" s="3">
        <v>22221</v>
      </c>
      <c r="B13" s="4">
        <v>2.4399999999999998E-2</v>
      </c>
      <c r="C13" s="4">
        <v>2.4700000000000003E-2</v>
      </c>
      <c r="D13" s="4">
        <v>2.6000000000000002E-2</v>
      </c>
      <c r="E13" s="4">
        <v>2.98E-2</v>
      </c>
      <c r="I13" s="3">
        <v>22221</v>
      </c>
      <c r="J13" s="4">
        <v>2.4399999999999998E-2</v>
      </c>
      <c r="K13" s="4">
        <v>2.4700000000000003E-2</v>
      </c>
      <c r="L13" s="4">
        <v>2.6000000000000002E-2</v>
      </c>
      <c r="M13" s="4">
        <v>2.98E-2</v>
      </c>
      <c r="N13" s="6">
        <f t="shared" si="0"/>
        <v>2.5040686987000006E-2</v>
      </c>
      <c r="O13" s="6">
        <f t="shared" si="1"/>
        <v>3.0203726708074537E-2</v>
      </c>
      <c r="P13" s="21">
        <f t="shared" si="2"/>
        <v>4.1047981531114773E-7</v>
      </c>
      <c r="Q13">
        <f t="shared" si="3"/>
        <v>2.625766340163965</v>
      </c>
      <c r="T13" s="16" t="s">
        <v>23</v>
      </c>
      <c r="U13" s="16">
        <v>644</v>
      </c>
    </row>
    <row r="14" spans="1:25" x14ac:dyDescent="0.15">
      <c r="A14" s="3">
        <v>22251</v>
      </c>
      <c r="B14" s="4">
        <v>1.9799999999999998E-2</v>
      </c>
      <c r="C14" s="4">
        <v>2.4399999999999998E-2</v>
      </c>
      <c r="D14" s="4">
        <v>2.4700000000000003E-2</v>
      </c>
      <c r="E14" s="4">
        <v>2.6000000000000002E-2</v>
      </c>
      <c r="I14" s="3">
        <v>22251</v>
      </c>
      <c r="J14" s="4">
        <v>1.9799999999999998E-2</v>
      </c>
      <c r="K14" s="4">
        <v>2.4399999999999998E-2</v>
      </c>
      <c r="L14" s="4">
        <v>2.4700000000000003E-2</v>
      </c>
      <c r="M14" s="4">
        <v>2.6000000000000002E-2</v>
      </c>
      <c r="N14" s="6">
        <f t="shared" si="0"/>
        <v>2.4802987367999997E-2</v>
      </c>
      <c r="O14" s="6">
        <f t="shared" si="1"/>
        <v>3.4803726708074537E-2</v>
      </c>
      <c r="P14" s="21">
        <f t="shared" si="2"/>
        <v>2.5029882604367555E-5</v>
      </c>
      <c r="Q14">
        <f t="shared" si="3"/>
        <v>25.267612969696966</v>
      </c>
    </row>
    <row r="15" spans="1:25" ht="14" thickBot="1" x14ac:dyDescent="0.2">
      <c r="A15" s="3">
        <v>22282</v>
      </c>
      <c r="B15" s="4">
        <v>1.4499999999999999E-2</v>
      </c>
      <c r="C15" s="4">
        <v>1.9799999999999998E-2</v>
      </c>
      <c r="D15" s="4">
        <v>2.4399999999999998E-2</v>
      </c>
      <c r="E15" s="4">
        <v>2.4700000000000003E-2</v>
      </c>
      <c r="I15" s="3">
        <v>22282</v>
      </c>
      <c r="J15" s="4">
        <v>1.4499999999999999E-2</v>
      </c>
      <c r="K15" s="4">
        <v>1.9799999999999998E-2</v>
      </c>
      <c r="L15" s="4">
        <v>2.4399999999999998E-2</v>
      </c>
      <c r="M15" s="4">
        <v>2.4700000000000003E-2</v>
      </c>
      <c r="N15" s="6">
        <f t="shared" si="0"/>
        <v>1.8150571098000001E-2</v>
      </c>
      <c r="O15" s="6">
        <f t="shared" si="1"/>
        <v>4.0103726708074536E-2</v>
      </c>
      <c r="P15" s="21">
        <f t="shared" si="2"/>
        <v>1.3326669341552942E-5</v>
      </c>
      <c r="Q15">
        <f t="shared" si="3"/>
        <v>25.176352400000017</v>
      </c>
      <c r="T15" t="s">
        <v>24</v>
      </c>
    </row>
    <row r="16" spans="1:25" x14ac:dyDescent="0.15">
      <c r="A16" s="3">
        <v>22313</v>
      </c>
      <c r="B16" s="4">
        <v>2.5399999999999999E-2</v>
      </c>
      <c r="C16" s="4">
        <v>1.4499999999999999E-2</v>
      </c>
      <c r="D16" s="4">
        <v>1.9799999999999998E-2</v>
      </c>
      <c r="E16" s="4">
        <v>2.4399999999999998E-2</v>
      </c>
      <c r="I16" s="3">
        <v>22313</v>
      </c>
      <c r="J16" s="4">
        <v>2.5399999999999999E-2</v>
      </c>
      <c r="K16" s="4">
        <v>1.4499999999999999E-2</v>
      </c>
      <c r="L16" s="4">
        <v>1.9799999999999998E-2</v>
      </c>
      <c r="M16" s="4">
        <v>2.4399999999999998E-2</v>
      </c>
      <c r="N16" s="6">
        <f t="shared" si="0"/>
        <v>1.3278194189E-2</v>
      </c>
      <c r="O16" s="6">
        <f t="shared" si="1"/>
        <v>2.9203726708074536E-2</v>
      </c>
      <c r="P16" s="21">
        <f t="shared" si="2"/>
        <v>1.4693817611959335E-4</v>
      </c>
      <c r="Q16">
        <f t="shared" si="3"/>
        <v>47.723644925196851</v>
      </c>
      <c r="T16" s="17"/>
      <c r="U16" s="17" t="s">
        <v>29</v>
      </c>
      <c r="V16" s="17" t="s">
        <v>30</v>
      </c>
      <c r="W16" s="17" t="s">
        <v>31</v>
      </c>
      <c r="X16" s="17" t="s">
        <v>32</v>
      </c>
      <c r="Y16" s="17" t="s">
        <v>33</v>
      </c>
    </row>
    <row r="17" spans="1:28" x14ac:dyDescent="0.15">
      <c r="A17" s="3">
        <v>22341</v>
      </c>
      <c r="B17" s="4">
        <v>2.0199999999999999E-2</v>
      </c>
      <c r="C17" s="4">
        <v>2.5399999999999999E-2</v>
      </c>
      <c r="D17" s="4">
        <v>1.4499999999999999E-2</v>
      </c>
      <c r="E17" s="4">
        <v>1.9799999999999998E-2</v>
      </c>
      <c r="I17" s="3">
        <v>22341</v>
      </c>
      <c r="J17" s="4">
        <v>2.0199999999999999E-2</v>
      </c>
      <c r="K17" s="4">
        <v>2.5399999999999999E-2</v>
      </c>
      <c r="L17" s="4">
        <v>1.4499999999999999E-2</v>
      </c>
      <c r="M17" s="4">
        <v>1.9799999999999998E-2</v>
      </c>
      <c r="N17" s="6">
        <f t="shared" si="0"/>
        <v>3.1505196185999992E-2</v>
      </c>
      <c r="O17" s="6">
        <f t="shared" si="1"/>
        <v>3.4403726708074539E-2</v>
      </c>
      <c r="P17" s="21">
        <f t="shared" si="2"/>
        <v>1.2780746080394878E-4</v>
      </c>
      <c r="Q17">
        <f t="shared" si="3"/>
        <v>55.966317752475213</v>
      </c>
      <c r="T17" s="15" t="s">
        <v>25</v>
      </c>
      <c r="U17" s="15">
        <v>3</v>
      </c>
      <c r="V17" s="15">
        <v>0.81035942174322972</v>
      </c>
      <c r="W17" s="15">
        <v>0.27011980724774326</v>
      </c>
      <c r="X17" s="15">
        <v>11134.965369512111</v>
      </c>
      <c r="Y17" s="15">
        <v>0</v>
      </c>
    </row>
    <row r="18" spans="1:28" x14ac:dyDescent="0.15">
      <c r="A18" s="3">
        <v>22372</v>
      </c>
      <c r="B18" s="4">
        <v>1.49E-2</v>
      </c>
      <c r="C18" s="4">
        <v>2.0199999999999999E-2</v>
      </c>
      <c r="D18" s="4">
        <v>2.5399999999999999E-2</v>
      </c>
      <c r="E18" s="4">
        <v>1.4499999999999999E-2</v>
      </c>
      <c r="I18" s="3">
        <v>22372</v>
      </c>
      <c r="J18" s="4">
        <v>1.49E-2</v>
      </c>
      <c r="K18" s="4">
        <v>2.0199999999999999E-2</v>
      </c>
      <c r="L18" s="4">
        <v>2.5399999999999999E-2</v>
      </c>
      <c r="M18" s="4">
        <v>1.4499999999999999E-2</v>
      </c>
      <c r="N18" s="6">
        <f t="shared" si="0"/>
        <v>1.6502930733999999E-2</v>
      </c>
      <c r="O18" s="6">
        <f t="shared" si="1"/>
        <v>3.9703726708074538E-2</v>
      </c>
      <c r="P18" s="21">
        <f t="shared" si="2"/>
        <v>2.5693869380017743E-6</v>
      </c>
      <c r="Q18">
        <f t="shared" si="3"/>
        <v>10.757924389261737</v>
      </c>
      <c r="T18" s="15" t="s">
        <v>26</v>
      </c>
      <c r="U18" s="15">
        <v>640</v>
      </c>
      <c r="V18" s="15">
        <v>1.5525569312671374E-2</v>
      </c>
      <c r="W18" s="15">
        <v>2.4258702051049023E-5</v>
      </c>
      <c r="X18" s="15"/>
      <c r="Y18" s="15"/>
    </row>
    <row r="19" spans="1:28" ht="14" thickBot="1" x14ac:dyDescent="0.2">
      <c r="A19" s="3">
        <v>22402</v>
      </c>
      <c r="B19" s="4">
        <v>1.9799999999999998E-2</v>
      </c>
      <c r="C19" s="4">
        <v>1.49E-2</v>
      </c>
      <c r="D19" s="4">
        <v>2.0199999999999999E-2</v>
      </c>
      <c r="E19" s="4">
        <v>2.5399999999999999E-2</v>
      </c>
      <c r="I19" s="3">
        <v>22402</v>
      </c>
      <c r="J19" s="4">
        <v>1.9799999999999998E-2</v>
      </c>
      <c r="K19" s="4">
        <v>1.49E-2</v>
      </c>
      <c r="L19" s="4">
        <v>2.0199999999999999E-2</v>
      </c>
      <c r="M19" s="4">
        <v>2.5399999999999999E-2</v>
      </c>
      <c r="N19" s="6">
        <f t="shared" si="0"/>
        <v>1.3768091577E-2</v>
      </c>
      <c r="O19" s="6">
        <f t="shared" si="1"/>
        <v>3.4803726708074537E-2</v>
      </c>
      <c r="P19" s="21">
        <f t="shared" si="2"/>
        <v>3.6383919223458331E-5</v>
      </c>
      <c r="Q19">
        <f t="shared" si="3"/>
        <v>30.464183954545447</v>
      </c>
      <c r="T19" s="16" t="s">
        <v>27</v>
      </c>
      <c r="U19" s="16">
        <v>643</v>
      </c>
      <c r="V19" s="16">
        <v>0.82588499105590107</v>
      </c>
      <c r="W19" s="16"/>
      <c r="X19" s="16"/>
      <c r="Y19" s="16"/>
    </row>
    <row r="20" spans="1:28" ht="14" thickBot="1" x14ac:dyDescent="0.2">
      <c r="A20" s="3">
        <v>22433</v>
      </c>
      <c r="B20" s="4">
        <v>1.7299999999999999E-2</v>
      </c>
      <c r="C20" s="4">
        <v>1.9799999999999998E-2</v>
      </c>
      <c r="D20" s="4">
        <v>1.49E-2</v>
      </c>
      <c r="E20" s="4">
        <v>2.0199999999999999E-2</v>
      </c>
      <c r="I20" s="3">
        <v>22433</v>
      </c>
      <c r="J20" s="4">
        <v>1.7299999999999999E-2</v>
      </c>
      <c r="K20" s="4">
        <v>1.9799999999999998E-2</v>
      </c>
      <c r="L20" s="4">
        <v>1.49E-2</v>
      </c>
      <c r="M20" s="4">
        <v>2.0199999999999999E-2</v>
      </c>
      <c r="N20" s="6">
        <f t="shared" si="0"/>
        <v>2.3251803777999999E-2</v>
      </c>
      <c r="O20" s="6">
        <f t="shared" si="1"/>
        <v>3.7303726708074539E-2</v>
      </c>
      <c r="P20" s="21">
        <f t="shared" si="2"/>
        <v>3.5423968211815074E-5</v>
      </c>
      <c r="Q20">
        <f t="shared" si="3"/>
        <v>34.403490046242773</v>
      </c>
    </row>
    <row r="21" spans="1:28" x14ac:dyDescent="0.15">
      <c r="A21" s="3">
        <v>22463</v>
      </c>
      <c r="B21" s="4">
        <v>1.1699999999999999E-2</v>
      </c>
      <c r="C21" s="4">
        <v>1.7299999999999999E-2</v>
      </c>
      <c r="D21" s="4">
        <v>1.9799999999999998E-2</v>
      </c>
      <c r="E21" s="4">
        <v>1.49E-2</v>
      </c>
      <c r="I21" s="3">
        <v>22463</v>
      </c>
      <c r="J21" s="4">
        <v>1.1699999999999999E-2</v>
      </c>
      <c r="K21" s="4">
        <v>1.7299999999999999E-2</v>
      </c>
      <c r="L21" s="4">
        <v>1.9799999999999998E-2</v>
      </c>
      <c r="M21" s="4">
        <v>1.49E-2</v>
      </c>
      <c r="N21" s="6">
        <f t="shared" si="0"/>
        <v>1.5812432764999999E-2</v>
      </c>
      <c r="O21" s="6">
        <f t="shared" si="1"/>
        <v>4.2903726708074533E-2</v>
      </c>
      <c r="P21" s="21">
        <f t="shared" si="2"/>
        <v>1.6912103246645547E-5</v>
      </c>
      <c r="Q21">
        <f t="shared" si="3"/>
        <v>35.148997991452994</v>
      </c>
      <c r="T21" s="17"/>
      <c r="U21" s="17" t="s">
        <v>34</v>
      </c>
      <c r="V21" s="17" t="s">
        <v>22</v>
      </c>
      <c r="W21" s="17" t="s">
        <v>35</v>
      </c>
      <c r="X21" s="17" t="s">
        <v>36</v>
      </c>
      <c r="Y21" s="17" t="s">
        <v>37</v>
      </c>
      <c r="Z21" s="17" t="s">
        <v>38</v>
      </c>
      <c r="AA21" s="17" t="s">
        <v>39</v>
      </c>
      <c r="AB21" s="17" t="s">
        <v>40</v>
      </c>
    </row>
    <row r="22" spans="1:28" x14ac:dyDescent="0.15">
      <c r="A22" s="3">
        <v>22494</v>
      </c>
      <c r="B22" s="4">
        <v>0.02</v>
      </c>
      <c r="C22" s="4">
        <v>1.1699999999999999E-2</v>
      </c>
      <c r="D22" s="4">
        <v>1.7299999999999999E-2</v>
      </c>
      <c r="E22" s="4">
        <v>1.9799999999999998E-2</v>
      </c>
      <c r="I22" s="3">
        <v>22494</v>
      </c>
      <c r="J22" s="4">
        <v>0.02</v>
      </c>
      <c r="K22" s="4">
        <v>1.1699999999999999E-2</v>
      </c>
      <c r="L22" s="4">
        <v>1.7299999999999999E-2</v>
      </c>
      <c r="M22" s="4">
        <v>1.9799999999999998E-2</v>
      </c>
      <c r="N22" s="6">
        <f t="shared" si="0"/>
        <v>1.0044735276999997E-2</v>
      </c>
      <c r="O22" s="6">
        <f t="shared" si="1"/>
        <v>3.4603726708074531E-2</v>
      </c>
      <c r="P22" s="21">
        <f t="shared" si="2"/>
        <v>9.9107295705008343E-5</v>
      </c>
      <c r="Q22">
        <f t="shared" si="3"/>
        <v>49.776323615000017</v>
      </c>
      <c r="T22" s="15" t="s">
        <v>28</v>
      </c>
      <c r="U22" s="15">
        <v>6.3538947926772803E-4</v>
      </c>
      <c r="V22" s="15">
        <v>3.5768025780108704E-4</v>
      </c>
      <c r="W22" s="15">
        <v>1.7764175276933525</v>
      </c>
      <c r="X22" s="15">
        <v>7.6139110393023859E-2</v>
      </c>
      <c r="Y22" s="15">
        <v>-6.69792162601593E-5</v>
      </c>
      <c r="Z22" s="15">
        <v>1.3377581747956154E-3</v>
      </c>
      <c r="AA22" s="15">
        <v>-6.69792162601593E-5</v>
      </c>
      <c r="AB22" s="15">
        <v>1.3377581747956154E-3</v>
      </c>
    </row>
    <row r="23" spans="1:28" x14ac:dyDescent="0.15">
      <c r="A23" s="3">
        <v>22525</v>
      </c>
      <c r="B23" s="4">
        <v>1.8799999999999997E-2</v>
      </c>
      <c r="C23" s="4">
        <v>0.02</v>
      </c>
      <c r="D23" s="4">
        <v>1.1699999999999999E-2</v>
      </c>
      <c r="E23" s="4">
        <v>1.7299999999999999E-2</v>
      </c>
      <c r="I23" s="3">
        <v>22525</v>
      </c>
      <c r="J23" s="4">
        <v>1.8799999999999997E-2</v>
      </c>
      <c r="K23" s="4">
        <v>0.02</v>
      </c>
      <c r="L23" s="4">
        <v>1.1699999999999999E-2</v>
      </c>
      <c r="M23" s="4">
        <v>1.7299999999999999E-2</v>
      </c>
      <c r="N23" s="6">
        <f t="shared" si="0"/>
        <v>2.5039587608000003E-2</v>
      </c>
      <c r="O23" s="6">
        <f t="shared" si="1"/>
        <v>3.5803726708074537E-2</v>
      </c>
      <c r="P23" s="21">
        <f t="shared" si="2"/>
        <v>3.8932453517907235E-5</v>
      </c>
      <c r="Q23">
        <f t="shared" si="3"/>
        <v>33.18929578723408</v>
      </c>
      <c r="T23" s="15" t="s">
        <v>41</v>
      </c>
      <c r="U23" s="15">
        <v>1.4414075685970287</v>
      </c>
      <c r="V23" s="15">
        <v>3.9031679067274949E-2</v>
      </c>
      <c r="W23" s="15">
        <v>36.929171458717434</v>
      </c>
      <c r="X23" s="15">
        <v>9.3030869842215122E-161</v>
      </c>
      <c r="Y23" s="15">
        <v>1.3647619363239976</v>
      </c>
      <c r="Z23" s="15">
        <v>1.5180532008700598</v>
      </c>
      <c r="AA23" s="15">
        <v>1.3647619363239976</v>
      </c>
      <c r="AB23" s="15">
        <v>1.5180532008700598</v>
      </c>
    </row>
    <row r="24" spans="1:28" x14ac:dyDescent="0.15">
      <c r="A24" s="3">
        <v>22555</v>
      </c>
      <c r="B24" s="4">
        <v>2.2599999999999999E-2</v>
      </c>
      <c r="C24" s="4">
        <v>1.8799999999999997E-2</v>
      </c>
      <c r="D24" s="4">
        <v>0.02</v>
      </c>
      <c r="E24" s="4">
        <v>1.1699999999999999E-2</v>
      </c>
      <c r="I24" s="3">
        <v>22555</v>
      </c>
      <c r="J24" s="4">
        <v>2.2599999999999999E-2</v>
      </c>
      <c r="K24" s="4">
        <v>1.8799999999999997E-2</v>
      </c>
      <c r="L24" s="4">
        <v>0.02</v>
      </c>
      <c r="M24" s="4">
        <v>1.1699999999999999E-2</v>
      </c>
      <c r="N24" s="6">
        <f t="shared" si="0"/>
        <v>1.7346337647999997E-2</v>
      </c>
      <c r="O24" s="6">
        <f t="shared" si="1"/>
        <v>3.200372670807454E-2</v>
      </c>
      <c r="P24" s="21">
        <f t="shared" si="2"/>
        <v>2.7600968108822187E-5</v>
      </c>
      <c r="Q24">
        <f t="shared" si="3"/>
        <v>23.24629359292036</v>
      </c>
      <c r="T24" s="15" t="s">
        <v>42</v>
      </c>
      <c r="U24" s="15">
        <v>-0.61184901158200267</v>
      </c>
      <c r="V24" s="15">
        <v>6.4695892557529569E-2</v>
      </c>
      <c r="W24" s="15">
        <v>-9.4573084533601239</v>
      </c>
      <c r="X24" s="15">
        <v>5.89511722585941E-20</v>
      </c>
      <c r="Y24" s="15">
        <v>-0.73889088395426727</v>
      </c>
      <c r="Z24" s="15">
        <v>-0.48480713920973806</v>
      </c>
      <c r="AA24" s="15">
        <v>-0.73889088395426727</v>
      </c>
      <c r="AB24" s="15">
        <v>-0.48480713920973806</v>
      </c>
    </row>
    <row r="25" spans="1:28" ht="14" thickBot="1" x14ac:dyDescent="0.2">
      <c r="A25" s="3">
        <v>22586</v>
      </c>
      <c r="B25" s="4">
        <v>2.6099999999999998E-2</v>
      </c>
      <c r="C25" s="4">
        <v>2.2599999999999999E-2</v>
      </c>
      <c r="D25" s="4">
        <v>1.8799999999999997E-2</v>
      </c>
      <c r="E25" s="4">
        <v>0.02</v>
      </c>
      <c r="I25" s="3">
        <v>22586</v>
      </c>
      <c r="J25" s="4">
        <v>2.6099999999999998E-2</v>
      </c>
      <c r="K25" s="4">
        <v>2.2599999999999999E-2</v>
      </c>
      <c r="L25" s="4">
        <v>1.8799999999999997E-2</v>
      </c>
      <c r="M25" s="4">
        <v>0.02</v>
      </c>
      <c r="N25" s="6">
        <f t="shared" si="0"/>
        <v>2.4869919082000005E-2</v>
      </c>
      <c r="O25" s="6">
        <f t="shared" si="1"/>
        <v>2.8503726708074537E-2</v>
      </c>
      <c r="P25" s="21">
        <f t="shared" si="2"/>
        <v>1.5130990648277066E-6</v>
      </c>
      <c r="Q25">
        <f t="shared" si="3"/>
        <v>4.7129537088122353</v>
      </c>
      <c r="T25" s="16" t="s">
        <v>47</v>
      </c>
      <c r="U25" s="16">
        <v>0.1580739610925988</v>
      </c>
      <c r="V25" s="16">
        <v>3.9095880014851529E-2</v>
      </c>
      <c r="W25" s="16">
        <v>4.0432383420593299</v>
      </c>
      <c r="X25" s="16">
        <v>5.9143013672490412E-5</v>
      </c>
      <c r="Y25" s="16">
        <v>8.1302258859547533E-2</v>
      </c>
      <c r="Z25" s="16">
        <v>0.23484566332565007</v>
      </c>
      <c r="AA25" s="16">
        <v>8.1302258859547533E-2</v>
      </c>
      <c r="AB25" s="16">
        <v>0.23484566332565007</v>
      </c>
    </row>
    <row r="26" spans="1:28" x14ac:dyDescent="0.15">
      <c r="A26" s="3">
        <v>22616</v>
      </c>
      <c r="B26" s="4">
        <v>2.3300000000000001E-2</v>
      </c>
      <c r="C26" s="4">
        <v>2.6099999999999998E-2</v>
      </c>
      <c r="D26" s="4">
        <v>2.2599999999999999E-2</v>
      </c>
      <c r="E26" s="4">
        <v>1.8799999999999997E-2</v>
      </c>
      <c r="I26" s="3">
        <v>22616</v>
      </c>
      <c r="J26" s="4">
        <v>2.3300000000000001E-2</v>
      </c>
      <c r="K26" s="4">
        <v>2.6099999999999998E-2</v>
      </c>
      <c r="L26" s="4">
        <v>2.2599999999999999E-2</v>
      </c>
      <c r="M26" s="4">
        <v>1.8799999999999997E-2</v>
      </c>
      <c r="N26" s="6">
        <f t="shared" si="0"/>
        <v>2.7400130624999998E-2</v>
      </c>
      <c r="O26" s="6">
        <f t="shared" si="1"/>
        <v>3.1303726708074534E-2</v>
      </c>
      <c r="P26" s="21">
        <f t="shared" si="2"/>
        <v>1.6811071142062865E-5</v>
      </c>
      <c r="Q26">
        <f t="shared" si="3"/>
        <v>17.59712714592273</v>
      </c>
    </row>
    <row r="27" spans="1:28" x14ac:dyDescent="0.15">
      <c r="A27" s="3">
        <v>22647</v>
      </c>
      <c r="B27" s="4">
        <v>2.1499999999999998E-2</v>
      </c>
      <c r="C27" s="4">
        <v>2.3300000000000001E-2</v>
      </c>
      <c r="D27" s="4">
        <v>2.6099999999999998E-2</v>
      </c>
      <c r="E27" s="4">
        <v>2.2599999999999999E-2</v>
      </c>
      <c r="I27" s="3">
        <v>22647</v>
      </c>
      <c r="J27" s="4">
        <v>2.1499999999999998E-2</v>
      </c>
      <c r="K27" s="4">
        <v>2.3300000000000001E-2</v>
      </c>
      <c r="L27" s="4">
        <v>2.6099999999999998E-2</v>
      </c>
      <c r="M27" s="4">
        <v>2.2599999999999999E-2</v>
      </c>
      <c r="N27" s="6">
        <f t="shared" si="0"/>
        <v>2.1823398977000003E-2</v>
      </c>
      <c r="O27" s="6">
        <f t="shared" si="1"/>
        <v>3.3103726708074536E-2</v>
      </c>
      <c r="P27" s="21">
        <f t="shared" si="2"/>
        <v>1.0458689832464928E-7</v>
      </c>
      <c r="Q27">
        <f t="shared" si="3"/>
        <v>1.5041812883721128</v>
      </c>
    </row>
    <row r="28" spans="1:28" x14ac:dyDescent="0.15">
      <c r="A28" s="3">
        <v>22678</v>
      </c>
      <c r="B28" s="4">
        <v>2.3700000000000002E-2</v>
      </c>
      <c r="C28" s="4">
        <v>2.1499999999999998E-2</v>
      </c>
      <c r="D28" s="4">
        <v>2.3300000000000001E-2</v>
      </c>
      <c r="E28" s="4">
        <v>2.6099999999999998E-2</v>
      </c>
      <c r="I28" s="3">
        <v>22678</v>
      </c>
      <c r="J28" s="4">
        <v>2.3700000000000002E-2</v>
      </c>
      <c r="K28" s="4">
        <v>2.1499999999999998E-2</v>
      </c>
      <c r="L28" s="4">
        <v>2.3300000000000001E-2</v>
      </c>
      <c r="M28" s="4">
        <v>2.6099999999999998E-2</v>
      </c>
      <c r="N28" s="6">
        <f t="shared" si="0"/>
        <v>2.1495301410999999E-2</v>
      </c>
      <c r="O28" s="6">
        <f t="shared" si="1"/>
        <v>3.0903726708074532E-2</v>
      </c>
      <c r="P28" s="21">
        <f t="shared" si="2"/>
        <v>4.8606958683386045E-6</v>
      </c>
      <c r="Q28">
        <f t="shared" si="3"/>
        <v>9.3025256919831332</v>
      </c>
    </row>
    <row r="29" spans="1:28" x14ac:dyDescent="0.15">
      <c r="A29" s="3">
        <v>22706</v>
      </c>
      <c r="B29" s="4">
        <v>2.8500000000000001E-2</v>
      </c>
      <c r="C29" s="4">
        <v>2.3700000000000002E-2</v>
      </c>
      <c r="D29" s="4">
        <v>2.1499999999999998E-2</v>
      </c>
      <c r="E29" s="4">
        <v>2.3300000000000001E-2</v>
      </c>
      <c r="I29" s="3">
        <v>22706</v>
      </c>
      <c r="J29" s="4">
        <v>2.8500000000000001E-2</v>
      </c>
      <c r="K29" s="4">
        <v>2.3700000000000002E-2</v>
      </c>
      <c r="L29" s="4">
        <v>2.1499999999999998E-2</v>
      </c>
      <c r="M29" s="4">
        <v>2.3300000000000001E-2</v>
      </c>
      <c r="N29" s="6">
        <f t="shared" si="0"/>
        <v>2.5325119177000005E-2</v>
      </c>
      <c r="O29" s="6">
        <f t="shared" si="1"/>
        <v>2.6103726708074534E-2</v>
      </c>
      <c r="P29" s="21">
        <f t="shared" si="2"/>
        <v>1.0079868240253132E-5</v>
      </c>
      <c r="Q29">
        <f t="shared" si="3"/>
        <v>11.139932712280686</v>
      </c>
    </row>
    <row r="30" spans="1:28" x14ac:dyDescent="0.15">
      <c r="A30" s="3">
        <v>22737</v>
      </c>
      <c r="B30" s="4">
        <v>2.7799999999999998E-2</v>
      </c>
      <c r="C30" s="4">
        <v>2.8500000000000001E-2</v>
      </c>
      <c r="D30" s="4">
        <v>2.3700000000000002E-2</v>
      </c>
      <c r="E30" s="4">
        <v>2.1499999999999998E-2</v>
      </c>
      <c r="I30" s="3">
        <v>22737</v>
      </c>
      <c r="J30" s="4">
        <v>2.7799999999999998E-2</v>
      </c>
      <c r="K30" s="4">
        <v>2.8500000000000001E-2</v>
      </c>
      <c r="L30" s="4">
        <v>2.3700000000000002E-2</v>
      </c>
      <c r="M30" s="4">
        <v>2.1499999999999998E-2</v>
      </c>
      <c r="N30" s="6">
        <f t="shared" si="0"/>
        <v>3.0613274584999999E-2</v>
      </c>
      <c r="O30" s="6">
        <f t="shared" si="1"/>
        <v>2.6803726708074536E-2</v>
      </c>
      <c r="P30" s="21">
        <f t="shared" si="2"/>
        <v>7.9145138906069266E-6</v>
      </c>
      <c r="Q30">
        <f t="shared" si="3"/>
        <v>10.119692751798565</v>
      </c>
      <c r="T30" s="2" t="s">
        <v>48</v>
      </c>
    </row>
    <row r="31" spans="1:28" x14ac:dyDescent="0.15">
      <c r="A31" s="3">
        <v>22767</v>
      </c>
      <c r="B31" s="4">
        <v>2.3599999999999999E-2</v>
      </c>
      <c r="C31" s="4">
        <v>2.7799999999999998E-2</v>
      </c>
      <c r="D31" s="4">
        <v>2.8500000000000001E-2</v>
      </c>
      <c r="E31" s="4">
        <v>2.3700000000000002E-2</v>
      </c>
      <c r="I31" s="3">
        <v>22767</v>
      </c>
      <c r="J31" s="4">
        <v>2.3599999999999999E-2</v>
      </c>
      <c r="K31" s="4">
        <v>2.7799999999999998E-2</v>
      </c>
      <c r="L31" s="4">
        <v>2.8500000000000001E-2</v>
      </c>
      <c r="M31" s="4">
        <v>2.3700000000000002E-2</v>
      </c>
      <c r="N31" s="6">
        <f t="shared" si="0"/>
        <v>2.7015176797999998E-2</v>
      </c>
      <c r="O31" s="6">
        <f t="shared" si="1"/>
        <v>3.1003726708074535E-2</v>
      </c>
      <c r="P31" s="21">
        <f t="shared" si="2"/>
        <v>1.1663432561597521E-5</v>
      </c>
      <c r="Q31">
        <f t="shared" si="3"/>
        <v>14.471088127118637</v>
      </c>
    </row>
    <row r="32" spans="1:28" x14ac:dyDescent="0.15">
      <c r="A32" s="3">
        <v>22798</v>
      </c>
      <c r="B32" s="4">
        <v>2.6800000000000001E-2</v>
      </c>
      <c r="C32" s="4">
        <v>2.3599999999999999E-2</v>
      </c>
      <c r="D32" s="4">
        <v>2.7799999999999998E-2</v>
      </c>
      <c r="E32" s="4">
        <v>2.8500000000000001E-2</v>
      </c>
      <c r="I32" s="3">
        <v>22798</v>
      </c>
      <c r="J32" s="4">
        <v>2.6800000000000001E-2</v>
      </c>
      <c r="K32" s="4">
        <v>2.3599999999999999E-2</v>
      </c>
      <c r="L32" s="4">
        <v>2.7799999999999998E-2</v>
      </c>
      <c r="M32" s="4">
        <v>2.8500000000000001E-2</v>
      </c>
      <c r="N32" s="6">
        <f t="shared" si="0"/>
        <v>2.2148314311999998E-2</v>
      </c>
      <c r="O32" s="6">
        <f t="shared" si="1"/>
        <v>2.7803726708074534E-2</v>
      </c>
      <c r="P32" s="21">
        <f t="shared" si="2"/>
        <v>2.1638179739944064E-5</v>
      </c>
      <c r="Q32">
        <f t="shared" si="3"/>
        <v>17.357036149253744</v>
      </c>
      <c r="T32" s="2" t="s">
        <v>5</v>
      </c>
      <c r="U32" s="19">
        <f>AVERAGE(J6:J649)</f>
        <v>5.4603726708074535E-2</v>
      </c>
    </row>
    <row r="33" spans="1:21" x14ac:dyDescent="0.15">
      <c r="A33" s="3">
        <v>22828</v>
      </c>
      <c r="B33" s="4">
        <v>2.7099999999999999E-2</v>
      </c>
      <c r="C33" s="4">
        <v>2.6800000000000001E-2</v>
      </c>
      <c r="D33" s="4">
        <v>2.3599999999999999E-2</v>
      </c>
      <c r="E33" s="4">
        <v>2.7799999999999998E-2</v>
      </c>
      <c r="I33" s="3">
        <v>22828</v>
      </c>
      <c r="J33" s="4">
        <v>2.7099999999999999E-2</v>
      </c>
      <c r="K33" s="4">
        <v>2.6800000000000001E-2</v>
      </c>
      <c r="L33" s="4">
        <v>2.3599999999999999E-2</v>
      </c>
      <c r="M33" s="4">
        <v>2.7799999999999998E-2</v>
      </c>
      <c r="N33" s="6">
        <f t="shared" si="0"/>
        <v>2.9219932564000003E-2</v>
      </c>
      <c r="O33" s="6">
        <f t="shared" si="1"/>
        <v>2.7503726708074536E-2</v>
      </c>
      <c r="P33" s="21">
        <f t="shared" si="2"/>
        <v>4.4941140759076324E-6</v>
      </c>
      <c r="Q33">
        <f t="shared" si="3"/>
        <v>7.8226293874538912</v>
      </c>
      <c r="T33" s="2" t="s">
        <v>50</v>
      </c>
      <c r="U33" s="19">
        <f>AVERAGE(O6:O649)</f>
        <v>2.6682438949114613E-2</v>
      </c>
    </row>
    <row r="34" spans="1:21" x14ac:dyDescent="0.15">
      <c r="A34" s="3">
        <v>22859</v>
      </c>
      <c r="B34" s="4">
        <v>2.9300000000000003E-2</v>
      </c>
      <c r="C34" s="4">
        <v>2.7099999999999999E-2</v>
      </c>
      <c r="D34" s="4">
        <v>2.6800000000000001E-2</v>
      </c>
      <c r="E34" s="4">
        <v>2.3599999999999999E-2</v>
      </c>
      <c r="I34" s="3">
        <v>22859</v>
      </c>
      <c r="J34" s="4">
        <v>2.9300000000000003E-2</v>
      </c>
      <c r="K34" s="4">
        <v>2.7099999999999999E-2</v>
      </c>
      <c r="L34" s="4">
        <v>2.6800000000000001E-2</v>
      </c>
      <c r="M34" s="4">
        <v>2.3599999999999999E-2</v>
      </c>
      <c r="N34" s="6">
        <f t="shared" si="0"/>
        <v>2.7030527402999993E-2</v>
      </c>
      <c r="O34" s="6">
        <f t="shared" si="1"/>
        <v>2.5303726708074532E-2</v>
      </c>
      <c r="P34" s="21">
        <f t="shared" si="2"/>
        <v>5.1505058685339702E-6</v>
      </c>
      <c r="Q34">
        <f t="shared" si="3"/>
        <v>7.745640262798668</v>
      </c>
      <c r="T34" s="2" t="s">
        <v>11</v>
      </c>
      <c r="U34" s="20">
        <f>AVERAGE(P6:P649)</f>
        <v>2.4108026883031629E-5</v>
      </c>
    </row>
    <row r="35" spans="1:21" x14ac:dyDescent="0.15">
      <c r="A35" s="3">
        <v>22890</v>
      </c>
      <c r="B35" s="4">
        <v>2.8999999999999998E-2</v>
      </c>
      <c r="C35" s="4">
        <v>2.9300000000000003E-2</v>
      </c>
      <c r="D35" s="4">
        <v>2.7099999999999999E-2</v>
      </c>
      <c r="E35" s="4">
        <v>2.6800000000000001E-2</v>
      </c>
      <c r="I35" s="3">
        <v>22890</v>
      </c>
      <c r="J35" s="4">
        <v>2.8999999999999998E-2</v>
      </c>
      <c r="K35" s="4">
        <v>2.9300000000000003E-2</v>
      </c>
      <c r="L35" s="4">
        <v>2.7099999999999999E-2</v>
      </c>
      <c r="M35" s="4">
        <v>2.6800000000000001E-2</v>
      </c>
      <c r="N35" s="6">
        <f t="shared" si="0"/>
        <v>3.0523906029000007E-2</v>
      </c>
      <c r="O35" s="6">
        <f t="shared" si="1"/>
        <v>2.5603726708074537E-2</v>
      </c>
      <c r="P35" s="21">
        <f t="shared" si="2"/>
        <v>2.322289585222577E-6</v>
      </c>
      <c r="Q35">
        <f t="shared" si="3"/>
        <v>5.2548483758621014</v>
      </c>
      <c r="T35" s="2" t="s">
        <v>8</v>
      </c>
      <c r="U35" s="6">
        <f>SQRT(U34)</f>
        <v>4.9099925542745613E-3</v>
      </c>
    </row>
    <row r="36" spans="1:21" x14ac:dyDescent="0.15">
      <c r="A36" s="3">
        <v>22920</v>
      </c>
      <c r="B36" s="4">
        <v>2.8999999999999998E-2</v>
      </c>
      <c r="C36" s="4">
        <v>2.8999999999999998E-2</v>
      </c>
      <c r="D36" s="4">
        <v>2.9300000000000003E-2</v>
      </c>
      <c r="E36" s="4">
        <v>2.7099999999999999E-2</v>
      </c>
      <c r="I36" s="3">
        <v>22920</v>
      </c>
      <c r="J36" s="4">
        <v>2.8999999999999998E-2</v>
      </c>
      <c r="K36" s="4">
        <v>2.8999999999999998E-2</v>
      </c>
      <c r="L36" s="4">
        <v>2.9300000000000003E-2</v>
      </c>
      <c r="M36" s="4">
        <v>2.7099999999999999E-2</v>
      </c>
      <c r="N36" s="6">
        <f t="shared" si="0"/>
        <v>2.8792838145999994E-2</v>
      </c>
      <c r="O36" s="6">
        <f t="shared" si="1"/>
        <v>2.5603726708074537E-2</v>
      </c>
      <c r="P36" s="21">
        <f t="shared" si="2"/>
        <v>4.2916033752718766E-8</v>
      </c>
      <c r="Q36">
        <f t="shared" si="3"/>
        <v>0.71435122068966728</v>
      </c>
      <c r="T36" s="2" t="s">
        <v>13</v>
      </c>
      <c r="U36" s="22">
        <f>AVERAGE(Q6:Q649)</f>
        <v>9.4096019122281884</v>
      </c>
    </row>
    <row r="37" spans="1:21" x14ac:dyDescent="0.15">
      <c r="A37" s="3">
        <v>22951</v>
      </c>
      <c r="B37" s="4">
        <v>2.9399999999999999E-2</v>
      </c>
      <c r="C37" s="4">
        <v>2.8999999999999998E-2</v>
      </c>
      <c r="D37" s="4">
        <v>2.8999999999999998E-2</v>
      </c>
      <c r="E37" s="4">
        <v>2.9300000000000003E-2</v>
      </c>
      <c r="I37" s="3">
        <v>22951</v>
      </c>
      <c r="J37" s="4">
        <v>2.9399999999999999E-2</v>
      </c>
      <c r="K37" s="4">
        <v>2.8999999999999998E-2</v>
      </c>
      <c r="L37" s="4">
        <v>2.8999999999999998E-2</v>
      </c>
      <c r="M37" s="4">
        <v>2.9300000000000003E-2</v>
      </c>
      <c r="N37" s="6">
        <f t="shared" si="0"/>
        <v>2.9324155558000001E-2</v>
      </c>
      <c r="O37" s="6">
        <f t="shared" si="1"/>
        <v>2.5203726708074536E-2</v>
      </c>
      <c r="P37" s="21">
        <f t="shared" si="2"/>
        <v>5.7523793822910038E-9</v>
      </c>
      <c r="Q37">
        <f t="shared" si="3"/>
        <v>0.25797429251699872</v>
      </c>
    </row>
    <row r="38" spans="1:21" x14ac:dyDescent="0.15">
      <c r="A38" s="3">
        <v>22981</v>
      </c>
      <c r="B38" s="4">
        <v>2.9300000000000003E-2</v>
      </c>
      <c r="C38" s="4">
        <v>2.9399999999999999E-2</v>
      </c>
      <c r="D38" s="4">
        <v>2.8999999999999998E-2</v>
      </c>
      <c r="E38" s="4">
        <v>2.8999999999999998E-2</v>
      </c>
      <c r="I38" s="3">
        <v>22981</v>
      </c>
      <c r="J38" s="4">
        <v>2.9300000000000003E-2</v>
      </c>
      <c r="K38" s="4">
        <v>2.9399999999999999E-2</v>
      </c>
      <c r="L38" s="4">
        <v>2.8999999999999998E-2</v>
      </c>
      <c r="M38" s="4">
        <v>2.8999999999999998E-2</v>
      </c>
      <c r="N38" s="6">
        <f t="shared" si="0"/>
        <v>2.9853296398000002E-2</v>
      </c>
      <c r="O38" s="6">
        <f t="shared" si="1"/>
        <v>2.5303726708074532E-2</v>
      </c>
      <c r="P38" s="21">
        <f t="shared" si="2"/>
        <v>3.061369040397736E-7</v>
      </c>
      <c r="Q38">
        <f t="shared" si="3"/>
        <v>1.8883836109214989</v>
      </c>
      <c r="T38" s="2" t="s">
        <v>54</v>
      </c>
    </row>
    <row r="39" spans="1:21" x14ac:dyDescent="0.15">
      <c r="A39" s="3">
        <v>23012</v>
      </c>
      <c r="B39" s="4">
        <v>2.92E-2</v>
      </c>
      <c r="C39" s="4">
        <v>2.9300000000000003E-2</v>
      </c>
      <c r="D39" s="4">
        <v>2.9399999999999999E-2</v>
      </c>
      <c r="E39" s="4">
        <v>2.8999999999999998E-2</v>
      </c>
      <c r="I39" s="3">
        <v>23012</v>
      </c>
      <c r="J39" s="4">
        <v>2.92E-2</v>
      </c>
      <c r="K39" s="4">
        <v>2.9300000000000003E-2</v>
      </c>
      <c r="L39" s="4">
        <v>2.9399999999999999E-2</v>
      </c>
      <c r="M39" s="4">
        <v>2.8999999999999998E-2</v>
      </c>
      <c r="N39" s="6">
        <f t="shared" si="0"/>
        <v>2.9464416041000009E-2</v>
      </c>
      <c r="O39" s="6">
        <f t="shared" si="1"/>
        <v>2.5403726708074535E-2</v>
      </c>
      <c r="P39" s="21">
        <f t="shared" si="2"/>
        <v>6.9915842738118392E-8</v>
      </c>
      <c r="Q39">
        <f t="shared" si="3"/>
        <v>0.90553438698633193</v>
      </c>
    </row>
    <row r="40" spans="1:21" x14ac:dyDescent="0.15">
      <c r="A40" s="3">
        <v>23043</v>
      </c>
      <c r="B40" s="4">
        <v>0.03</v>
      </c>
      <c r="C40" s="4">
        <v>2.92E-2</v>
      </c>
      <c r="D40" s="4">
        <v>2.9300000000000003E-2</v>
      </c>
      <c r="E40" s="4">
        <v>2.9399999999999999E-2</v>
      </c>
      <c r="I40" s="3">
        <v>23043</v>
      </c>
      <c r="J40" s="4">
        <v>0.03</v>
      </c>
      <c r="K40" s="4">
        <v>2.92E-2</v>
      </c>
      <c r="L40" s="4">
        <v>2.9300000000000003E-2</v>
      </c>
      <c r="M40" s="4">
        <v>2.9399999999999999E-2</v>
      </c>
      <c r="N40" s="6">
        <f t="shared" si="0"/>
        <v>2.9444689768E-2</v>
      </c>
      <c r="O40" s="6">
        <f t="shared" si="1"/>
        <v>2.4603726708074536E-2</v>
      </c>
      <c r="P40" s="21">
        <f t="shared" si="2"/>
        <v>3.0836945376389262E-7</v>
      </c>
      <c r="Q40">
        <f t="shared" si="3"/>
        <v>1.8510341066666629</v>
      </c>
    </row>
    <row r="41" spans="1:21" x14ac:dyDescent="0.15">
      <c r="A41" s="3">
        <v>23071</v>
      </c>
      <c r="B41" s="4">
        <v>2.98E-2</v>
      </c>
      <c r="C41" s="4">
        <v>0.03</v>
      </c>
      <c r="D41" s="4">
        <v>2.92E-2</v>
      </c>
      <c r="E41" s="4">
        <v>2.9300000000000003E-2</v>
      </c>
      <c r="I41" s="3">
        <v>23071</v>
      </c>
      <c r="J41" s="4">
        <v>2.98E-2</v>
      </c>
      <c r="K41" s="4">
        <v>0.03</v>
      </c>
      <c r="L41" s="4">
        <v>2.92E-2</v>
      </c>
      <c r="M41" s="4">
        <v>2.9300000000000003E-2</v>
      </c>
      <c r="N41" s="6">
        <f t="shared" si="0"/>
        <v>3.0643193327999998E-2</v>
      </c>
      <c r="O41" s="6">
        <f t="shared" si="1"/>
        <v>2.4803726708074535E-2</v>
      </c>
      <c r="P41" s="21">
        <f t="shared" si="2"/>
        <v>7.109749883837117E-7</v>
      </c>
      <c r="Q41">
        <f t="shared" si="3"/>
        <v>2.829507812080529</v>
      </c>
    </row>
    <row r="42" spans="1:21" x14ac:dyDescent="0.15">
      <c r="A42" s="3">
        <v>23102</v>
      </c>
      <c r="B42" s="4">
        <v>2.8999999999999998E-2</v>
      </c>
      <c r="C42" s="4">
        <v>2.98E-2</v>
      </c>
      <c r="D42" s="4">
        <v>0.03</v>
      </c>
      <c r="E42" s="4">
        <v>2.92E-2</v>
      </c>
      <c r="I42" s="3">
        <v>23102</v>
      </c>
      <c r="J42" s="4">
        <v>2.8999999999999998E-2</v>
      </c>
      <c r="K42" s="4">
        <v>2.98E-2</v>
      </c>
      <c r="L42" s="4">
        <v>0.03</v>
      </c>
      <c r="M42" s="4">
        <v>2.92E-2</v>
      </c>
      <c r="N42" s="6">
        <f t="shared" si="0"/>
        <v>2.9849625218000001E-2</v>
      </c>
      <c r="O42" s="6">
        <f t="shared" si="1"/>
        <v>2.5603726708074537E-2</v>
      </c>
      <c r="P42" s="21">
        <f t="shared" si="2"/>
        <v>7.2186301106155293E-7</v>
      </c>
      <c r="Q42">
        <f t="shared" si="3"/>
        <v>2.929742131034494</v>
      </c>
    </row>
    <row r="43" spans="1:21" x14ac:dyDescent="0.15">
      <c r="A43" s="3">
        <v>23132</v>
      </c>
      <c r="B43" s="4">
        <v>0.03</v>
      </c>
      <c r="C43" s="4">
        <v>2.8999999999999998E-2</v>
      </c>
      <c r="D43" s="4">
        <v>2.98E-2</v>
      </c>
      <c r="E43" s="4">
        <v>0.03</v>
      </c>
      <c r="I43" s="3">
        <v>23132</v>
      </c>
      <c r="J43" s="4">
        <v>0.03</v>
      </c>
      <c r="K43" s="4">
        <v>2.8999999999999998E-2</v>
      </c>
      <c r="L43" s="4">
        <v>2.98E-2</v>
      </c>
      <c r="M43" s="4">
        <v>0.03</v>
      </c>
      <c r="N43" s="6">
        <f t="shared" si="0"/>
        <v>2.894532813E-2</v>
      </c>
      <c r="O43" s="6">
        <f t="shared" si="1"/>
        <v>2.4603726708074536E-2</v>
      </c>
      <c r="P43" s="21">
        <f t="shared" si="2"/>
        <v>1.1123327533692952E-6</v>
      </c>
      <c r="Q43">
        <f t="shared" si="3"/>
        <v>3.5155728999999978</v>
      </c>
    </row>
    <row r="44" spans="1:21" x14ac:dyDescent="0.15">
      <c r="A44" s="3">
        <v>23163</v>
      </c>
      <c r="B44" s="4">
        <v>2.9900000000000003E-2</v>
      </c>
      <c r="C44" s="4">
        <v>0.03</v>
      </c>
      <c r="D44" s="4">
        <v>2.8999999999999998E-2</v>
      </c>
      <c r="E44" s="4">
        <v>2.98E-2</v>
      </c>
      <c r="I44" s="3">
        <v>23163</v>
      </c>
      <c r="J44" s="4">
        <v>2.9900000000000003E-2</v>
      </c>
      <c r="K44" s="4">
        <v>0.03</v>
      </c>
      <c r="L44" s="4">
        <v>2.8999999999999998E-2</v>
      </c>
      <c r="M44" s="4">
        <v>2.98E-2</v>
      </c>
      <c r="N44" s="6">
        <f t="shared" si="0"/>
        <v>3.0844600107999998E-2</v>
      </c>
      <c r="O44" s="6">
        <f t="shared" si="1"/>
        <v>2.4703726708074532E-2</v>
      </c>
      <c r="P44" s="21">
        <f t="shared" si="2"/>
        <v>8.9226936403360154E-7</v>
      </c>
      <c r="Q44">
        <f t="shared" si="3"/>
        <v>3.1591976856187109</v>
      </c>
    </row>
    <row r="45" spans="1:21" x14ac:dyDescent="0.15">
      <c r="A45" s="3">
        <v>23193</v>
      </c>
      <c r="B45" s="4">
        <v>3.0200000000000001E-2</v>
      </c>
      <c r="C45" s="4">
        <v>2.9900000000000003E-2</v>
      </c>
      <c r="D45" s="4">
        <v>0.03</v>
      </c>
      <c r="E45" s="4">
        <v>2.8999999999999998E-2</v>
      </c>
      <c r="I45" s="3">
        <v>23193</v>
      </c>
      <c r="J45" s="4">
        <v>3.0200000000000001E-2</v>
      </c>
      <c r="K45" s="4">
        <v>2.9900000000000003E-2</v>
      </c>
      <c r="L45" s="4">
        <v>0.03</v>
      </c>
      <c r="M45" s="4">
        <v>2.8999999999999998E-2</v>
      </c>
      <c r="N45" s="6">
        <f t="shared" si="0"/>
        <v>2.9962151183000003E-2</v>
      </c>
      <c r="O45" s="6">
        <f t="shared" si="1"/>
        <v>2.4403726708074534E-2</v>
      </c>
      <c r="P45" s="21">
        <f t="shared" si="2"/>
        <v>5.6572059748298414E-8</v>
      </c>
      <c r="Q45">
        <f t="shared" si="3"/>
        <v>0.78757886423840318</v>
      </c>
    </row>
    <row r="46" spans="1:21" x14ac:dyDescent="0.15">
      <c r="A46" s="3">
        <v>23224</v>
      </c>
      <c r="B46" s="4">
        <v>3.49E-2</v>
      </c>
      <c r="C46" s="4">
        <v>3.0200000000000001E-2</v>
      </c>
      <c r="D46" s="4">
        <v>2.9900000000000003E-2</v>
      </c>
      <c r="E46" s="4">
        <v>0.03</v>
      </c>
      <c r="I46" s="3">
        <v>23224</v>
      </c>
      <c r="J46" s="4">
        <v>3.49E-2</v>
      </c>
      <c r="K46" s="4">
        <v>3.0200000000000001E-2</v>
      </c>
      <c r="L46" s="4">
        <v>2.9900000000000003E-2</v>
      </c>
      <c r="M46" s="4">
        <v>0.03</v>
      </c>
      <c r="N46" s="6">
        <f t="shared" si="0"/>
        <v>3.0613832313999997E-2</v>
      </c>
      <c r="O46" s="6">
        <f t="shared" si="1"/>
        <v>1.9703726708074534E-2</v>
      </c>
      <c r="P46" s="21">
        <f t="shared" si="2"/>
        <v>1.8371233432510627E-5</v>
      </c>
      <c r="Q46">
        <f t="shared" si="3"/>
        <v>12.281282767908321</v>
      </c>
    </row>
    <row r="47" spans="1:21" x14ac:dyDescent="0.15">
      <c r="A47" s="3">
        <v>23255</v>
      </c>
      <c r="B47" s="4">
        <v>3.4799999999999998E-2</v>
      </c>
      <c r="C47" s="4">
        <v>3.49E-2</v>
      </c>
      <c r="D47" s="4">
        <v>3.0200000000000001E-2</v>
      </c>
      <c r="E47" s="4">
        <v>2.9900000000000003E-2</v>
      </c>
      <c r="I47" s="3">
        <v>23255</v>
      </c>
      <c r="J47" s="4">
        <v>3.4799999999999998E-2</v>
      </c>
      <c r="K47" s="4">
        <v>3.49E-2</v>
      </c>
      <c r="L47" s="4">
        <v>3.0200000000000001E-2</v>
      </c>
      <c r="M47" s="4">
        <v>2.9900000000000003E-2</v>
      </c>
      <c r="N47" s="6">
        <f t="shared" si="0"/>
        <v>3.7189085796999997E-2</v>
      </c>
      <c r="O47" s="6">
        <f t="shared" si="1"/>
        <v>1.9803726708074537E-2</v>
      </c>
      <c r="P47" s="21">
        <f t="shared" si="2"/>
        <v>5.7077309454271243E-6</v>
      </c>
      <c r="Q47">
        <f t="shared" si="3"/>
        <v>6.8651890718390796</v>
      </c>
    </row>
    <row r="48" spans="1:21" x14ac:dyDescent="0.15">
      <c r="A48" s="3">
        <v>23285</v>
      </c>
      <c r="B48" s="4">
        <v>3.5000000000000003E-2</v>
      </c>
      <c r="C48" s="4">
        <v>3.4799999999999998E-2</v>
      </c>
      <c r="D48" s="4">
        <v>3.49E-2</v>
      </c>
      <c r="E48" s="4">
        <v>3.0200000000000001E-2</v>
      </c>
      <c r="I48" s="3">
        <v>23285</v>
      </c>
      <c r="J48" s="4">
        <v>3.5000000000000003E-2</v>
      </c>
      <c r="K48" s="4">
        <v>3.4799999999999998E-2</v>
      </c>
      <c r="L48" s="4">
        <v>3.49E-2</v>
      </c>
      <c r="M48" s="4">
        <v>3.0200000000000001E-2</v>
      </c>
      <c r="N48" s="6">
        <f t="shared" si="0"/>
        <v>3.4216676927999991E-2</v>
      </c>
      <c r="O48" s="6">
        <f t="shared" si="1"/>
        <v>1.9603726708074531E-2</v>
      </c>
      <c r="P48" s="21">
        <f t="shared" si="2"/>
        <v>6.1359503512753683E-7</v>
      </c>
      <c r="Q48">
        <f t="shared" si="3"/>
        <v>2.2380659200000359</v>
      </c>
    </row>
    <row r="49" spans="1:17" x14ac:dyDescent="0.15">
      <c r="A49" s="3">
        <v>23316</v>
      </c>
      <c r="B49" s="4">
        <v>3.4799999999999998E-2</v>
      </c>
      <c r="C49" s="4">
        <v>3.5000000000000003E-2</v>
      </c>
      <c r="D49" s="4">
        <v>3.4799999999999998E-2</v>
      </c>
      <c r="E49" s="4">
        <v>3.49E-2</v>
      </c>
      <c r="I49" s="3">
        <v>23316</v>
      </c>
      <c r="J49" s="4">
        <v>3.4799999999999998E-2</v>
      </c>
      <c r="K49" s="4">
        <v>3.5000000000000003E-2</v>
      </c>
      <c r="L49" s="4">
        <v>3.4799999999999998E-2</v>
      </c>
      <c r="M49" s="4">
        <v>3.49E-2</v>
      </c>
      <c r="N49" s="6">
        <f t="shared" si="0"/>
        <v>3.5309090954000005E-2</v>
      </c>
      <c r="O49" s="6">
        <f t="shared" si="1"/>
        <v>1.9803726708074537E-2</v>
      </c>
      <c r="P49" s="21">
        <f t="shared" si="2"/>
        <v>2.5917359944463797E-7</v>
      </c>
      <c r="Q49">
        <f t="shared" si="3"/>
        <v>1.4629050402299073</v>
      </c>
    </row>
    <row r="50" spans="1:17" x14ac:dyDescent="0.15">
      <c r="A50" s="3">
        <v>23346</v>
      </c>
      <c r="B50" s="4">
        <v>3.3799999999999997E-2</v>
      </c>
      <c r="C50" s="4">
        <v>3.4799999999999998E-2</v>
      </c>
      <c r="D50" s="4">
        <v>3.5000000000000003E-2</v>
      </c>
      <c r="E50" s="4">
        <v>3.4799999999999998E-2</v>
      </c>
      <c r="I50" s="3">
        <v>23346</v>
      </c>
      <c r="J50" s="4">
        <v>3.3799999999999997E-2</v>
      </c>
      <c r="K50" s="4">
        <v>3.4799999999999998E-2</v>
      </c>
      <c r="L50" s="4">
        <v>3.5000000000000003E-2</v>
      </c>
      <c r="M50" s="4">
        <v>3.4799999999999998E-2</v>
      </c>
      <c r="N50" s="6">
        <f t="shared" si="0"/>
        <v>3.4882632243999991E-2</v>
      </c>
      <c r="O50" s="6">
        <f t="shared" si="1"/>
        <v>2.0803726708074538E-2</v>
      </c>
      <c r="P50" s="21">
        <f t="shared" si="2"/>
        <v>1.1720925757484623E-6</v>
      </c>
      <c r="Q50">
        <f t="shared" si="3"/>
        <v>3.203053976331343</v>
      </c>
    </row>
    <row r="51" spans="1:17" x14ac:dyDescent="0.15">
      <c r="A51" s="3">
        <v>23377</v>
      </c>
      <c r="B51" s="4">
        <v>3.4799999999999998E-2</v>
      </c>
      <c r="C51" s="4">
        <v>3.3799999999999997E-2</v>
      </c>
      <c r="D51" s="4">
        <v>3.4799999999999998E-2</v>
      </c>
      <c r="E51" s="4">
        <v>3.5000000000000003E-2</v>
      </c>
      <c r="I51" s="3">
        <v>23377</v>
      </c>
      <c r="J51" s="4">
        <v>3.4799999999999998E-2</v>
      </c>
      <c r="K51" s="4">
        <v>3.3799999999999997E-2</v>
      </c>
      <c r="L51" s="4">
        <v>3.4799999999999998E-2</v>
      </c>
      <c r="M51" s="4">
        <v>3.5000000000000003E-2</v>
      </c>
      <c r="N51" s="6">
        <f t="shared" si="0"/>
        <v>3.3595209266000001E-2</v>
      </c>
      <c r="O51" s="6">
        <f t="shared" si="1"/>
        <v>1.9803726708074537E-2</v>
      </c>
      <c r="P51" s="21">
        <f t="shared" si="2"/>
        <v>1.4515207127322513E-6</v>
      </c>
      <c r="Q51">
        <f t="shared" si="3"/>
        <v>3.4620423390804511</v>
      </c>
    </row>
    <row r="52" spans="1:17" x14ac:dyDescent="0.15">
      <c r="A52" s="3">
        <v>23408</v>
      </c>
      <c r="B52" s="4">
        <v>3.4799999999999998E-2</v>
      </c>
      <c r="C52" s="4">
        <v>3.4799999999999998E-2</v>
      </c>
      <c r="D52" s="4">
        <v>3.3799999999999997E-2</v>
      </c>
      <c r="E52" s="4">
        <v>3.4799999999999998E-2</v>
      </c>
      <c r="I52" s="3">
        <v>23408</v>
      </c>
      <c r="J52" s="4">
        <v>3.4799999999999998E-2</v>
      </c>
      <c r="K52" s="4">
        <v>3.4799999999999998E-2</v>
      </c>
      <c r="L52" s="4">
        <v>3.3799999999999997E-2</v>
      </c>
      <c r="M52" s="4">
        <v>3.4799999999999998E-2</v>
      </c>
      <c r="N52" s="6">
        <f t="shared" si="0"/>
        <v>3.5616851043999996E-2</v>
      </c>
      <c r="O52" s="6">
        <f t="shared" si="1"/>
        <v>1.9803726708074537E-2</v>
      </c>
      <c r="P52" s="21">
        <f t="shared" si="2"/>
        <v>6.6724562808388746E-7</v>
      </c>
      <c r="Q52">
        <f t="shared" si="3"/>
        <v>2.3472731149425248</v>
      </c>
    </row>
    <row r="53" spans="1:17" x14ac:dyDescent="0.15">
      <c r="A53" s="3">
        <v>23437</v>
      </c>
      <c r="B53" s="4">
        <v>3.4300000000000004E-2</v>
      </c>
      <c r="C53" s="4">
        <v>3.4799999999999998E-2</v>
      </c>
      <c r="D53" s="4">
        <v>3.4799999999999998E-2</v>
      </c>
      <c r="E53" s="4">
        <v>3.3799999999999997E-2</v>
      </c>
      <c r="I53" s="3">
        <v>23437</v>
      </c>
      <c r="J53" s="4">
        <v>3.4300000000000004E-2</v>
      </c>
      <c r="K53" s="4">
        <v>3.4799999999999998E-2</v>
      </c>
      <c r="L53" s="4">
        <v>3.4799999999999998E-2</v>
      </c>
      <c r="M53" s="4">
        <v>3.3799999999999997E-2</v>
      </c>
      <c r="N53" s="6">
        <f t="shared" si="0"/>
        <v>3.4846928083999994E-2</v>
      </c>
      <c r="O53" s="6">
        <f t="shared" si="1"/>
        <v>2.0303726708074531E-2</v>
      </c>
      <c r="P53" s="21">
        <f t="shared" si="2"/>
        <v>2.9913032906789968E-7</v>
      </c>
      <c r="Q53">
        <f t="shared" si="3"/>
        <v>1.5945425189504068</v>
      </c>
    </row>
    <row r="54" spans="1:17" x14ac:dyDescent="0.15">
      <c r="A54" s="3">
        <v>23468</v>
      </c>
      <c r="B54" s="4">
        <v>3.4700000000000002E-2</v>
      </c>
      <c r="C54" s="4">
        <v>3.4300000000000004E-2</v>
      </c>
      <c r="D54" s="4">
        <v>3.4799999999999998E-2</v>
      </c>
      <c r="E54" s="4">
        <v>3.4799999999999998E-2</v>
      </c>
      <c r="I54" s="3">
        <v>23468</v>
      </c>
      <c r="J54" s="4">
        <v>3.4700000000000002E-2</v>
      </c>
      <c r="K54" s="4">
        <v>3.4300000000000004E-2</v>
      </c>
      <c r="L54" s="4">
        <v>3.4799999999999998E-2</v>
      </c>
      <c r="M54" s="4">
        <v>3.4799999999999998E-2</v>
      </c>
      <c r="N54" s="6">
        <f t="shared" si="0"/>
        <v>3.4284298259000014E-2</v>
      </c>
      <c r="O54" s="6">
        <f t="shared" si="1"/>
        <v>1.9903726708074533E-2</v>
      </c>
      <c r="P54" s="21">
        <f t="shared" si="2"/>
        <v>1.7280793747042111E-7</v>
      </c>
      <c r="Q54">
        <f t="shared" si="3"/>
        <v>1.1979877262247494</v>
      </c>
    </row>
    <row r="55" spans="1:17" x14ac:dyDescent="0.15">
      <c r="A55" s="3">
        <v>23498</v>
      </c>
      <c r="B55" s="4">
        <v>3.5000000000000003E-2</v>
      </c>
      <c r="C55" s="4">
        <v>3.4700000000000002E-2</v>
      </c>
      <c r="D55" s="4">
        <v>3.4300000000000004E-2</v>
      </c>
      <c r="E55" s="4">
        <v>3.4799999999999998E-2</v>
      </c>
      <c r="I55" s="3">
        <v>23498</v>
      </c>
      <c r="J55" s="4">
        <v>3.5000000000000003E-2</v>
      </c>
      <c r="K55" s="4">
        <v>3.4700000000000002E-2</v>
      </c>
      <c r="L55" s="4">
        <v>3.4300000000000004E-2</v>
      </c>
      <c r="M55" s="4">
        <v>3.4799999999999998E-2</v>
      </c>
      <c r="N55" s="6">
        <f t="shared" si="0"/>
        <v>3.5166785786999999E-2</v>
      </c>
      <c r="O55" s="6">
        <f t="shared" si="1"/>
        <v>1.9603726708074531E-2</v>
      </c>
      <c r="P55" s="21">
        <f t="shared" si="2"/>
        <v>2.7817498745207894E-8</v>
      </c>
      <c r="Q55">
        <f t="shared" si="3"/>
        <v>0.47653081999998725</v>
      </c>
    </row>
    <row r="56" spans="1:17" x14ac:dyDescent="0.15">
      <c r="A56" s="3">
        <v>23529</v>
      </c>
      <c r="B56" s="4">
        <v>3.5000000000000003E-2</v>
      </c>
      <c r="C56" s="4">
        <v>3.5000000000000003E-2</v>
      </c>
      <c r="D56" s="4">
        <v>3.4700000000000002E-2</v>
      </c>
      <c r="E56" s="4">
        <v>3.4300000000000004E-2</v>
      </c>
      <c r="I56" s="3">
        <v>23529</v>
      </c>
      <c r="J56" s="4">
        <v>3.5000000000000003E-2</v>
      </c>
      <c r="K56" s="4">
        <v>3.5000000000000003E-2</v>
      </c>
      <c r="L56" s="4">
        <v>3.4700000000000002E-2</v>
      </c>
      <c r="M56" s="4">
        <v>3.4300000000000004E-2</v>
      </c>
      <c r="N56" s="6">
        <f t="shared" si="0"/>
        <v>3.5275431478000004E-2</v>
      </c>
      <c r="O56" s="6">
        <f t="shared" si="1"/>
        <v>1.9603726708074531E-2</v>
      </c>
      <c r="P56" s="21">
        <f t="shared" si="2"/>
        <v>7.5862499073264636E-8</v>
      </c>
      <c r="Q56">
        <f t="shared" si="3"/>
        <v>0.78694708000000069</v>
      </c>
    </row>
    <row r="57" spans="1:17" x14ac:dyDescent="0.15">
      <c r="A57" s="3">
        <v>23559</v>
      </c>
      <c r="B57" s="4">
        <v>3.4200000000000001E-2</v>
      </c>
      <c r="C57" s="4">
        <v>3.5000000000000003E-2</v>
      </c>
      <c r="D57" s="4">
        <v>3.5000000000000003E-2</v>
      </c>
      <c r="E57" s="4">
        <v>3.4700000000000002E-2</v>
      </c>
      <c r="I57" s="3">
        <v>23559</v>
      </c>
      <c r="J57" s="4">
        <v>3.4200000000000001E-2</v>
      </c>
      <c r="K57" s="4">
        <v>3.5000000000000003E-2</v>
      </c>
      <c r="L57" s="4">
        <v>3.5000000000000003E-2</v>
      </c>
      <c r="M57" s="4">
        <v>3.4700000000000002E-2</v>
      </c>
      <c r="N57" s="6">
        <f t="shared" si="0"/>
        <v>3.5155106362000005E-2</v>
      </c>
      <c r="O57" s="6">
        <f t="shared" si="1"/>
        <v>2.0403726708074534E-2</v>
      </c>
      <c r="P57" s="21">
        <f t="shared" si="2"/>
        <v>9.1222816273288193E-7</v>
      </c>
      <c r="Q57">
        <f t="shared" si="3"/>
        <v>2.7927086608187235</v>
      </c>
    </row>
    <row r="58" spans="1:17" x14ac:dyDescent="0.15">
      <c r="A58" s="3">
        <v>23590</v>
      </c>
      <c r="B58" s="4">
        <v>3.5000000000000003E-2</v>
      </c>
      <c r="C58" s="4">
        <v>3.4200000000000001E-2</v>
      </c>
      <c r="D58" s="4">
        <v>3.5000000000000003E-2</v>
      </c>
      <c r="E58" s="4">
        <v>3.5000000000000003E-2</v>
      </c>
      <c r="I58" s="3">
        <v>23590</v>
      </c>
      <c r="J58" s="4">
        <v>3.5000000000000003E-2</v>
      </c>
      <c r="K58" s="4">
        <v>3.4200000000000001E-2</v>
      </c>
      <c r="L58" s="4">
        <v>3.5000000000000003E-2</v>
      </c>
      <c r="M58" s="4">
        <v>3.5000000000000003E-2</v>
      </c>
      <c r="N58" s="6">
        <f t="shared" si="0"/>
        <v>3.4049402494E-2</v>
      </c>
      <c r="O58" s="6">
        <f t="shared" si="1"/>
        <v>1.9603726708074531E-2</v>
      </c>
      <c r="P58" s="21">
        <f t="shared" si="2"/>
        <v>9.0363561841342624E-7</v>
      </c>
      <c r="Q58">
        <f t="shared" si="3"/>
        <v>2.7159928742857233</v>
      </c>
    </row>
    <row r="59" spans="1:17" x14ac:dyDescent="0.15">
      <c r="A59" s="3">
        <v>23621</v>
      </c>
      <c r="B59" s="4">
        <v>3.4500000000000003E-2</v>
      </c>
      <c r="C59" s="4">
        <v>3.5000000000000003E-2</v>
      </c>
      <c r="D59" s="4">
        <v>3.4200000000000001E-2</v>
      </c>
      <c r="E59" s="4">
        <v>3.5000000000000003E-2</v>
      </c>
      <c r="I59" s="3">
        <v>23621</v>
      </c>
      <c r="J59" s="4">
        <v>3.4500000000000003E-2</v>
      </c>
      <c r="K59" s="4">
        <v>3.5000000000000003E-2</v>
      </c>
      <c r="L59" s="4">
        <v>3.4200000000000001E-2</v>
      </c>
      <c r="M59" s="4">
        <v>3.5000000000000003E-2</v>
      </c>
      <c r="N59" s="6">
        <f t="shared" si="0"/>
        <v>3.5692007750000004E-2</v>
      </c>
      <c r="O59" s="6">
        <f t="shared" si="1"/>
        <v>2.0103726708074532E-2</v>
      </c>
      <c r="P59" s="21">
        <f t="shared" si="2"/>
        <v>1.4208824760600661E-6</v>
      </c>
      <c r="Q59">
        <f t="shared" si="3"/>
        <v>3.4550949275362357</v>
      </c>
    </row>
    <row r="60" spans="1:17" x14ac:dyDescent="0.15">
      <c r="A60" s="3">
        <v>23651</v>
      </c>
      <c r="B60" s="4">
        <v>3.3599999999999998E-2</v>
      </c>
      <c r="C60" s="4">
        <v>3.4500000000000003E-2</v>
      </c>
      <c r="D60" s="4">
        <v>3.5000000000000003E-2</v>
      </c>
      <c r="E60" s="4">
        <v>3.4200000000000001E-2</v>
      </c>
      <c r="I60" s="3">
        <v>23651</v>
      </c>
      <c r="J60" s="4">
        <v>3.3599999999999998E-2</v>
      </c>
      <c r="K60" s="4">
        <v>3.4500000000000003E-2</v>
      </c>
      <c r="L60" s="4">
        <v>3.5000000000000003E-2</v>
      </c>
      <c r="M60" s="4">
        <v>3.4200000000000001E-2</v>
      </c>
      <c r="N60" s="6">
        <f t="shared" si="0"/>
        <v>3.4355365597000004E-2</v>
      </c>
      <c r="O60" s="6">
        <f t="shared" si="1"/>
        <v>2.1003726708074537E-2</v>
      </c>
      <c r="P60" s="21">
        <f t="shared" si="2"/>
        <v>5.7057718513117525E-7</v>
      </c>
      <c r="Q60">
        <f t="shared" si="3"/>
        <v>2.2481118958333512</v>
      </c>
    </row>
    <row r="61" spans="1:17" x14ac:dyDescent="0.15">
      <c r="A61" s="3">
        <v>23682</v>
      </c>
      <c r="B61" s="4">
        <v>3.5200000000000002E-2</v>
      </c>
      <c r="C61" s="4">
        <v>3.3599999999999998E-2</v>
      </c>
      <c r="D61" s="4">
        <v>3.4500000000000003E-2</v>
      </c>
      <c r="E61" s="4">
        <v>3.5000000000000003E-2</v>
      </c>
      <c r="I61" s="3">
        <v>23682</v>
      </c>
      <c r="J61" s="4">
        <v>3.5200000000000002E-2</v>
      </c>
      <c r="K61" s="4">
        <v>3.3599999999999998E-2</v>
      </c>
      <c r="L61" s="4">
        <v>3.4500000000000003E-2</v>
      </c>
      <c r="M61" s="4">
        <v>3.5000000000000003E-2</v>
      </c>
      <c r="N61" s="6">
        <f t="shared" si="0"/>
        <v>3.3490482451999995E-2</v>
      </c>
      <c r="O61" s="6">
        <f t="shared" si="1"/>
        <v>1.9403726708074533E-2</v>
      </c>
      <c r="P61" s="21">
        <f t="shared" si="2"/>
        <v>2.9224502469199567E-6</v>
      </c>
      <c r="Q61">
        <f t="shared" si="3"/>
        <v>4.8565839431818381</v>
      </c>
    </row>
    <row r="62" spans="1:17" x14ac:dyDescent="0.15">
      <c r="A62" s="3">
        <v>23712</v>
      </c>
      <c r="B62" s="4">
        <v>3.85E-2</v>
      </c>
      <c r="C62" s="4">
        <v>3.5200000000000002E-2</v>
      </c>
      <c r="D62" s="4">
        <v>3.3599999999999998E-2</v>
      </c>
      <c r="E62" s="4">
        <v>3.4500000000000003E-2</v>
      </c>
      <c r="I62" s="3">
        <v>23712</v>
      </c>
      <c r="J62" s="4">
        <v>3.85E-2</v>
      </c>
      <c r="K62" s="4">
        <v>3.5200000000000002E-2</v>
      </c>
      <c r="L62" s="4">
        <v>3.3599999999999998E-2</v>
      </c>
      <c r="M62" s="4">
        <v>3.4500000000000003E-2</v>
      </c>
      <c r="N62" s="6">
        <f t="shared" si="0"/>
        <v>3.6268361684000001E-2</v>
      </c>
      <c r="O62" s="6">
        <f t="shared" si="1"/>
        <v>1.6103726708074535E-2</v>
      </c>
      <c r="P62" s="21">
        <f t="shared" si="2"/>
        <v>4.9802095734393069E-6</v>
      </c>
      <c r="Q62">
        <f t="shared" si="3"/>
        <v>5.7964631584415534</v>
      </c>
    </row>
    <row r="63" spans="1:17" x14ac:dyDescent="0.15">
      <c r="A63" s="3">
        <v>23743</v>
      </c>
      <c r="B63" s="4">
        <v>3.9E-2</v>
      </c>
      <c r="C63" s="4">
        <v>3.85E-2</v>
      </c>
      <c r="D63" s="4">
        <v>3.5200000000000002E-2</v>
      </c>
      <c r="E63" s="4">
        <v>3.3599999999999998E-2</v>
      </c>
      <c r="I63" s="3">
        <v>23743</v>
      </c>
      <c r="J63" s="4">
        <v>3.9E-2</v>
      </c>
      <c r="K63" s="4">
        <v>3.85E-2</v>
      </c>
      <c r="L63" s="4">
        <v>3.5200000000000002E-2</v>
      </c>
      <c r="M63" s="4">
        <v>3.3599999999999998E-2</v>
      </c>
      <c r="N63" s="6">
        <f t="shared" si="0"/>
        <v>3.9903781701E-2</v>
      </c>
      <c r="O63" s="6">
        <f t="shared" si="1"/>
        <v>1.5603726708074535E-2</v>
      </c>
      <c r="P63" s="21">
        <f t="shared" si="2"/>
        <v>8.1682136306245423E-7</v>
      </c>
      <c r="Q63">
        <f t="shared" si="3"/>
        <v>2.3173889769230778</v>
      </c>
    </row>
    <row r="64" spans="1:17" x14ac:dyDescent="0.15">
      <c r="A64" s="3">
        <v>23774</v>
      </c>
      <c r="B64" s="4">
        <v>3.9800000000000002E-2</v>
      </c>
      <c r="C64" s="4">
        <v>3.9E-2</v>
      </c>
      <c r="D64" s="4">
        <v>3.85E-2</v>
      </c>
      <c r="E64" s="4">
        <v>3.5200000000000002E-2</v>
      </c>
      <c r="I64" s="3">
        <v>23774</v>
      </c>
      <c r="J64" s="4">
        <v>3.9800000000000002E-2</v>
      </c>
      <c r="K64" s="4">
        <v>3.9E-2</v>
      </c>
      <c r="L64" s="4">
        <v>3.85E-2</v>
      </c>
      <c r="M64" s="4">
        <v>3.5200000000000002E-2</v>
      </c>
      <c r="N64" s="6">
        <f t="shared" si="0"/>
        <v>3.8858302121999998E-2</v>
      </c>
      <c r="O64" s="6">
        <f t="shared" si="1"/>
        <v>1.4803726708074533E-2</v>
      </c>
      <c r="P64" s="21">
        <f t="shared" si="2"/>
        <v>8.8679489342971107E-7</v>
      </c>
      <c r="Q64">
        <f t="shared" si="3"/>
        <v>2.3660750703517697</v>
      </c>
    </row>
    <row r="65" spans="1:17" x14ac:dyDescent="0.15">
      <c r="A65" s="3">
        <v>23802</v>
      </c>
      <c r="B65" s="4">
        <v>4.0399999999999998E-2</v>
      </c>
      <c r="C65" s="4">
        <v>3.9800000000000002E-2</v>
      </c>
      <c r="D65" s="4">
        <v>3.9E-2</v>
      </c>
      <c r="E65" s="4">
        <v>3.85E-2</v>
      </c>
      <c r="I65" s="3">
        <v>23802</v>
      </c>
      <c r="J65" s="4">
        <v>4.0399999999999998E-2</v>
      </c>
      <c r="K65" s="4">
        <v>3.9800000000000002E-2</v>
      </c>
      <c r="L65" s="4">
        <v>3.9E-2</v>
      </c>
      <c r="M65" s="4">
        <v>3.85E-2</v>
      </c>
      <c r="N65" s="6">
        <f t="shared" si="0"/>
        <v>4.0227147746000003E-2</v>
      </c>
      <c r="O65" s="6">
        <f t="shared" si="1"/>
        <v>1.4203726708074536E-2</v>
      </c>
      <c r="P65" s="21">
        <f t="shared" si="2"/>
        <v>2.9877901712879051E-8</v>
      </c>
      <c r="Q65">
        <f t="shared" si="3"/>
        <v>0.42785211386137562</v>
      </c>
    </row>
    <row r="66" spans="1:17" x14ac:dyDescent="0.15">
      <c r="A66" s="3">
        <v>23833</v>
      </c>
      <c r="B66" s="4">
        <v>4.0899999999999999E-2</v>
      </c>
      <c r="C66" s="4">
        <v>4.0399999999999998E-2</v>
      </c>
      <c r="D66" s="4">
        <v>3.9800000000000002E-2</v>
      </c>
      <c r="E66" s="4">
        <v>3.9E-2</v>
      </c>
      <c r="I66" s="3">
        <v>23833</v>
      </c>
      <c r="J66" s="4">
        <v>4.0899999999999999E-2</v>
      </c>
      <c r="K66" s="4">
        <v>4.0399999999999998E-2</v>
      </c>
      <c r="L66" s="4">
        <v>3.9800000000000002E-2</v>
      </c>
      <c r="M66" s="4">
        <v>3.9E-2</v>
      </c>
      <c r="N66" s="6">
        <f t="shared" si="0"/>
        <v>4.0681550067999991E-2</v>
      </c>
      <c r="O66" s="6">
        <f t="shared" si="1"/>
        <v>1.3703726708074536E-2</v>
      </c>
      <c r="P66" s="21">
        <f t="shared" si="2"/>
        <v>4.7720372790807879E-8</v>
      </c>
      <c r="Q66">
        <f t="shared" si="3"/>
        <v>0.53410741320295219</v>
      </c>
    </row>
    <row r="67" spans="1:17" x14ac:dyDescent="0.15">
      <c r="A67" s="3">
        <v>23863</v>
      </c>
      <c r="B67" s="4">
        <v>4.0999999999999995E-2</v>
      </c>
      <c r="C67" s="4">
        <v>4.0899999999999999E-2</v>
      </c>
      <c r="D67" s="4">
        <v>4.0399999999999998E-2</v>
      </c>
      <c r="E67" s="4">
        <v>3.9800000000000002E-2</v>
      </c>
      <c r="I67" s="3">
        <v>23863</v>
      </c>
      <c r="J67" s="4">
        <v>4.0999999999999995E-2</v>
      </c>
      <c r="K67" s="4">
        <v>4.0899999999999999E-2</v>
      </c>
      <c r="L67" s="4">
        <v>4.0399999999999998E-2</v>
      </c>
      <c r="M67" s="4">
        <v>3.9800000000000002E-2</v>
      </c>
      <c r="N67" s="6">
        <f t="shared" si="0"/>
        <v>4.1161603620999999E-2</v>
      </c>
      <c r="O67" s="6">
        <f t="shared" si="1"/>
        <v>1.360372670807454E-2</v>
      </c>
      <c r="P67" s="21">
        <f t="shared" si="2"/>
        <v>2.6115730320313139E-8</v>
      </c>
      <c r="Q67">
        <f t="shared" si="3"/>
        <v>0.39415517317074306</v>
      </c>
    </row>
    <row r="68" spans="1:17" x14ac:dyDescent="0.15">
      <c r="A68" s="3">
        <v>23894</v>
      </c>
      <c r="B68" s="4">
        <v>4.0399999999999998E-2</v>
      </c>
      <c r="C68" s="4">
        <v>4.0999999999999995E-2</v>
      </c>
      <c r="D68" s="4">
        <v>4.0899999999999999E-2</v>
      </c>
      <c r="E68" s="4">
        <v>4.0399999999999998E-2</v>
      </c>
      <c r="I68" s="3">
        <v>23894</v>
      </c>
      <c r="J68" s="4">
        <v>4.0399999999999998E-2</v>
      </c>
      <c r="K68" s="4">
        <v>4.0999999999999995E-2</v>
      </c>
      <c r="L68" s="4">
        <v>4.0899999999999999E-2</v>
      </c>
      <c r="M68" s="4">
        <v>4.0399999999999998E-2</v>
      </c>
      <c r="N68" s="6">
        <f t="shared" si="0"/>
        <v>4.1094664253999998E-2</v>
      </c>
      <c r="O68" s="6">
        <f t="shared" si="1"/>
        <v>1.4203726708074536E-2</v>
      </c>
      <c r="P68" s="21">
        <f t="shared" si="2"/>
        <v>4.8255842578537541E-7</v>
      </c>
      <c r="Q68">
        <f t="shared" si="3"/>
        <v>1.719465975247523</v>
      </c>
    </row>
    <row r="69" spans="1:17" x14ac:dyDescent="0.15">
      <c r="A69" s="3">
        <v>23924</v>
      </c>
      <c r="B69" s="4">
        <v>4.0899999999999999E-2</v>
      </c>
      <c r="C69" s="4">
        <v>4.0399999999999998E-2</v>
      </c>
      <c r="D69" s="4">
        <v>4.0999999999999995E-2</v>
      </c>
      <c r="E69" s="4">
        <v>4.0899999999999999E-2</v>
      </c>
      <c r="I69" s="3">
        <v>23924</v>
      </c>
      <c r="J69" s="4">
        <v>4.0899999999999999E-2</v>
      </c>
      <c r="K69" s="4">
        <v>4.0399999999999998E-2</v>
      </c>
      <c r="L69" s="4">
        <v>4.0999999999999995E-2</v>
      </c>
      <c r="M69" s="4">
        <v>4.0899999999999999E-2</v>
      </c>
      <c r="N69" s="6">
        <f t="shared" si="0"/>
        <v>4.0247671791999992E-2</v>
      </c>
      <c r="O69" s="6">
        <f t="shared" si="1"/>
        <v>1.3703726708074536E-2</v>
      </c>
      <c r="P69" s="21">
        <f t="shared" si="2"/>
        <v>4.2553209095250007E-7</v>
      </c>
      <c r="Q69">
        <f t="shared" si="3"/>
        <v>1.5949344938875472</v>
      </c>
    </row>
    <row r="70" spans="1:17" x14ac:dyDescent="0.15">
      <c r="A70" s="3">
        <v>23955</v>
      </c>
      <c r="B70" s="4">
        <v>4.1200000000000001E-2</v>
      </c>
      <c r="C70" s="4">
        <v>4.0899999999999999E-2</v>
      </c>
      <c r="D70" s="4">
        <v>4.0399999999999998E-2</v>
      </c>
      <c r="E70" s="4">
        <v>4.0999999999999995E-2</v>
      </c>
      <c r="I70" s="3">
        <v>23955</v>
      </c>
      <c r="J70" s="4">
        <v>4.1200000000000001E-2</v>
      </c>
      <c r="K70" s="4">
        <v>4.0899999999999999E-2</v>
      </c>
      <c r="L70" s="4">
        <v>4.0399999999999998E-2</v>
      </c>
      <c r="M70" s="4">
        <v>4.0999999999999995E-2</v>
      </c>
      <c r="N70" s="6">
        <f t="shared" si="0"/>
        <v>4.1351292372999997E-2</v>
      </c>
      <c r="O70" s="6">
        <f t="shared" si="1"/>
        <v>1.3403726708074534E-2</v>
      </c>
      <c r="P70" s="21">
        <f t="shared" si="2"/>
        <v>2.2889382127969999E-8</v>
      </c>
      <c r="Q70">
        <f t="shared" si="3"/>
        <v>0.36721449757280644</v>
      </c>
    </row>
    <row r="71" spans="1:17" x14ac:dyDescent="0.15">
      <c r="A71" s="3">
        <v>23986</v>
      </c>
      <c r="B71" s="4">
        <v>4.0099999999999997E-2</v>
      </c>
      <c r="C71" s="4">
        <v>4.1200000000000001E-2</v>
      </c>
      <c r="D71" s="4">
        <v>4.0899999999999999E-2</v>
      </c>
      <c r="E71" s="4">
        <v>4.0399999999999998E-2</v>
      </c>
      <c r="I71" s="3">
        <v>23986</v>
      </c>
      <c r="J71" s="4">
        <v>4.0099999999999997E-2</v>
      </c>
      <c r="K71" s="4">
        <v>4.1200000000000001E-2</v>
      </c>
      <c r="L71" s="4">
        <v>4.0899999999999999E-2</v>
      </c>
      <c r="M71" s="4">
        <v>4.0399999999999998E-2</v>
      </c>
      <c r="N71" s="6">
        <f t="shared" ref="N71:N134" si="4" xml:space="preserve"> 0.00063539 + 1.44140757*K71 - 0.611849*L71 + 0.15807396*M71</f>
        <v>4.1382945768000001E-2</v>
      </c>
      <c r="O71" s="6">
        <f t="shared" ref="O71:O134" si="5">ABS(J71-$U$32)</f>
        <v>1.4503726708074538E-2</v>
      </c>
      <c r="P71" s="21">
        <f t="shared" ref="P71:P134" si="6">(N71-J71)^2</f>
        <v>1.6459498436291213E-6</v>
      </c>
      <c r="Q71">
        <f t="shared" ref="Q71:Q134" si="7">ABS(N71-J71)/J71*100</f>
        <v>3.1993660049875423</v>
      </c>
    </row>
    <row r="72" spans="1:17" x14ac:dyDescent="0.15">
      <c r="A72" s="3">
        <v>24016</v>
      </c>
      <c r="B72" s="4">
        <v>4.0800000000000003E-2</v>
      </c>
      <c r="C72" s="4">
        <v>4.0099999999999997E-2</v>
      </c>
      <c r="D72" s="4">
        <v>4.1200000000000001E-2</v>
      </c>
      <c r="E72" s="4">
        <v>4.0899999999999999E-2</v>
      </c>
      <c r="I72" s="3">
        <v>24016</v>
      </c>
      <c r="J72" s="4">
        <v>4.0800000000000003E-2</v>
      </c>
      <c r="K72" s="4">
        <v>4.0099999999999997E-2</v>
      </c>
      <c r="L72" s="4">
        <v>4.1200000000000001E-2</v>
      </c>
      <c r="M72" s="4">
        <v>4.0899999999999999E-2</v>
      </c>
      <c r="N72" s="6">
        <f t="shared" si="4"/>
        <v>3.9692879720999996E-2</v>
      </c>
      <c r="O72" s="6">
        <f t="shared" si="5"/>
        <v>1.3803726708074532E-2</v>
      </c>
      <c r="P72" s="21">
        <f t="shared" si="6"/>
        <v>1.2257153121730529E-6</v>
      </c>
      <c r="Q72">
        <f t="shared" si="7"/>
        <v>2.7135300955882515</v>
      </c>
    </row>
    <row r="73" spans="1:17" x14ac:dyDescent="0.15">
      <c r="A73" s="3">
        <v>24047</v>
      </c>
      <c r="B73" s="4">
        <v>4.0999999999999995E-2</v>
      </c>
      <c r="C73" s="4">
        <v>4.0800000000000003E-2</v>
      </c>
      <c r="D73" s="4">
        <v>4.0099999999999997E-2</v>
      </c>
      <c r="E73" s="4">
        <v>4.1200000000000001E-2</v>
      </c>
      <c r="I73" s="3">
        <v>24047</v>
      </c>
      <c r="J73" s="4">
        <v>4.0999999999999995E-2</v>
      </c>
      <c r="K73" s="4">
        <v>4.0800000000000003E-2</v>
      </c>
      <c r="L73" s="4">
        <v>4.0099999999999997E-2</v>
      </c>
      <c r="M73" s="4">
        <v>4.1200000000000001E-2</v>
      </c>
      <c r="N73" s="6">
        <f t="shared" si="4"/>
        <v>4.1422321108000003E-2</v>
      </c>
      <c r="O73" s="6">
        <f t="shared" si="5"/>
        <v>1.360372670807454E-2</v>
      </c>
      <c r="P73" s="21">
        <f t="shared" si="6"/>
        <v>1.7835511826235447E-7</v>
      </c>
      <c r="Q73">
        <f t="shared" si="7"/>
        <v>1.030051482926849</v>
      </c>
    </row>
    <row r="74" spans="1:17" x14ac:dyDescent="0.15">
      <c r="A74" s="3">
        <v>24077</v>
      </c>
      <c r="B74" s="4">
        <v>4.3200000000000002E-2</v>
      </c>
      <c r="C74" s="4">
        <v>4.0999999999999995E-2</v>
      </c>
      <c r="D74" s="4">
        <v>4.0800000000000003E-2</v>
      </c>
      <c r="E74" s="4">
        <v>4.0099999999999997E-2</v>
      </c>
      <c r="I74" s="3">
        <v>24077</v>
      </c>
      <c r="J74" s="4">
        <v>4.3200000000000002E-2</v>
      </c>
      <c r="K74" s="4">
        <v>4.0999999999999995E-2</v>
      </c>
      <c r="L74" s="4">
        <v>4.0800000000000003E-2</v>
      </c>
      <c r="M74" s="4">
        <v>4.0099999999999997E-2</v>
      </c>
      <c r="N74" s="6">
        <f t="shared" si="4"/>
        <v>4.1108426965999992E-2</v>
      </c>
      <c r="O74" s="6">
        <f t="shared" si="5"/>
        <v>1.1403726708074532E-2</v>
      </c>
      <c r="P74" s="21">
        <f t="shared" si="6"/>
        <v>4.3746777565560094E-6</v>
      </c>
      <c r="Q74">
        <f t="shared" si="7"/>
        <v>4.8416042453703945</v>
      </c>
    </row>
    <row r="75" spans="1:17" x14ac:dyDescent="0.15">
      <c r="A75" s="3">
        <v>24108</v>
      </c>
      <c r="B75" s="4">
        <v>4.4199999999999996E-2</v>
      </c>
      <c r="C75" s="4">
        <v>4.3200000000000002E-2</v>
      </c>
      <c r="D75" s="4">
        <v>4.0999999999999995E-2</v>
      </c>
      <c r="E75" s="4">
        <v>4.0800000000000003E-2</v>
      </c>
      <c r="I75" s="3">
        <v>24108</v>
      </c>
      <c r="J75" s="4">
        <v>4.4199999999999996E-2</v>
      </c>
      <c r="K75" s="4">
        <v>4.3200000000000002E-2</v>
      </c>
      <c r="L75" s="4">
        <v>4.0999999999999995E-2</v>
      </c>
      <c r="M75" s="4">
        <v>4.0800000000000003E-2</v>
      </c>
      <c r="N75" s="6">
        <f t="shared" si="4"/>
        <v>4.4267805592000005E-2</v>
      </c>
      <c r="O75" s="6">
        <f t="shared" si="5"/>
        <v>1.0403726708074539E-2</v>
      </c>
      <c r="P75" s="21">
        <f t="shared" si="6"/>
        <v>4.5975983064716421E-9</v>
      </c>
      <c r="Q75">
        <f t="shared" si="7"/>
        <v>0.15340631674210112</v>
      </c>
    </row>
    <row r="76" spans="1:17" x14ac:dyDescent="0.15">
      <c r="A76" s="3">
        <v>24139</v>
      </c>
      <c r="B76" s="4">
        <v>4.5999999999999999E-2</v>
      </c>
      <c r="C76" s="4">
        <v>4.4199999999999996E-2</v>
      </c>
      <c r="D76" s="4">
        <v>4.3200000000000002E-2</v>
      </c>
      <c r="E76" s="4">
        <v>4.0999999999999995E-2</v>
      </c>
      <c r="I76" s="3">
        <v>24139</v>
      </c>
      <c r="J76" s="4">
        <v>4.5999999999999999E-2</v>
      </c>
      <c r="K76" s="4">
        <v>4.4199999999999996E-2</v>
      </c>
      <c r="L76" s="4">
        <v>4.3200000000000002E-2</v>
      </c>
      <c r="M76" s="4">
        <v>4.0999999999999995E-2</v>
      </c>
      <c r="N76" s="6">
        <f t="shared" si="4"/>
        <v>4.4394760153999985E-2</v>
      </c>
      <c r="O76" s="6">
        <f t="shared" si="5"/>
        <v>8.6037267080745355E-3</v>
      </c>
      <c r="P76" s="21">
        <f t="shared" si="6"/>
        <v>2.57679496318615E-6</v>
      </c>
      <c r="Q76">
        <f t="shared" si="7"/>
        <v>3.4896518391304663</v>
      </c>
    </row>
    <row r="77" spans="1:17" x14ac:dyDescent="0.15">
      <c r="A77" s="3">
        <v>24167</v>
      </c>
      <c r="B77" s="4">
        <v>4.6500000000000007E-2</v>
      </c>
      <c r="C77" s="4">
        <v>4.5999999999999999E-2</v>
      </c>
      <c r="D77" s="4">
        <v>4.4199999999999996E-2</v>
      </c>
      <c r="E77" s="4">
        <v>4.3200000000000002E-2</v>
      </c>
      <c r="I77" s="3">
        <v>24167</v>
      </c>
      <c r="J77" s="4">
        <v>4.6500000000000007E-2</v>
      </c>
      <c r="K77" s="4">
        <v>4.5999999999999999E-2</v>
      </c>
      <c r="L77" s="4">
        <v>4.4199999999999996E-2</v>
      </c>
      <c r="M77" s="4">
        <v>4.3200000000000002E-2</v>
      </c>
      <c r="N77" s="6">
        <f t="shared" si="4"/>
        <v>4.6725207492000001E-2</v>
      </c>
      <c r="O77" s="6">
        <f t="shared" si="5"/>
        <v>8.1037267080745282E-3</v>
      </c>
      <c r="P77" s="21">
        <f t="shared" si="6"/>
        <v>5.071841445292754E-8</v>
      </c>
      <c r="Q77">
        <f t="shared" si="7"/>
        <v>0.48431718709676214</v>
      </c>
    </row>
    <row r="78" spans="1:17" x14ac:dyDescent="0.15">
      <c r="A78" s="3">
        <v>24198</v>
      </c>
      <c r="B78" s="4">
        <v>4.6699999999999998E-2</v>
      </c>
      <c r="C78" s="4">
        <v>4.6500000000000007E-2</v>
      </c>
      <c r="D78" s="4">
        <v>4.5999999999999999E-2</v>
      </c>
      <c r="E78" s="4">
        <v>4.4199999999999996E-2</v>
      </c>
      <c r="I78" s="3">
        <v>24198</v>
      </c>
      <c r="J78" s="4">
        <v>4.6699999999999998E-2</v>
      </c>
      <c r="K78" s="4">
        <v>4.6500000000000007E-2</v>
      </c>
      <c r="L78" s="4">
        <v>4.5999999999999999E-2</v>
      </c>
      <c r="M78" s="4">
        <v>4.4199999999999996E-2</v>
      </c>
      <c r="N78" s="6">
        <f t="shared" si="4"/>
        <v>4.650265703700001E-2</v>
      </c>
      <c r="O78" s="6">
        <f t="shared" si="5"/>
        <v>7.9037267080745363E-3</v>
      </c>
      <c r="P78" s="21">
        <f t="shared" si="6"/>
        <v>3.8944245045614805E-8</v>
      </c>
      <c r="Q78">
        <f t="shared" si="7"/>
        <v>0.42257593790147413</v>
      </c>
    </row>
    <row r="79" spans="1:17" x14ac:dyDescent="0.15">
      <c r="A79" s="3">
        <v>24228</v>
      </c>
      <c r="B79" s="4">
        <v>4.9000000000000002E-2</v>
      </c>
      <c r="C79" s="4">
        <v>4.6699999999999998E-2</v>
      </c>
      <c r="D79" s="4">
        <v>4.6500000000000007E-2</v>
      </c>
      <c r="E79" s="4">
        <v>4.5999999999999999E-2</v>
      </c>
      <c r="I79" s="3">
        <v>24228</v>
      </c>
      <c r="J79" s="4">
        <v>4.9000000000000002E-2</v>
      </c>
      <c r="K79" s="4">
        <v>4.6699999999999998E-2</v>
      </c>
      <c r="L79" s="4">
        <v>4.6500000000000007E-2</v>
      </c>
      <c r="M79" s="4">
        <v>4.5999999999999999E-2</v>
      </c>
      <c r="N79" s="6">
        <f t="shared" si="4"/>
        <v>4.6769547178999997E-2</v>
      </c>
      <c r="O79" s="6">
        <f t="shared" si="5"/>
        <v>5.6037267080745329E-3</v>
      </c>
      <c r="P79" s="21">
        <f t="shared" si="6"/>
        <v>4.9749197867068803E-6</v>
      </c>
      <c r="Q79">
        <f t="shared" si="7"/>
        <v>4.5519445326530708</v>
      </c>
    </row>
    <row r="80" spans="1:17" x14ac:dyDescent="0.15">
      <c r="A80" s="3">
        <v>24259</v>
      </c>
      <c r="B80" s="4">
        <v>5.1699999999999996E-2</v>
      </c>
      <c r="C80" s="4">
        <v>4.9000000000000002E-2</v>
      </c>
      <c r="D80" s="4">
        <v>4.6699999999999998E-2</v>
      </c>
      <c r="E80" s="4">
        <v>4.6500000000000007E-2</v>
      </c>
      <c r="I80" s="3">
        <v>24259</v>
      </c>
      <c r="J80" s="4">
        <v>5.1699999999999996E-2</v>
      </c>
      <c r="K80" s="4">
        <v>4.9000000000000002E-2</v>
      </c>
      <c r="L80" s="4">
        <v>4.6699999999999998E-2</v>
      </c>
      <c r="M80" s="4">
        <v>4.6500000000000007E-2</v>
      </c>
      <c r="N80" s="6">
        <f t="shared" si="4"/>
        <v>5.0041451770000009E-2</v>
      </c>
      <c r="O80" s="6">
        <f t="shared" si="5"/>
        <v>2.9037267080745388E-3</v>
      </c>
      <c r="P80" s="21">
        <f t="shared" si="6"/>
        <v>2.7507822312360901E-6</v>
      </c>
      <c r="Q80">
        <f t="shared" si="7"/>
        <v>3.2080236557059716</v>
      </c>
    </row>
    <row r="81" spans="1:17" x14ac:dyDescent="0.15">
      <c r="A81" s="3">
        <v>24289</v>
      </c>
      <c r="B81" s="4">
        <v>5.2999999999999999E-2</v>
      </c>
      <c r="C81" s="4">
        <v>5.1699999999999996E-2</v>
      </c>
      <c r="D81" s="4">
        <v>4.9000000000000002E-2</v>
      </c>
      <c r="E81" s="4">
        <v>4.6699999999999998E-2</v>
      </c>
      <c r="I81" s="3">
        <v>24289</v>
      </c>
      <c r="J81" s="4">
        <v>5.2999999999999999E-2</v>
      </c>
      <c r="K81" s="4">
        <v>5.1699999999999996E-2</v>
      </c>
      <c r="L81" s="4">
        <v>4.9000000000000002E-2</v>
      </c>
      <c r="M81" s="4">
        <v>4.6699999999999998E-2</v>
      </c>
      <c r="N81" s="6">
        <f t="shared" si="4"/>
        <v>5.2557614300999998E-2</v>
      </c>
      <c r="O81" s="6">
        <f t="shared" si="5"/>
        <v>1.6037267080745363E-3</v>
      </c>
      <c r="P81" s="21">
        <f t="shared" si="6"/>
        <v>1.9570510667971883E-7</v>
      </c>
      <c r="Q81">
        <f t="shared" si="7"/>
        <v>0.83468999811320799</v>
      </c>
    </row>
    <row r="82" spans="1:17" x14ac:dyDescent="0.15">
      <c r="A82" s="3">
        <v>24320</v>
      </c>
      <c r="B82" s="4">
        <v>5.5300000000000002E-2</v>
      </c>
      <c r="C82" s="4">
        <v>5.2999999999999999E-2</v>
      </c>
      <c r="D82" s="4">
        <v>5.1699999999999996E-2</v>
      </c>
      <c r="E82" s="4">
        <v>4.9000000000000002E-2</v>
      </c>
      <c r="I82" s="3">
        <v>24320</v>
      </c>
      <c r="J82" s="4">
        <v>5.5300000000000002E-2</v>
      </c>
      <c r="K82" s="4">
        <v>5.2999999999999999E-2</v>
      </c>
      <c r="L82" s="4">
        <v>5.1699999999999996E-2</v>
      </c>
      <c r="M82" s="4">
        <v>4.9000000000000002E-2</v>
      </c>
      <c r="N82" s="6">
        <f t="shared" si="4"/>
        <v>5.3143021950000001E-2</v>
      </c>
      <c r="O82" s="6">
        <f t="shared" si="5"/>
        <v>6.9627329192546716E-4</v>
      </c>
      <c r="P82" s="21">
        <f t="shared" si="6"/>
        <v>4.6525543081818071E-6</v>
      </c>
      <c r="Q82">
        <f t="shared" si="7"/>
        <v>3.9005028028933109</v>
      </c>
    </row>
    <row r="83" spans="1:17" x14ac:dyDescent="0.15">
      <c r="A83" s="3">
        <v>24351</v>
      </c>
      <c r="B83" s="4">
        <v>5.4000000000000006E-2</v>
      </c>
      <c r="C83" s="4">
        <v>5.5300000000000002E-2</v>
      </c>
      <c r="D83" s="4">
        <v>5.2999999999999999E-2</v>
      </c>
      <c r="E83" s="4">
        <v>5.1699999999999996E-2</v>
      </c>
      <c r="I83" s="3">
        <v>24351</v>
      </c>
      <c r="J83" s="4">
        <v>5.4000000000000006E-2</v>
      </c>
      <c r="K83" s="4">
        <v>5.5300000000000002E-2</v>
      </c>
      <c r="L83" s="4">
        <v>5.2999999999999999E-2</v>
      </c>
      <c r="M83" s="4">
        <v>5.1699999999999996E-2</v>
      </c>
      <c r="N83" s="6">
        <f t="shared" si="4"/>
        <v>5.6089655353000006E-2</v>
      </c>
      <c r="O83" s="6">
        <f t="shared" si="5"/>
        <v>6.0372670807452844E-4</v>
      </c>
      <c r="P83" s="21">
        <f t="shared" si="6"/>
        <v>4.3666594943215547E-6</v>
      </c>
      <c r="Q83">
        <f t="shared" si="7"/>
        <v>3.8697321351851848</v>
      </c>
    </row>
    <row r="84" spans="1:17" x14ac:dyDescent="0.15">
      <c r="A84" s="3">
        <v>24381</v>
      </c>
      <c r="B84" s="4">
        <v>5.5300000000000002E-2</v>
      </c>
      <c r="C84" s="4">
        <v>5.4000000000000006E-2</v>
      </c>
      <c r="D84" s="4">
        <v>5.5300000000000002E-2</v>
      </c>
      <c r="E84" s="4">
        <v>5.2999999999999999E-2</v>
      </c>
      <c r="I84" s="3">
        <v>24381</v>
      </c>
      <c r="J84" s="4">
        <v>5.5300000000000002E-2</v>
      </c>
      <c r="K84" s="4">
        <v>5.4000000000000006E-2</v>
      </c>
      <c r="L84" s="4">
        <v>5.5300000000000002E-2</v>
      </c>
      <c r="M84" s="4">
        <v>5.2999999999999999E-2</v>
      </c>
      <c r="N84" s="6">
        <f t="shared" si="4"/>
        <v>5.3014068960000008E-2</v>
      </c>
      <c r="O84" s="6">
        <f t="shared" si="5"/>
        <v>6.9627329192546716E-4</v>
      </c>
      <c r="P84" s="21">
        <f t="shared" si="6"/>
        <v>5.2254807196354562E-6</v>
      </c>
      <c r="Q84">
        <f t="shared" si="7"/>
        <v>4.1336908499095735</v>
      </c>
    </row>
    <row r="85" spans="1:17" x14ac:dyDescent="0.15">
      <c r="A85" s="3">
        <v>24412</v>
      </c>
      <c r="B85" s="4">
        <v>5.7599999999999998E-2</v>
      </c>
      <c r="C85" s="4">
        <v>5.5300000000000002E-2</v>
      </c>
      <c r="D85" s="4">
        <v>5.4000000000000006E-2</v>
      </c>
      <c r="E85" s="4">
        <v>5.5300000000000002E-2</v>
      </c>
      <c r="I85" s="3">
        <v>24412</v>
      </c>
      <c r="J85" s="4">
        <v>5.7599999999999998E-2</v>
      </c>
      <c r="K85" s="4">
        <v>5.5300000000000002E-2</v>
      </c>
      <c r="L85" s="4">
        <v>5.4000000000000006E-2</v>
      </c>
      <c r="M85" s="4">
        <v>5.5300000000000002E-2</v>
      </c>
      <c r="N85" s="6">
        <f t="shared" si="4"/>
        <v>5.6046872609000001E-2</v>
      </c>
      <c r="O85" s="6">
        <f t="shared" si="5"/>
        <v>2.9962732919254637E-3</v>
      </c>
      <c r="P85" s="21">
        <f t="shared" si="6"/>
        <v>2.4122046926744593E-6</v>
      </c>
      <c r="Q85">
        <f t="shared" si="7"/>
        <v>2.696401720486107</v>
      </c>
    </row>
    <row r="86" spans="1:17" x14ac:dyDescent="0.15">
      <c r="A86" s="3">
        <v>24442</v>
      </c>
      <c r="B86" s="4">
        <v>5.4000000000000006E-2</v>
      </c>
      <c r="C86" s="4">
        <v>5.7599999999999998E-2</v>
      </c>
      <c r="D86" s="4">
        <v>5.5300000000000002E-2</v>
      </c>
      <c r="E86" s="4">
        <v>5.4000000000000006E-2</v>
      </c>
      <c r="I86" s="3">
        <v>24442</v>
      </c>
      <c r="J86" s="4">
        <v>5.4000000000000006E-2</v>
      </c>
      <c r="K86" s="4">
        <v>5.7599999999999998E-2</v>
      </c>
      <c r="L86" s="4">
        <v>5.5300000000000002E-2</v>
      </c>
      <c r="M86" s="4">
        <v>5.4000000000000006E-2</v>
      </c>
      <c r="N86" s="6">
        <f t="shared" si="4"/>
        <v>5.8361210171999994E-2</v>
      </c>
      <c r="O86" s="6">
        <f t="shared" si="5"/>
        <v>6.0372670807452844E-4</v>
      </c>
      <c r="P86" s="21">
        <f t="shared" si="6"/>
        <v>1.9020154164356164E-5</v>
      </c>
      <c r="Q86">
        <f t="shared" si="7"/>
        <v>8.0763151333333099</v>
      </c>
    </row>
    <row r="87" spans="1:17" x14ac:dyDescent="0.15">
      <c r="A87" s="3">
        <v>24473</v>
      </c>
      <c r="B87" s="4">
        <v>4.9400000000000006E-2</v>
      </c>
      <c r="C87" s="4">
        <v>5.4000000000000006E-2</v>
      </c>
      <c r="D87" s="4">
        <v>5.7599999999999998E-2</v>
      </c>
      <c r="E87" s="4">
        <v>5.5300000000000002E-2</v>
      </c>
      <c r="I87" s="3">
        <v>24473</v>
      </c>
      <c r="J87" s="4">
        <v>4.9400000000000006E-2</v>
      </c>
      <c r="K87" s="4">
        <v>5.4000000000000006E-2</v>
      </c>
      <c r="L87" s="4">
        <v>5.7599999999999998E-2</v>
      </c>
      <c r="M87" s="4">
        <v>5.5300000000000002E-2</v>
      </c>
      <c r="N87" s="6">
        <f t="shared" si="4"/>
        <v>5.1970386368000006E-2</v>
      </c>
      <c r="O87" s="6">
        <f t="shared" si="5"/>
        <v>5.2037267080745284E-3</v>
      </c>
      <c r="P87" s="21">
        <f t="shared" si="6"/>
        <v>6.6068860808002281E-6</v>
      </c>
      <c r="Q87">
        <f t="shared" si="7"/>
        <v>5.2032112712550589</v>
      </c>
    </row>
    <row r="88" spans="1:17" x14ac:dyDescent="0.15">
      <c r="A88" s="3">
        <v>24504</v>
      </c>
      <c r="B88" s="4">
        <v>0.05</v>
      </c>
      <c r="C88" s="4">
        <v>4.9400000000000006E-2</v>
      </c>
      <c r="D88" s="4">
        <v>5.4000000000000006E-2</v>
      </c>
      <c r="E88" s="4">
        <v>5.7599999999999998E-2</v>
      </c>
      <c r="I88" s="3">
        <v>24504</v>
      </c>
      <c r="J88" s="4">
        <v>0.05</v>
      </c>
      <c r="K88" s="4">
        <v>4.9400000000000006E-2</v>
      </c>
      <c r="L88" s="4">
        <v>5.4000000000000006E-2</v>
      </c>
      <c r="M88" s="4">
        <v>5.7599999999999998E-2</v>
      </c>
      <c r="N88" s="6">
        <f t="shared" si="4"/>
        <v>4.7906138054000014E-2</v>
      </c>
      <c r="O88" s="6">
        <f t="shared" si="5"/>
        <v>4.603726708074532E-3</v>
      </c>
      <c r="P88" s="21">
        <f t="shared" si="6"/>
        <v>4.3842578489068615E-6</v>
      </c>
      <c r="Q88">
        <f t="shared" si="7"/>
        <v>4.187723891999978</v>
      </c>
    </row>
    <row r="89" spans="1:17" x14ac:dyDescent="0.15">
      <c r="A89" s="3">
        <v>24532</v>
      </c>
      <c r="B89" s="4">
        <v>4.53E-2</v>
      </c>
      <c r="C89" s="4">
        <v>0.05</v>
      </c>
      <c r="D89" s="4">
        <v>4.9400000000000006E-2</v>
      </c>
      <c r="E89" s="4">
        <v>5.4000000000000006E-2</v>
      </c>
      <c r="I89" s="3">
        <v>24532</v>
      </c>
      <c r="J89" s="4">
        <v>4.53E-2</v>
      </c>
      <c r="K89" s="4">
        <v>0.05</v>
      </c>
      <c r="L89" s="4">
        <v>4.9400000000000006E-2</v>
      </c>
      <c r="M89" s="4">
        <v>5.4000000000000006E-2</v>
      </c>
      <c r="N89" s="6">
        <f t="shared" si="4"/>
        <v>5.1016421739999998E-2</v>
      </c>
      <c r="O89" s="6">
        <f t="shared" si="5"/>
        <v>9.3037267080745348E-3</v>
      </c>
      <c r="P89" s="21">
        <f t="shared" si="6"/>
        <v>3.2677477509544606E-5</v>
      </c>
      <c r="Q89">
        <f t="shared" si="7"/>
        <v>12.619032538631341</v>
      </c>
    </row>
    <row r="90" spans="1:17" x14ac:dyDescent="0.15">
      <c r="A90" s="3">
        <v>24563</v>
      </c>
      <c r="B90" s="4">
        <v>4.0500000000000001E-2</v>
      </c>
      <c r="C90" s="4">
        <v>4.53E-2</v>
      </c>
      <c r="D90" s="4">
        <v>0.05</v>
      </c>
      <c r="E90" s="4">
        <v>4.9400000000000006E-2</v>
      </c>
      <c r="I90" s="3">
        <v>24563</v>
      </c>
      <c r="J90" s="4">
        <v>4.0500000000000001E-2</v>
      </c>
      <c r="K90" s="4">
        <v>4.53E-2</v>
      </c>
      <c r="L90" s="4">
        <v>0.05</v>
      </c>
      <c r="M90" s="4">
        <v>4.9400000000000006E-2</v>
      </c>
      <c r="N90" s="6">
        <f t="shared" si="4"/>
        <v>4.3147556544999993E-2</v>
      </c>
      <c r="O90" s="6">
        <f t="shared" si="5"/>
        <v>1.4103726708074533E-2</v>
      </c>
      <c r="P90" s="21">
        <f t="shared" si="6"/>
        <v>7.0095556589722944E-6</v>
      </c>
      <c r="Q90">
        <f t="shared" si="7"/>
        <v>6.5371766543209668</v>
      </c>
    </row>
    <row r="91" spans="1:17" x14ac:dyDescent="0.15">
      <c r="A91" s="3">
        <v>24593</v>
      </c>
      <c r="B91" s="4">
        <v>3.9399999999999998E-2</v>
      </c>
      <c r="C91" s="4">
        <v>4.0500000000000001E-2</v>
      </c>
      <c r="D91" s="4">
        <v>4.53E-2</v>
      </c>
      <c r="E91" s="4">
        <v>0.05</v>
      </c>
      <c r="I91" s="3">
        <v>24593</v>
      </c>
      <c r="J91" s="4">
        <v>3.9399999999999998E-2</v>
      </c>
      <c r="K91" s="4">
        <v>4.0500000000000001E-2</v>
      </c>
      <c r="L91" s="4">
        <v>4.53E-2</v>
      </c>
      <c r="M91" s="4">
        <v>0.05</v>
      </c>
      <c r="N91" s="6">
        <f t="shared" si="4"/>
        <v>3.9199334885000006E-2</v>
      </c>
      <c r="O91" s="6">
        <f t="shared" si="5"/>
        <v>1.5203726708074537E-2</v>
      </c>
      <c r="P91" s="21">
        <f t="shared" si="6"/>
        <v>4.0266488377959754E-8</v>
      </c>
      <c r="Q91">
        <f t="shared" si="7"/>
        <v>0.50930232233500339</v>
      </c>
    </row>
    <row r="92" spans="1:17" x14ac:dyDescent="0.15">
      <c r="A92" s="3">
        <v>24624</v>
      </c>
      <c r="B92" s="4">
        <v>3.9800000000000002E-2</v>
      </c>
      <c r="C92" s="4">
        <v>3.9399999999999998E-2</v>
      </c>
      <c r="D92" s="4">
        <v>4.0500000000000001E-2</v>
      </c>
      <c r="E92" s="4">
        <v>4.53E-2</v>
      </c>
      <c r="I92" s="3">
        <v>24624</v>
      </c>
      <c r="J92" s="4">
        <v>3.9800000000000002E-2</v>
      </c>
      <c r="K92" s="4">
        <v>3.9399999999999998E-2</v>
      </c>
      <c r="L92" s="4">
        <v>4.0500000000000001E-2</v>
      </c>
      <c r="M92" s="4">
        <v>4.53E-2</v>
      </c>
      <c r="N92" s="6">
        <f t="shared" si="4"/>
        <v>3.9807714145999998E-2</v>
      </c>
      <c r="O92" s="6">
        <f t="shared" si="5"/>
        <v>1.4803726708074533E-2</v>
      </c>
      <c r="P92" s="21">
        <f t="shared" si="6"/>
        <v>5.9508048509250559E-11</v>
      </c>
      <c r="Q92">
        <f t="shared" si="7"/>
        <v>1.9382276381898888E-2</v>
      </c>
    </row>
    <row r="93" spans="1:17" x14ac:dyDescent="0.15">
      <c r="A93" s="3">
        <v>24654</v>
      </c>
      <c r="B93" s="4">
        <v>3.7900000000000003E-2</v>
      </c>
      <c r="C93" s="4">
        <v>3.9800000000000002E-2</v>
      </c>
      <c r="D93" s="4">
        <v>3.9399999999999998E-2</v>
      </c>
      <c r="E93" s="4">
        <v>4.0500000000000001E-2</v>
      </c>
      <c r="I93" s="3">
        <v>24654</v>
      </c>
      <c r="J93" s="4">
        <v>3.7900000000000003E-2</v>
      </c>
      <c r="K93" s="4">
        <v>3.9800000000000002E-2</v>
      </c>
      <c r="L93" s="4">
        <v>3.9399999999999998E-2</v>
      </c>
      <c r="M93" s="4">
        <v>4.0500000000000001E-2</v>
      </c>
      <c r="N93" s="6">
        <f t="shared" si="4"/>
        <v>4.0298556065999996E-2</v>
      </c>
      <c r="O93" s="6">
        <f t="shared" si="5"/>
        <v>1.6703726708074532E-2</v>
      </c>
      <c r="P93" s="21">
        <f t="shared" si="6"/>
        <v>5.7530712017453645E-6</v>
      </c>
      <c r="Q93">
        <f t="shared" si="7"/>
        <v>6.3286439736147573</v>
      </c>
    </row>
    <row r="94" spans="1:17" x14ac:dyDescent="0.15">
      <c r="A94" s="3">
        <v>24685</v>
      </c>
      <c r="B94" s="4">
        <v>3.9E-2</v>
      </c>
      <c r="C94" s="4">
        <v>3.7900000000000003E-2</v>
      </c>
      <c r="D94" s="4">
        <v>3.9800000000000002E-2</v>
      </c>
      <c r="E94" s="4">
        <v>3.9399999999999998E-2</v>
      </c>
      <c r="I94" s="3">
        <v>24685</v>
      </c>
      <c r="J94" s="4">
        <v>3.9E-2</v>
      </c>
      <c r="K94" s="4">
        <v>3.7900000000000003E-2</v>
      </c>
      <c r="L94" s="4">
        <v>3.9800000000000002E-2</v>
      </c>
      <c r="M94" s="4">
        <v>3.9399999999999998E-2</v>
      </c>
      <c r="N94" s="6">
        <f t="shared" si="4"/>
        <v>3.7141260726999997E-2</v>
      </c>
      <c r="O94" s="6">
        <f t="shared" si="5"/>
        <v>1.5603726708074535E-2</v>
      </c>
      <c r="P94" s="21">
        <f t="shared" si="6"/>
        <v>3.4549116849925784E-6</v>
      </c>
      <c r="Q94">
        <f t="shared" si="7"/>
        <v>4.7659981358974433</v>
      </c>
    </row>
    <row r="95" spans="1:17" x14ac:dyDescent="0.15">
      <c r="A95" s="3">
        <v>24716</v>
      </c>
      <c r="B95" s="4">
        <v>3.9900000000000005E-2</v>
      </c>
      <c r="C95" s="4">
        <v>3.9E-2</v>
      </c>
      <c r="D95" s="4">
        <v>3.7900000000000003E-2</v>
      </c>
      <c r="E95" s="4">
        <v>3.9800000000000002E-2</v>
      </c>
      <c r="I95" s="3">
        <v>24716</v>
      </c>
      <c r="J95" s="4">
        <v>3.9900000000000005E-2</v>
      </c>
      <c r="K95" s="4">
        <v>3.9E-2</v>
      </c>
      <c r="L95" s="4">
        <v>3.7900000000000003E-2</v>
      </c>
      <c r="M95" s="4">
        <v>3.9800000000000002E-2</v>
      </c>
      <c r="N95" s="6">
        <f t="shared" si="4"/>
        <v>3.9952551737999997E-2</v>
      </c>
      <c r="O95" s="6">
        <f t="shared" si="5"/>
        <v>1.470372670807453E-2</v>
      </c>
      <c r="P95" s="21">
        <f t="shared" si="6"/>
        <v>2.7616851668198404E-9</v>
      </c>
      <c r="Q95">
        <f t="shared" si="7"/>
        <v>0.1317086165413342</v>
      </c>
    </row>
    <row r="96" spans="1:17" x14ac:dyDescent="0.15">
      <c r="A96" s="3">
        <v>24746</v>
      </c>
      <c r="B96" s="4">
        <v>3.8800000000000001E-2</v>
      </c>
      <c r="C96" s="4">
        <v>3.9900000000000005E-2</v>
      </c>
      <c r="D96" s="4">
        <v>3.9E-2</v>
      </c>
      <c r="E96" s="4">
        <v>3.7900000000000003E-2</v>
      </c>
      <c r="I96" s="3">
        <v>24746</v>
      </c>
      <c r="J96" s="4">
        <v>3.8800000000000001E-2</v>
      </c>
      <c r="K96" s="4">
        <v>3.9900000000000005E-2</v>
      </c>
      <c r="L96" s="4">
        <v>3.9E-2</v>
      </c>
      <c r="M96" s="4">
        <v>3.7900000000000003E-2</v>
      </c>
      <c r="N96" s="6">
        <f t="shared" si="4"/>
        <v>4.0276444127000009E-2</v>
      </c>
      <c r="O96" s="6">
        <f t="shared" si="5"/>
        <v>1.5803726708074534E-2</v>
      </c>
      <c r="P96" s="21">
        <f t="shared" si="6"/>
        <v>2.1798872601528162E-6</v>
      </c>
      <c r="Q96">
        <f t="shared" si="7"/>
        <v>3.8052683685567219</v>
      </c>
    </row>
    <row r="97" spans="1:17" x14ac:dyDescent="0.15">
      <c r="A97" s="3">
        <v>24777</v>
      </c>
      <c r="B97" s="4">
        <v>4.1299999999999996E-2</v>
      </c>
      <c r="C97" s="4">
        <v>3.8800000000000001E-2</v>
      </c>
      <c r="D97" s="4">
        <v>3.9900000000000005E-2</v>
      </c>
      <c r="E97" s="4">
        <v>3.9E-2</v>
      </c>
      <c r="I97" s="3">
        <v>24777</v>
      </c>
      <c r="J97" s="4">
        <v>4.1299999999999996E-2</v>
      </c>
      <c r="K97" s="4">
        <v>3.8800000000000001E-2</v>
      </c>
      <c r="L97" s="4">
        <v>3.9900000000000005E-2</v>
      </c>
      <c r="M97" s="4">
        <v>3.9E-2</v>
      </c>
      <c r="N97" s="6">
        <f t="shared" si="4"/>
        <v>3.8314113056000007E-2</v>
      </c>
      <c r="O97" s="6">
        <f t="shared" si="5"/>
        <v>1.3303726708074538E-2</v>
      </c>
      <c r="P97" s="21">
        <f t="shared" si="6"/>
        <v>8.9155208423495964E-6</v>
      </c>
      <c r="Q97">
        <f t="shared" si="7"/>
        <v>7.2297504697336308</v>
      </c>
    </row>
    <row r="98" spans="1:17" x14ac:dyDescent="0.15">
      <c r="A98" s="3">
        <v>24807</v>
      </c>
      <c r="B98" s="4">
        <v>4.5100000000000001E-2</v>
      </c>
      <c r="C98" s="4">
        <v>4.1299999999999996E-2</v>
      </c>
      <c r="D98" s="4">
        <v>3.8800000000000001E-2</v>
      </c>
      <c r="E98" s="4">
        <v>3.9900000000000005E-2</v>
      </c>
      <c r="I98" s="3">
        <v>24807</v>
      </c>
      <c r="J98" s="4">
        <v>4.5100000000000001E-2</v>
      </c>
      <c r="K98" s="4">
        <v>4.1299999999999996E-2</v>
      </c>
      <c r="L98" s="4">
        <v>3.8800000000000001E-2</v>
      </c>
      <c r="M98" s="4">
        <v>3.9900000000000005E-2</v>
      </c>
      <c r="N98" s="6">
        <f t="shared" si="4"/>
        <v>4.2732932444999989E-2</v>
      </c>
      <c r="O98" s="6">
        <f t="shared" si="5"/>
        <v>9.5037267080745336E-3</v>
      </c>
      <c r="P98" s="21">
        <f t="shared" si="6"/>
        <v>5.6030088099337332E-6</v>
      </c>
      <c r="Q98">
        <f t="shared" si="7"/>
        <v>5.2484868181818438</v>
      </c>
    </row>
    <row r="99" spans="1:17" x14ac:dyDescent="0.15">
      <c r="A99" s="3">
        <v>24838</v>
      </c>
      <c r="B99" s="4">
        <v>4.5999999999999999E-2</v>
      </c>
      <c r="C99" s="4">
        <v>4.5100000000000001E-2</v>
      </c>
      <c r="D99" s="4">
        <v>4.1299999999999996E-2</v>
      </c>
      <c r="E99" s="4">
        <v>3.8800000000000001E-2</v>
      </c>
      <c r="I99" s="3">
        <v>24838</v>
      </c>
      <c r="J99" s="4">
        <v>4.5999999999999999E-2</v>
      </c>
      <c r="K99" s="4">
        <v>4.5100000000000001E-2</v>
      </c>
      <c r="L99" s="4">
        <v>4.1299999999999996E-2</v>
      </c>
      <c r="M99" s="4">
        <v>3.8800000000000001E-2</v>
      </c>
      <c r="N99" s="6">
        <f t="shared" si="4"/>
        <v>4.6506777355000001E-2</v>
      </c>
      <c r="O99" s="6">
        <f t="shared" si="5"/>
        <v>8.6037267080745355E-3</v>
      </c>
      <c r="P99" s="21">
        <f t="shared" si="6"/>
        <v>2.5682328754079756E-7</v>
      </c>
      <c r="Q99">
        <f t="shared" si="7"/>
        <v>1.1016899021739164</v>
      </c>
    </row>
    <row r="100" spans="1:17" x14ac:dyDescent="0.15">
      <c r="A100" s="3">
        <v>24869</v>
      </c>
      <c r="B100" s="4">
        <v>4.7100000000000003E-2</v>
      </c>
      <c r="C100" s="4">
        <v>4.5999999999999999E-2</v>
      </c>
      <c r="D100" s="4">
        <v>4.5100000000000001E-2</v>
      </c>
      <c r="E100" s="4">
        <v>4.1299999999999996E-2</v>
      </c>
      <c r="I100" s="3">
        <v>24869</v>
      </c>
      <c r="J100" s="4">
        <v>4.7100000000000003E-2</v>
      </c>
      <c r="K100" s="4">
        <v>4.5999999999999999E-2</v>
      </c>
      <c r="L100" s="4">
        <v>4.5100000000000001E-2</v>
      </c>
      <c r="M100" s="4">
        <v>4.1299999999999996E-2</v>
      </c>
      <c r="N100" s="6">
        <f t="shared" si="4"/>
        <v>4.5874202868000001E-2</v>
      </c>
      <c r="O100" s="6">
        <f t="shared" si="5"/>
        <v>7.5037267080745318E-3</v>
      </c>
      <c r="P100" s="21">
        <f t="shared" si="6"/>
        <v>1.50257860881943E-6</v>
      </c>
      <c r="Q100">
        <f t="shared" si="7"/>
        <v>2.6025416815286664</v>
      </c>
    </row>
    <row r="101" spans="1:17" x14ac:dyDescent="0.15">
      <c r="A101" s="3">
        <v>24898</v>
      </c>
      <c r="B101" s="4">
        <v>5.0499999999999996E-2</v>
      </c>
      <c r="C101" s="4">
        <v>4.7100000000000003E-2</v>
      </c>
      <c r="D101" s="4">
        <v>4.5999999999999999E-2</v>
      </c>
      <c r="E101" s="4">
        <v>4.5100000000000001E-2</v>
      </c>
      <c r="I101" s="3">
        <v>24898</v>
      </c>
      <c r="J101" s="4">
        <v>5.0499999999999996E-2</v>
      </c>
      <c r="K101" s="4">
        <v>4.7100000000000003E-2</v>
      </c>
      <c r="L101" s="4">
        <v>4.5999999999999999E-2</v>
      </c>
      <c r="M101" s="4">
        <v>4.5100000000000001E-2</v>
      </c>
      <c r="N101" s="6">
        <f t="shared" si="4"/>
        <v>4.7509768143000002E-2</v>
      </c>
      <c r="O101" s="6">
        <f t="shared" si="5"/>
        <v>4.1037267080745385E-3</v>
      </c>
      <c r="P101" s="21">
        <f t="shared" si="6"/>
        <v>8.9414865586176365E-6</v>
      </c>
      <c r="Q101">
        <f t="shared" si="7"/>
        <v>5.921251201980188</v>
      </c>
    </row>
    <row r="102" spans="1:17" x14ac:dyDescent="0.15">
      <c r="A102" s="3">
        <v>24929</v>
      </c>
      <c r="B102" s="4">
        <v>5.7599999999999998E-2</v>
      </c>
      <c r="C102" s="4">
        <v>5.0499999999999996E-2</v>
      </c>
      <c r="D102" s="4">
        <v>4.7100000000000003E-2</v>
      </c>
      <c r="E102" s="4">
        <v>4.5999999999999999E-2</v>
      </c>
      <c r="I102" s="3">
        <v>24929</v>
      </c>
      <c r="J102" s="4">
        <v>5.7599999999999998E-2</v>
      </c>
      <c r="K102" s="4">
        <v>5.0499999999999996E-2</v>
      </c>
      <c r="L102" s="4">
        <v>4.7100000000000003E-2</v>
      </c>
      <c r="M102" s="4">
        <v>4.5999999999999999E-2</v>
      </c>
      <c r="N102" s="6">
        <f t="shared" si="4"/>
        <v>5.1879786544999994E-2</v>
      </c>
      <c r="O102" s="6">
        <f t="shared" si="5"/>
        <v>2.9962732919254637E-3</v>
      </c>
      <c r="P102" s="21">
        <f t="shared" si="6"/>
        <v>3.2720841970763094E-5</v>
      </c>
      <c r="Q102">
        <f t="shared" si="7"/>
        <v>9.9309261371527864</v>
      </c>
    </row>
    <row r="103" spans="1:17" x14ac:dyDescent="0.15">
      <c r="A103" s="3">
        <v>24959</v>
      </c>
      <c r="B103" s="4">
        <v>6.1100000000000002E-2</v>
      </c>
      <c r="C103" s="4">
        <v>5.7599999999999998E-2</v>
      </c>
      <c r="D103" s="4">
        <v>5.0499999999999996E-2</v>
      </c>
      <c r="E103" s="4">
        <v>4.7100000000000003E-2</v>
      </c>
      <c r="I103" s="3">
        <v>24959</v>
      </c>
      <c r="J103" s="4">
        <v>6.1100000000000002E-2</v>
      </c>
      <c r="K103" s="4">
        <v>5.7599999999999998E-2</v>
      </c>
      <c r="L103" s="4">
        <v>5.0499999999999996E-2</v>
      </c>
      <c r="M103" s="4">
        <v>4.7100000000000003E-2</v>
      </c>
      <c r="N103" s="6">
        <f t="shared" si="4"/>
        <v>6.0207375048E-2</v>
      </c>
      <c r="O103" s="6">
        <f t="shared" si="5"/>
        <v>6.4962732919254668E-3</v>
      </c>
      <c r="P103" s="21">
        <f t="shared" si="6"/>
        <v>7.967793049330045E-7</v>
      </c>
      <c r="Q103">
        <f t="shared" si="7"/>
        <v>1.4609246350245519</v>
      </c>
    </row>
    <row r="104" spans="1:17" x14ac:dyDescent="0.15">
      <c r="A104" s="3">
        <v>24990</v>
      </c>
      <c r="B104" s="4">
        <v>6.0700000000000004E-2</v>
      </c>
      <c r="C104" s="4">
        <v>6.1100000000000002E-2</v>
      </c>
      <c r="D104" s="4">
        <v>5.7599999999999998E-2</v>
      </c>
      <c r="E104" s="4">
        <v>5.0499999999999996E-2</v>
      </c>
      <c r="I104" s="3">
        <v>24990</v>
      </c>
      <c r="J104" s="4">
        <v>6.0700000000000004E-2</v>
      </c>
      <c r="K104" s="4">
        <v>6.1100000000000002E-2</v>
      </c>
      <c r="L104" s="4">
        <v>5.7599999999999998E-2</v>
      </c>
      <c r="M104" s="4">
        <v>5.0499999999999996E-2</v>
      </c>
      <c r="N104" s="6">
        <f t="shared" si="4"/>
        <v>6.1445625106999996E-2</v>
      </c>
      <c r="O104" s="6">
        <f t="shared" si="5"/>
        <v>6.0962732919254692E-3</v>
      </c>
      <c r="P104" s="21">
        <f t="shared" si="6"/>
        <v>5.5595680018874948E-7</v>
      </c>
      <c r="Q104">
        <f t="shared" si="7"/>
        <v>1.2283774415156374</v>
      </c>
    </row>
    <row r="105" spans="1:17" x14ac:dyDescent="0.15">
      <c r="A105" s="3">
        <v>25020</v>
      </c>
      <c r="B105" s="4">
        <v>6.0199999999999997E-2</v>
      </c>
      <c r="C105" s="4">
        <v>6.0700000000000004E-2</v>
      </c>
      <c r="D105" s="4">
        <v>6.1100000000000002E-2</v>
      </c>
      <c r="E105" s="4">
        <v>5.7599999999999998E-2</v>
      </c>
      <c r="I105" s="3">
        <v>25020</v>
      </c>
      <c r="J105" s="4">
        <v>6.0199999999999997E-2</v>
      </c>
      <c r="K105" s="4">
        <v>6.0700000000000004E-2</v>
      </c>
      <c r="L105" s="4">
        <v>6.1100000000000002E-2</v>
      </c>
      <c r="M105" s="4">
        <v>5.7599999999999998E-2</v>
      </c>
      <c r="N105" s="6">
        <f t="shared" si="4"/>
        <v>5.9849915695000006E-2</v>
      </c>
      <c r="O105" s="6">
        <f t="shared" si="5"/>
        <v>5.5962732919254618E-3</v>
      </c>
      <c r="P105" s="21">
        <f t="shared" si="6"/>
        <v>1.2255902060732675E-7</v>
      </c>
      <c r="Q105">
        <f t="shared" si="7"/>
        <v>0.58153539036543367</v>
      </c>
    </row>
    <row r="106" spans="1:17" x14ac:dyDescent="0.15">
      <c r="A106" s="3">
        <v>25051</v>
      </c>
      <c r="B106" s="4">
        <v>6.0299999999999999E-2</v>
      </c>
      <c r="C106" s="4">
        <v>6.0199999999999997E-2</v>
      </c>
      <c r="D106" s="4">
        <v>6.0700000000000004E-2</v>
      </c>
      <c r="E106" s="4">
        <v>6.1100000000000002E-2</v>
      </c>
      <c r="I106" s="3">
        <v>25051</v>
      </c>
      <c r="J106" s="4">
        <v>6.0299999999999999E-2</v>
      </c>
      <c r="K106" s="4">
        <v>6.0199999999999997E-2</v>
      </c>
      <c r="L106" s="4">
        <v>6.0700000000000004E-2</v>
      </c>
      <c r="M106" s="4">
        <v>6.1100000000000002E-2</v>
      </c>
      <c r="N106" s="6">
        <f t="shared" si="4"/>
        <v>5.9927210369999984E-2</v>
      </c>
      <c r="O106" s="6">
        <f t="shared" si="5"/>
        <v>5.6962732919254647E-3</v>
      </c>
      <c r="P106" s="21">
        <f t="shared" si="6"/>
        <v>1.389721082355487E-7</v>
      </c>
      <c r="Q106">
        <f t="shared" si="7"/>
        <v>0.61822492537316054</v>
      </c>
    </row>
    <row r="107" spans="1:17" x14ac:dyDescent="0.15">
      <c r="A107" s="3">
        <v>25082</v>
      </c>
      <c r="B107" s="4">
        <v>5.7800000000000004E-2</v>
      </c>
      <c r="C107" s="4">
        <v>6.0299999999999999E-2</v>
      </c>
      <c r="D107" s="4">
        <v>6.0199999999999997E-2</v>
      </c>
      <c r="E107" s="4">
        <v>6.0700000000000004E-2</v>
      </c>
      <c r="I107" s="3">
        <v>25082</v>
      </c>
      <c r="J107" s="4">
        <v>5.7800000000000004E-2</v>
      </c>
      <c r="K107" s="4">
        <v>6.0299999999999999E-2</v>
      </c>
      <c r="L107" s="4">
        <v>6.0199999999999997E-2</v>
      </c>
      <c r="M107" s="4">
        <v>6.0700000000000004E-2</v>
      </c>
      <c r="N107" s="6">
        <f t="shared" si="4"/>
        <v>6.0314046042999996E-2</v>
      </c>
      <c r="O107" s="6">
        <f t="shared" si="5"/>
        <v>3.1962732919254694E-3</v>
      </c>
      <c r="P107" s="21">
        <f t="shared" si="6"/>
        <v>6.3204275063239148E-6</v>
      </c>
      <c r="Q107">
        <f t="shared" si="7"/>
        <v>4.3495606280276666</v>
      </c>
    </row>
    <row r="108" spans="1:17" x14ac:dyDescent="0.15">
      <c r="A108" s="3">
        <v>25112</v>
      </c>
      <c r="B108" s="4">
        <v>5.91E-2</v>
      </c>
      <c r="C108" s="4">
        <v>5.7800000000000004E-2</v>
      </c>
      <c r="D108" s="4">
        <v>6.0299999999999999E-2</v>
      </c>
      <c r="E108" s="4">
        <v>6.0199999999999997E-2</v>
      </c>
      <c r="I108" s="3">
        <v>25112</v>
      </c>
      <c r="J108" s="4">
        <v>5.91E-2</v>
      </c>
      <c r="K108" s="4">
        <v>5.7800000000000004E-2</v>
      </c>
      <c r="L108" s="4">
        <v>6.0299999999999999E-2</v>
      </c>
      <c r="M108" s="4">
        <v>6.0199999999999997E-2</v>
      </c>
      <c r="N108" s="6">
        <f t="shared" si="4"/>
        <v>5.6570305238000003E-2</v>
      </c>
      <c r="O108" s="6">
        <f t="shared" si="5"/>
        <v>4.496273291925465E-3</v>
      </c>
      <c r="P108" s="21">
        <f t="shared" si="6"/>
        <v>6.399355588890221E-6</v>
      </c>
      <c r="Q108">
        <f t="shared" si="7"/>
        <v>4.280363387478844</v>
      </c>
    </row>
    <row r="109" spans="1:17" x14ac:dyDescent="0.15">
      <c r="A109" s="3">
        <v>25143</v>
      </c>
      <c r="B109" s="4">
        <v>5.8200000000000002E-2</v>
      </c>
      <c r="C109" s="4">
        <v>5.91E-2</v>
      </c>
      <c r="D109" s="4">
        <v>5.7800000000000004E-2</v>
      </c>
      <c r="E109" s="4">
        <v>6.0299999999999999E-2</v>
      </c>
      <c r="I109" s="3">
        <v>25143</v>
      </c>
      <c r="J109" s="4">
        <v>5.8200000000000002E-2</v>
      </c>
      <c r="K109" s="4">
        <v>5.91E-2</v>
      </c>
      <c r="L109" s="4">
        <v>5.7800000000000004E-2</v>
      </c>
      <c r="M109" s="4">
        <v>6.0299999999999999E-2</v>
      </c>
      <c r="N109" s="6">
        <f t="shared" si="4"/>
        <v>5.9989564975E-2</v>
      </c>
      <c r="O109" s="6">
        <f t="shared" si="5"/>
        <v>3.596273291925467E-3</v>
      </c>
      <c r="P109" s="21">
        <f t="shared" si="6"/>
        <v>3.2025427997467427E-6</v>
      </c>
      <c r="Q109">
        <f t="shared" si="7"/>
        <v>3.074853908934704</v>
      </c>
    </row>
    <row r="110" spans="1:17" x14ac:dyDescent="0.15">
      <c r="A110" s="3">
        <v>25173</v>
      </c>
      <c r="B110" s="4">
        <v>6.0199999999999997E-2</v>
      </c>
      <c r="C110" s="4">
        <v>5.8200000000000002E-2</v>
      </c>
      <c r="D110" s="4">
        <v>5.91E-2</v>
      </c>
      <c r="E110" s="4">
        <v>5.7800000000000004E-2</v>
      </c>
      <c r="I110" s="3">
        <v>25173</v>
      </c>
      <c r="J110" s="4">
        <v>6.0199999999999997E-2</v>
      </c>
      <c r="K110" s="4">
        <v>5.8200000000000002E-2</v>
      </c>
      <c r="L110" s="4">
        <v>5.91E-2</v>
      </c>
      <c r="M110" s="4">
        <v>5.7800000000000004E-2</v>
      </c>
      <c r="N110" s="6">
        <f t="shared" si="4"/>
        <v>5.7501709562000014E-2</v>
      </c>
      <c r="O110" s="6">
        <f t="shared" si="5"/>
        <v>5.5962732919254618E-3</v>
      </c>
      <c r="P110" s="21">
        <f t="shared" si="6"/>
        <v>7.2807712878021372E-6</v>
      </c>
      <c r="Q110">
        <f t="shared" si="7"/>
        <v>4.4822100299003038</v>
      </c>
    </row>
    <row r="111" spans="1:17" x14ac:dyDescent="0.15">
      <c r="A111" s="3">
        <v>25204</v>
      </c>
      <c r="B111" s="4">
        <v>6.3E-2</v>
      </c>
      <c r="C111" s="4">
        <v>6.0199999999999997E-2</v>
      </c>
      <c r="D111" s="4">
        <v>5.8200000000000002E-2</v>
      </c>
      <c r="E111" s="4">
        <v>5.91E-2</v>
      </c>
      <c r="I111" s="3">
        <v>25204</v>
      </c>
      <c r="J111" s="4">
        <v>6.3E-2</v>
      </c>
      <c r="K111" s="4">
        <v>6.0199999999999997E-2</v>
      </c>
      <c r="L111" s="4">
        <v>5.8200000000000002E-2</v>
      </c>
      <c r="M111" s="4">
        <v>5.91E-2</v>
      </c>
      <c r="N111" s="6">
        <f t="shared" si="4"/>
        <v>6.1140684949999982E-2</v>
      </c>
      <c r="O111" s="6">
        <f t="shared" si="5"/>
        <v>8.3962732919254657E-3</v>
      </c>
      <c r="P111" s="21">
        <f t="shared" si="6"/>
        <v>3.4570524551565706E-6</v>
      </c>
      <c r="Q111">
        <f t="shared" si="7"/>
        <v>2.951293730158759</v>
      </c>
    </row>
    <row r="112" spans="1:17" x14ac:dyDescent="0.15">
      <c r="A112" s="3">
        <v>25235</v>
      </c>
      <c r="B112" s="4">
        <v>6.6100000000000006E-2</v>
      </c>
      <c r="C112" s="4">
        <v>6.3E-2</v>
      </c>
      <c r="D112" s="4">
        <v>6.0199999999999997E-2</v>
      </c>
      <c r="E112" s="4">
        <v>5.8200000000000002E-2</v>
      </c>
      <c r="I112" s="3">
        <v>25235</v>
      </c>
      <c r="J112" s="4">
        <v>6.6100000000000006E-2</v>
      </c>
      <c r="K112" s="4">
        <v>6.3E-2</v>
      </c>
      <c r="L112" s="4">
        <v>6.0199999999999997E-2</v>
      </c>
      <c r="M112" s="4">
        <v>5.8200000000000002E-2</v>
      </c>
      <c r="N112" s="6">
        <f t="shared" si="4"/>
        <v>6.3810661581999994E-2</v>
      </c>
      <c r="O112" s="6">
        <f t="shared" si="5"/>
        <v>1.1496273291925471E-2</v>
      </c>
      <c r="P112" s="21">
        <f t="shared" si="6"/>
        <v>5.2410703921307953E-6</v>
      </c>
      <c r="Q112">
        <f t="shared" si="7"/>
        <v>3.4634469258699112</v>
      </c>
    </row>
    <row r="113" spans="1:17" x14ac:dyDescent="0.15">
      <c r="A113" s="3">
        <v>25263</v>
      </c>
      <c r="B113" s="4">
        <v>6.7900000000000002E-2</v>
      </c>
      <c r="C113" s="4">
        <v>6.6100000000000006E-2</v>
      </c>
      <c r="D113" s="4">
        <v>6.3E-2</v>
      </c>
      <c r="E113" s="4">
        <v>6.0199999999999997E-2</v>
      </c>
      <c r="I113" s="3">
        <v>25263</v>
      </c>
      <c r="J113" s="4">
        <v>6.7900000000000002E-2</v>
      </c>
      <c r="K113" s="4">
        <v>6.6100000000000006E-2</v>
      </c>
      <c r="L113" s="4">
        <v>6.3E-2</v>
      </c>
      <c r="M113" s="4">
        <v>6.0199999999999997E-2</v>
      </c>
      <c r="N113" s="6">
        <f t="shared" si="4"/>
        <v>6.6881995769000016E-2</v>
      </c>
      <c r="O113" s="6">
        <f t="shared" si="5"/>
        <v>1.3296273291925467E-2</v>
      </c>
      <c r="P113" s="21">
        <f t="shared" si="6"/>
        <v>1.0363326143338727E-6</v>
      </c>
      <c r="Q113">
        <f t="shared" si="7"/>
        <v>1.4992698541973282</v>
      </c>
    </row>
    <row r="114" spans="1:17" x14ac:dyDescent="0.15">
      <c r="A114" s="3">
        <v>25294</v>
      </c>
      <c r="B114" s="4">
        <v>7.4099999999999999E-2</v>
      </c>
      <c r="C114" s="4">
        <v>6.7900000000000002E-2</v>
      </c>
      <c r="D114" s="4">
        <v>6.6100000000000006E-2</v>
      </c>
      <c r="E114" s="4">
        <v>6.3E-2</v>
      </c>
      <c r="I114" s="3">
        <v>25294</v>
      </c>
      <c r="J114" s="4">
        <v>7.4099999999999999E-2</v>
      </c>
      <c r="K114" s="4">
        <v>6.7900000000000002E-2</v>
      </c>
      <c r="L114" s="4">
        <v>6.6100000000000006E-2</v>
      </c>
      <c r="M114" s="4">
        <v>6.3E-2</v>
      </c>
      <c r="N114" s="6">
        <f t="shared" si="4"/>
        <v>6.8022404583000004E-2</v>
      </c>
      <c r="O114" s="6">
        <f t="shared" si="5"/>
        <v>1.9496273291925464E-2</v>
      </c>
      <c r="P114" s="21">
        <f t="shared" si="6"/>
        <v>3.6937166052739344E-5</v>
      </c>
      <c r="Q114">
        <f t="shared" si="7"/>
        <v>8.201883153846147</v>
      </c>
    </row>
    <row r="115" spans="1:17" x14ac:dyDescent="0.15">
      <c r="A115" s="3">
        <v>25324</v>
      </c>
      <c r="B115" s="4">
        <v>8.6699999999999999E-2</v>
      </c>
      <c r="C115" s="4">
        <v>7.4099999999999999E-2</v>
      </c>
      <c r="D115" s="4">
        <v>6.7900000000000002E-2</v>
      </c>
      <c r="E115" s="4">
        <v>6.6100000000000006E-2</v>
      </c>
      <c r="I115" s="3">
        <v>25324</v>
      </c>
      <c r="J115" s="4">
        <v>8.6699999999999999E-2</v>
      </c>
      <c r="K115" s="4">
        <v>7.4099999999999999E-2</v>
      </c>
      <c r="L115" s="4">
        <v>6.7900000000000002E-2</v>
      </c>
      <c r="M115" s="4">
        <v>6.6100000000000006E-2</v>
      </c>
      <c r="N115" s="6">
        <f t="shared" si="4"/>
        <v>7.6347832592999987E-2</v>
      </c>
      <c r="O115" s="6">
        <f t="shared" si="5"/>
        <v>3.2096273291925465E-2</v>
      </c>
      <c r="P115" s="21">
        <f t="shared" si="6"/>
        <v>1.0716737002255337E-4</v>
      </c>
      <c r="Q115">
        <f t="shared" si="7"/>
        <v>11.940216155709358</v>
      </c>
    </row>
    <row r="116" spans="1:17" x14ac:dyDescent="0.15">
      <c r="A116" s="3">
        <v>25355</v>
      </c>
      <c r="B116" s="4">
        <v>8.900000000000001E-2</v>
      </c>
      <c r="C116" s="4">
        <v>8.6699999999999999E-2</v>
      </c>
      <c r="D116" s="4">
        <v>7.4099999999999999E-2</v>
      </c>
      <c r="E116" s="4">
        <v>6.7900000000000002E-2</v>
      </c>
      <c r="I116" s="3">
        <v>25355</v>
      </c>
      <c r="J116" s="4">
        <v>8.900000000000001E-2</v>
      </c>
      <c r="K116" s="4">
        <v>8.6699999999999999E-2</v>
      </c>
      <c r="L116" s="4">
        <v>7.4099999999999999E-2</v>
      </c>
      <c r="M116" s="4">
        <v>6.7900000000000002E-2</v>
      </c>
      <c r="N116" s="6">
        <f t="shared" si="4"/>
        <v>9.1000637303000009E-2</v>
      </c>
      <c r="O116" s="6">
        <f t="shared" si="5"/>
        <v>3.4396273291925475E-2</v>
      </c>
      <c r="P116" s="21">
        <f t="shared" si="6"/>
        <v>4.0025496181551125E-6</v>
      </c>
      <c r="Q116">
        <f t="shared" si="7"/>
        <v>2.2479070820224711</v>
      </c>
    </row>
    <row r="117" spans="1:17" x14ac:dyDescent="0.15">
      <c r="A117" s="3">
        <v>25385</v>
      </c>
      <c r="B117" s="4">
        <v>8.6099999999999996E-2</v>
      </c>
      <c r="C117" s="4">
        <v>8.900000000000001E-2</v>
      </c>
      <c r="D117" s="4">
        <v>8.6699999999999999E-2</v>
      </c>
      <c r="E117" s="4">
        <v>7.4099999999999999E-2</v>
      </c>
      <c r="I117" s="3">
        <v>25385</v>
      </c>
      <c r="J117" s="4">
        <v>8.6099999999999996E-2</v>
      </c>
      <c r="K117" s="4">
        <v>8.900000000000001E-2</v>
      </c>
      <c r="L117" s="4">
        <v>8.6699999999999999E-2</v>
      </c>
      <c r="M117" s="4">
        <v>7.4099999999999999E-2</v>
      </c>
      <c r="N117" s="6">
        <f t="shared" si="4"/>
        <v>8.7586635866000032E-2</v>
      </c>
      <c r="O117" s="6">
        <f t="shared" si="5"/>
        <v>3.1496273291925461E-2</v>
      </c>
      <c r="P117" s="21">
        <f t="shared" si="6"/>
        <v>2.2100861980776758E-6</v>
      </c>
      <c r="Q117">
        <f t="shared" si="7"/>
        <v>1.7266386364692632</v>
      </c>
    </row>
    <row r="118" spans="1:17" x14ac:dyDescent="0.15">
      <c r="A118" s="3">
        <v>25416</v>
      </c>
      <c r="B118" s="4">
        <v>9.1899999999999996E-2</v>
      </c>
      <c r="C118" s="4">
        <v>8.6099999999999996E-2</v>
      </c>
      <c r="D118" s="4">
        <v>8.900000000000001E-2</v>
      </c>
      <c r="E118" s="4">
        <v>8.6699999999999999E-2</v>
      </c>
      <c r="I118" s="3">
        <v>25416</v>
      </c>
      <c r="J118" s="4">
        <v>9.1899999999999996E-2</v>
      </c>
      <c r="K118" s="4">
        <v>8.6099999999999996E-2</v>
      </c>
      <c r="L118" s="4">
        <v>8.900000000000001E-2</v>
      </c>
      <c r="M118" s="4">
        <v>8.6699999999999999E-2</v>
      </c>
      <c r="N118" s="6">
        <f t="shared" si="4"/>
        <v>8.3991033108999996E-2</v>
      </c>
      <c r="O118" s="6">
        <f t="shared" si="5"/>
        <v>3.7296273291925461E-2</v>
      </c>
      <c r="P118" s="21">
        <f t="shared" si="6"/>
        <v>6.2551757282934201E-5</v>
      </c>
      <c r="Q118">
        <f t="shared" si="7"/>
        <v>8.6060575527747556</v>
      </c>
    </row>
    <row r="119" spans="1:17" x14ac:dyDescent="0.15">
      <c r="A119" s="3">
        <v>25447</v>
      </c>
      <c r="B119" s="4">
        <v>9.1499999999999998E-2</v>
      </c>
      <c r="C119" s="4">
        <v>9.1899999999999996E-2</v>
      </c>
      <c r="D119" s="4">
        <v>8.6099999999999996E-2</v>
      </c>
      <c r="E119" s="4">
        <v>8.900000000000001E-2</v>
      </c>
      <c r="I119" s="3">
        <v>25447</v>
      </c>
      <c r="J119" s="4">
        <v>9.1499999999999998E-2</v>
      </c>
      <c r="K119" s="4">
        <v>9.1899999999999996E-2</v>
      </c>
      <c r="L119" s="4">
        <v>8.6099999999999996E-2</v>
      </c>
      <c r="M119" s="4">
        <v>8.900000000000001E-2</v>
      </c>
      <c r="N119" s="6">
        <f t="shared" si="4"/>
        <v>9.4489129223000012E-2</v>
      </c>
      <c r="O119" s="6">
        <f t="shared" si="5"/>
        <v>3.6896273291925463E-2</v>
      </c>
      <c r="P119" s="21">
        <f t="shared" si="6"/>
        <v>8.9348935117926692E-6</v>
      </c>
      <c r="Q119">
        <f t="shared" si="7"/>
        <v>3.2668078939890868</v>
      </c>
    </row>
    <row r="120" spans="1:17" x14ac:dyDescent="0.15">
      <c r="A120" s="3">
        <v>25477</v>
      </c>
      <c r="B120" s="4">
        <v>0.09</v>
      </c>
      <c r="C120" s="4">
        <v>9.1499999999999998E-2</v>
      </c>
      <c r="D120" s="4">
        <v>9.1899999999999996E-2</v>
      </c>
      <c r="E120" s="4">
        <v>8.6099999999999996E-2</v>
      </c>
      <c r="I120" s="3">
        <v>25477</v>
      </c>
      <c r="J120" s="4">
        <v>0.09</v>
      </c>
      <c r="K120" s="4">
        <v>9.1499999999999998E-2</v>
      </c>
      <c r="L120" s="4">
        <v>9.1899999999999996E-2</v>
      </c>
      <c r="M120" s="4">
        <v>8.6099999999999996E-2</v>
      </c>
      <c r="N120" s="6">
        <f t="shared" si="4"/>
        <v>8.990542751100003E-2</v>
      </c>
      <c r="O120" s="6">
        <f t="shared" si="5"/>
        <v>3.5396273291925462E-2</v>
      </c>
      <c r="P120" s="21">
        <f t="shared" si="6"/>
        <v>8.9439556756488066E-9</v>
      </c>
      <c r="Q120">
        <f t="shared" si="7"/>
        <v>0.10508054333329625</v>
      </c>
    </row>
    <row r="121" spans="1:17" x14ac:dyDescent="0.15">
      <c r="A121" s="3">
        <v>25508</v>
      </c>
      <c r="B121" s="4">
        <v>8.8499999999999995E-2</v>
      </c>
      <c r="C121" s="4">
        <v>0.09</v>
      </c>
      <c r="D121" s="4">
        <v>9.1499999999999998E-2</v>
      </c>
      <c r="E121" s="4">
        <v>9.1899999999999996E-2</v>
      </c>
      <c r="I121" s="3">
        <v>25508</v>
      </c>
      <c r="J121" s="4">
        <v>8.8499999999999995E-2</v>
      </c>
      <c r="K121" s="4">
        <v>0.09</v>
      </c>
      <c r="L121" s="4">
        <v>9.1499999999999998E-2</v>
      </c>
      <c r="M121" s="4">
        <v>9.1899999999999996E-2</v>
      </c>
      <c r="N121" s="6">
        <f t="shared" si="4"/>
        <v>8.8904884723999988E-2</v>
      </c>
      <c r="O121" s="6">
        <f t="shared" si="5"/>
        <v>3.3896273291925461E-2</v>
      </c>
      <c r="P121" s="21">
        <f t="shared" si="6"/>
        <v>1.6393163972855059E-7</v>
      </c>
      <c r="Q121">
        <f t="shared" si="7"/>
        <v>0.45749686327682837</v>
      </c>
    </row>
    <row r="122" spans="1:17" x14ac:dyDescent="0.15">
      <c r="A122" s="3">
        <v>25538</v>
      </c>
      <c r="B122" s="4">
        <v>8.9700000000000002E-2</v>
      </c>
      <c r="C122" s="4">
        <v>8.8499999999999995E-2</v>
      </c>
      <c r="D122" s="4">
        <v>0.09</v>
      </c>
      <c r="E122" s="4">
        <v>9.1499999999999998E-2</v>
      </c>
      <c r="I122" s="3">
        <v>25538</v>
      </c>
      <c r="J122" s="4">
        <v>8.9700000000000002E-2</v>
      </c>
      <c r="K122" s="4">
        <v>8.8499999999999995E-2</v>
      </c>
      <c r="L122" s="4">
        <v>0.09</v>
      </c>
      <c r="M122" s="4">
        <v>9.1499999999999998E-2</v>
      </c>
      <c r="N122" s="6">
        <f t="shared" si="4"/>
        <v>8.7597317285000004E-2</v>
      </c>
      <c r="O122" s="6">
        <f t="shared" si="5"/>
        <v>3.5096273291925467E-2</v>
      </c>
      <c r="P122" s="21">
        <f t="shared" si="6"/>
        <v>4.4212745999597639E-6</v>
      </c>
      <c r="Q122">
        <f t="shared" si="7"/>
        <v>2.3441278874024505</v>
      </c>
    </row>
    <row r="123" spans="1:17" x14ac:dyDescent="0.15">
      <c r="A123" s="3">
        <v>25569</v>
      </c>
      <c r="B123" s="4">
        <v>8.9800000000000005E-2</v>
      </c>
      <c r="C123" s="4">
        <v>8.9700000000000002E-2</v>
      </c>
      <c r="D123" s="4">
        <v>8.8499999999999995E-2</v>
      </c>
      <c r="E123" s="4">
        <v>0.09</v>
      </c>
      <c r="I123" s="3">
        <v>25569</v>
      </c>
      <c r="J123" s="4">
        <v>8.9800000000000005E-2</v>
      </c>
      <c r="K123" s="4">
        <v>8.9700000000000002E-2</v>
      </c>
      <c r="L123" s="4">
        <v>8.8499999999999995E-2</v>
      </c>
      <c r="M123" s="4">
        <v>0.09</v>
      </c>
      <c r="N123" s="6">
        <f t="shared" si="4"/>
        <v>9.0007668929000015E-2</v>
      </c>
      <c r="O123" s="6">
        <f t="shared" si="5"/>
        <v>3.519627329192547E-2</v>
      </c>
      <c r="P123" s="21">
        <f t="shared" si="6"/>
        <v>4.3126384072011189E-8</v>
      </c>
      <c r="Q123">
        <f t="shared" si="7"/>
        <v>0.23125715924277282</v>
      </c>
    </row>
    <row r="124" spans="1:17" x14ac:dyDescent="0.15">
      <c r="A124" s="3">
        <v>25600</v>
      </c>
      <c r="B124" s="4">
        <v>8.9800000000000005E-2</v>
      </c>
      <c r="C124" s="4">
        <v>8.9800000000000005E-2</v>
      </c>
      <c r="D124" s="4">
        <v>8.9700000000000002E-2</v>
      </c>
      <c r="E124" s="4">
        <v>8.8499999999999995E-2</v>
      </c>
      <c r="I124" s="3">
        <v>25600</v>
      </c>
      <c r="J124" s="4">
        <v>8.9800000000000005E-2</v>
      </c>
      <c r="K124" s="4">
        <v>8.9800000000000005E-2</v>
      </c>
      <c r="L124" s="4">
        <v>8.9700000000000002E-2</v>
      </c>
      <c r="M124" s="4">
        <v>8.8499999999999995E-2</v>
      </c>
      <c r="N124" s="6">
        <f t="shared" si="4"/>
        <v>8.9180479946000007E-2</v>
      </c>
      <c r="O124" s="6">
        <f t="shared" si="5"/>
        <v>3.519627329192547E-2</v>
      </c>
      <c r="P124" s="21">
        <f t="shared" si="6"/>
        <v>3.8380509730815958E-7</v>
      </c>
      <c r="Q124">
        <f t="shared" si="7"/>
        <v>0.68988870155901705</v>
      </c>
    </row>
    <row r="125" spans="1:17" x14ac:dyDescent="0.15">
      <c r="A125" s="3">
        <v>25628</v>
      </c>
      <c r="B125" s="4">
        <v>7.7600000000000002E-2</v>
      </c>
      <c r="C125" s="4">
        <v>8.9800000000000005E-2</v>
      </c>
      <c r="D125" s="4">
        <v>8.9800000000000005E-2</v>
      </c>
      <c r="E125" s="4">
        <v>8.9700000000000002E-2</v>
      </c>
      <c r="I125" s="3">
        <v>25628</v>
      </c>
      <c r="J125" s="4">
        <v>7.7600000000000002E-2</v>
      </c>
      <c r="K125" s="4">
        <v>8.9800000000000005E-2</v>
      </c>
      <c r="L125" s="4">
        <v>8.9800000000000005E-2</v>
      </c>
      <c r="M125" s="4">
        <v>8.9700000000000002E-2</v>
      </c>
      <c r="N125" s="6">
        <f t="shared" si="4"/>
        <v>8.9308983798000008E-2</v>
      </c>
      <c r="O125" s="6">
        <f t="shared" si="5"/>
        <v>2.2996273291925468E-2</v>
      </c>
      <c r="P125" s="21">
        <f t="shared" si="6"/>
        <v>1.3710030158182662E-4</v>
      </c>
      <c r="Q125">
        <f t="shared" si="7"/>
        <v>15.088896646907223</v>
      </c>
    </row>
    <row r="126" spans="1:17" x14ac:dyDescent="0.15">
      <c r="A126" s="3">
        <v>25659</v>
      </c>
      <c r="B126" s="4">
        <v>8.1000000000000003E-2</v>
      </c>
      <c r="C126" s="4">
        <v>7.7600000000000002E-2</v>
      </c>
      <c r="D126" s="4">
        <v>8.9800000000000005E-2</v>
      </c>
      <c r="E126" s="4">
        <v>8.9800000000000005E-2</v>
      </c>
      <c r="I126" s="3">
        <v>25659</v>
      </c>
      <c r="J126" s="4">
        <v>8.1000000000000003E-2</v>
      </c>
      <c r="K126" s="4">
        <v>7.7600000000000002E-2</v>
      </c>
      <c r="L126" s="4">
        <v>8.9800000000000005E-2</v>
      </c>
      <c r="M126" s="4">
        <v>8.9800000000000005E-2</v>
      </c>
      <c r="N126" s="6">
        <f t="shared" si="4"/>
        <v>7.1739618840000005E-2</v>
      </c>
      <c r="O126" s="6">
        <f t="shared" si="5"/>
        <v>2.6396273291925468E-2</v>
      </c>
      <c r="P126" s="21">
        <f t="shared" si="6"/>
        <v>8.5754659228482898E-5</v>
      </c>
      <c r="Q126">
        <f t="shared" si="7"/>
        <v>11.43256933333333</v>
      </c>
    </row>
    <row r="127" spans="1:17" x14ac:dyDescent="0.15">
      <c r="A127" s="3">
        <v>25689</v>
      </c>
      <c r="B127" s="4">
        <v>7.9399999999999998E-2</v>
      </c>
      <c r="C127" s="4">
        <v>8.1000000000000003E-2</v>
      </c>
      <c r="D127" s="4">
        <v>7.7600000000000002E-2</v>
      </c>
      <c r="E127" s="4">
        <v>8.9800000000000005E-2</v>
      </c>
      <c r="I127" s="3">
        <v>25689</v>
      </c>
      <c r="J127" s="4">
        <v>7.9399999999999998E-2</v>
      </c>
      <c r="K127" s="4">
        <v>8.1000000000000003E-2</v>
      </c>
      <c r="L127" s="4">
        <v>7.7600000000000002E-2</v>
      </c>
      <c r="M127" s="4">
        <v>8.9800000000000005E-2</v>
      </c>
      <c r="N127" s="6">
        <f t="shared" si="4"/>
        <v>8.4104962377999998E-2</v>
      </c>
      <c r="O127" s="6">
        <f t="shared" si="5"/>
        <v>2.4796273291925464E-2</v>
      </c>
      <c r="P127" s="21">
        <f t="shared" si="6"/>
        <v>2.213667097839541E-5</v>
      </c>
      <c r="Q127">
        <f t="shared" si="7"/>
        <v>5.925645312342569</v>
      </c>
    </row>
    <row r="128" spans="1:17" x14ac:dyDescent="0.15">
      <c r="A128" s="3">
        <v>25720</v>
      </c>
      <c r="B128" s="4">
        <v>7.5999999999999998E-2</v>
      </c>
      <c r="C128" s="4">
        <v>7.9399999999999998E-2</v>
      </c>
      <c r="D128" s="4">
        <v>8.1000000000000003E-2</v>
      </c>
      <c r="E128" s="4">
        <v>7.7600000000000002E-2</v>
      </c>
      <c r="I128" s="3">
        <v>25720</v>
      </c>
      <c r="J128" s="4">
        <v>7.5999999999999998E-2</v>
      </c>
      <c r="K128" s="4">
        <v>7.9399999999999998E-2</v>
      </c>
      <c r="L128" s="4">
        <v>8.1000000000000003E-2</v>
      </c>
      <c r="M128" s="4">
        <v>7.7600000000000002E-2</v>
      </c>
      <c r="N128" s="6">
        <f t="shared" si="4"/>
        <v>7.778992135399998E-2</v>
      </c>
      <c r="O128" s="6">
        <f t="shared" si="5"/>
        <v>2.1396273291925463E-2</v>
      </c>
      <c r="P128" s="21">
        <f t="shared" si="6"/>
        <v>3.203818453505129E-6</v>
      </c>
      <c r="Q128">
        <f t="shared" si="7"/>
        <v>2.3551596763157661</v>
      </c>
    </row>
    <row r="129" spans="1:17" x14ac:dyDescent="0.15">
      <c r="A129" s="3">
        <v>25750</v>
      </c>
      <c r="B129" s="4">
        <v>7.2099999999999997E-2</v>
      </c>
      <c r="C129" s="4">
        <v>7.5999999999999998E-2</v>
      </c>
      <c r="D129" s="4">
        <v>7.9399999999999998E-2</v>
      </c>
      <c r="E129" s="4">
        <v>8.1000000000000003E-2</v>
      </c>
      <c r="I129" s="3">
        <v>25750</v>
      </c>
      <c r="J129" s="4">
        <v>7.2099999999999997E-2</v>
      </c>
      <c r="K129" s="4">
        <v>7.5999999999999998E-2</v>
      </c>
      <c r="L129" s="4">
        <v>7.9399999999999998E-2</v>
      </c>
      <c r="M129" s="4">
        <v>8.1000000000000003E-2</v>
      </c>
      <c r="N129" s="6">
        <f t="shared" si="4"/>
        <v>7.4405545480000002E-2</v>
      </c>
      <c r="O129" s="6">
        <f t="shared" si="5"/>
        <v>1.7496273291925463E-2</v>
      </c>
      <c r="P129" s="21">
        <f t="shared" si="6"/>
        <v>5.3155399603484493E-6</v>
      </c>
      <c r="Q129">
        <f t="shared" si="7"/>
        <v>3.1977052427184525</v>
      </c>
    </row>
    <row r="130" spans="1:17" x14ac:dyDescent="0.15">
      <c r="A130" s="3">
        <v>25781</v>
      </c>
      <c r="B130" s="4">
        <v>6.6100000000000006E-2</v>
      </c>
      <c r="C130" s="4">
        <v>7.2099999999999997E-2</v>
      </c>
      <c r="D130" s="4">
        <v>7.5999999999999998E-2</v>
      </c>
      <c r="E130" s="4">
        <v>7.9399999999999998E-2</v>
      </c>
      <c r="I130" s="3">
        <v>25781</v>
      </c>
      <c r="J130" s="4">
        <v>6.6100000000000006E-2</v>
      </c>
      <c r="K130" s="4">
        <v>7.2099999999999997E-2</v>
      </c>
      <c r="L130" s="4">
        <v>7.5999999999999998E-2</v>
      </c>
      <c r="M130" s="4">
        <v>7.9399999999999998E-2</v>
      </c>
      <c r="N130" s="6">
        <f t="shared" si="4"/>
        <v>7.0611424221000002E-2</v>
      </c>
      <c r="O130" s="6">
        <f t="shared" si="5"/>
        <v>1.1496273291925471E-2</v>
      </c>
      <c r="P130" s="21">
        <f t="shared" si="6"/>
        <v>2.0352948501825423E-5</v>
      </c>
      <c r="Q130">
        <f t="shared" si="7"/>
        <v>6.8251501074130045</v>
      </c>
    </row>
    <row r="131" spans="1:17" x14ac:dyDescent="0.15">
      <c r="A131" s="3">
        <v>25812</v>
      </c>
      <c r="B131" s="4">
        <v>6.2899999999999998E-2</v>
      </c>
      <c r="C131" s="4">
        <v>6.6100000000000006E-2</v>
      </c>
      <c r="D131" s="4">
        <v>7.2099999999999997E-2</v>
      </c>
      <c r="E131" s="4">
        <v>7.5999999999999998E-2</v>
      </c>
      <c r="I131" s="3">
        <v>25812</v>
      </c>
      <c r="J131" s="4">
        <v>6.2899999999999998E-2</v>
      </c>
      <c r="K131" s="4">
        <v>6.6100000000000006E-2</v>
      </c>
      <c r="L131" s="4">
        <v>7.2099999999999997E-2</v>
      </c>
      <c r="M131" s="4">
        <v>7.5999999999999998E-2</v>
      </c>
      <c r="N131" s="6">
        <f t="shared" si="4"/>
        <v>6.3811738437000012E-2</v>
      </c>
      <c r="O131" s="6">
        <f t="shared" si="5"/>
        <v>8.2962732919254628E-3</v>
      </c>
      <c r="P131" s="21">
        <f t="shared" si="6"/>
        <v>8.3126697750322995E-7</v>
      </c>
      <c r="Q131">
        <f t="shared" si="7"/>
        <v>1.4495046693163987</v>
      </c>
    </row>
    <row r="132" spans="1:17" x14ac:dyDescent="0.15">
      <c r="A132" s="3">
        <v>25842</v>
      </c>
      <c r="B132" s="4">
        <v>6.2E-2</v>
      </c>
      <c r="C132" s="4">
        <v>6.2899999999999998E-2</v>
      </c>
      <c r="D132" s="4">
        <v>6.6100000000000006E-2</v>
      </c>
      <c r="E132" s="4">
        <v>7.2099999999999997E-2</v>
      </c>
      <c r="I132" s="3">
        <v>25842</v>
      </c>
      <c r="J132" s="4">
        <v>6.2E-2</v>
      </c>
      <c r="K132" s="4">
        <v>6.2899999999999998E-2</v>
      </c>
      <c r="L132" s="4">
        <v>6.6100000000000006E-2</v>
      </c>
      <c r="M132" s="4">
        <v>7.2099999999999997E-2</v>
      </c>
      <c r="N132" s="6">
        <f t="shared" si="4"/>
        <v>6.2253839768999994E-2</v>
      </c>
      <c r="O132" s="6">
        <f t="shared" si="5"/>
        <v>7.3962732919254648E-3</v>
      </c>
      <c r="P132" s="21">
        <f t="shared" si="6"/>
        <v>6.4434628325970513E-8</v>
      </c>
      <c r="Q132">
        <f t="shared" si="7"/>
        <v>0.40941898225805545</v>
      </c>
    </row>
    <row r="133" spans="1:17" x14ac:dyDescent="0.15">
      <c r="A133" s="3">
        <v>25873</v>
      </c>
      <c r="B133" s="4">
        <v>5.5999999999999994E-2</v>
      </c>
      <c r="C133" s="4">
        <v>6.2E-2</v>
      </c>
      <c r="D133" s="4">
        <v>6.2899999999999998E-2</v>
      </c>
      <c r="E133" s="4">
        <v>6.6100000000000006E-2</v>
      </c>
      <c r="I133" s="3">
        <v>25873</v>
      </c>
      <c r="J133" s="4">
        <v>5.5999999999999994E-2</v>
      </c>
      <c r="K133" s="4">
        <v>6.2E-2</v>
      </c>
      <c r="L133" s="4">
        <v>6.2899999999999998E-2</v>
      </c>
      <c r="M133" s="4">
        <v>6.6100000000000006E-2</v>
      </c>
      <c r="N133" s="6">
        <f t="shared" si="4"/>
        <v>6.1966045996000002E-2</v>
      </c>
      <c r="O133" s="6">
        <f t="shared" si="5"/>
        <v>1.3962732919254595E-3</v>
      </c>
      <c r="P133" s="21">
        <f t="shared" si="6"/>
        <v>3.5593704826387727E-5</v>
      </c>
      <c r="Q133">
        <f t="shared" si="7"/>
        <v>10.65365356428573</v>
      </c>
    </row>
    <row r="134" spans="1:17" x14ac:dyDescent="0.15">
      <c r="A134" s="3">
        <v>25903</v>
      </c>
      <c r="B134" s="4">
        <v>4.9000000000000002E-2</v>
      </c>
      <c r="C134" s="4">
        <v>5.5999999999999994E-2</v>
      </c>
      <c r="D134" s="4">
        <v>6.2E-2</v>
      </c>
      <c r="E134" s="4">
        <v>6.2899999999999998E-2</v>
      </c>
      <c r="I134" s="3">
        <v>25903</v>
      </c>
      <c r="J134" s="4">
        <v>4.9000000000000002E-2</v>
      </c>
      <c r="K134" s="4">
        <v>5.5999999999999994E-2</v>
      </c>
      <c r="L134" s="4">
        <v>6.2E-2</v>
      </c>
      <c r="M134" s="4">
        <v>6.2899999999999998E-2</v>
      </c>
      <c r="N134" s="6">
        <f t="shared" si="4"/>
        <v>5.3362428003999984E-2</v>
      </c>
      <c r="O134" s="6">
        <f t="shared" si="5"/>
        <v>5.6037267080745329E-3</v>
      </c>
      <c r="P134" s="21">
        <f t="shared" si="6"/>
        <v>1.9030778090083269E-5</v>
      </c>
      <c r="Q134">
        <f t="shared" si="7"/>
        <v>8.9029142938775152</v>
      </c>
    </row>
    <row r="135" spans="1:17" x14ac:dyDescent="0.15">
      <c r="A135" s="3">
        <v>25934</v>
      </c>
      <c r="B135" s="4">
        <v>4.1399999999999999E-2</v>
      </c>
      <c r="C135" s="4">
        <v>4.9000000000000002E-2</v>
      </c>
      <c r="D135" s="4">
        <v>5.5999999999999994E-2</v>
      </c>
      <c r="E135" s="4">
        <v>6.2E-2</v>
      </c>
      <c r="I135" s="3">
        <v>25934</v>
      </c>
      <c r="J135" s="4">
        <v>4.1399999999999999E-2</v>
      </c>
      <c r="K135" s="4">
        <v>4.9000000000000002E-2</v>
      </c>
      <c r="L135" s="4">
        <v>5.5999999999999994E-2</v>
      </c>
      <c r="M135" s="4">
        <v>6.2E-2</v>
      </c>
      <c r="N135" s="6">
        <f t="shared" ref="N135:N198" si="8" xml:space="preserve"> 0.00063539 + 1.44140757*K135 - 0.611849*L135 + 0.15807396*M135</f>
        <v>4.6801402450000015E-2</v>
      </c>
      <c r="O135" s="6">
        <f t="shared" ref="O135:O198" si="9">ABS(J135-$U$32)</f>
        <v>1.3203726708074535E-2</v>
      </c>
      <c r="P135" s="21">
        <f t="shared" ref="P135:P198" si="10">(N135-J135)^2</f>
        <v>2.9175148426866176E-5</v>
      </c>
      <c r="Q135">
        <f t="shared" ref="Q135:Q198" si="11">ABS(N135-J135)/J135*100</f>
        <v>13.046865821256077</v>
      </c>
    </row>
    <row r="136" spans="1:17" x14ac:dyDescent="0.15">
      <c r="A136" s="3">
        <v>25965</v>
      </c>
      <c r="B136" s="4">
        <v>3.7200000000000004E-2</v>
      </c>
      <c r="C136" s="4">
        <v>4.1399999999999999E-2</v>
      </c>
      <c r="D136" s="4">
        <v>4.9000000000000002E-2</v>
      </c>
      <c r="E136" s="4">
        <v>5.5999999999999994E-2</v>
      </c>
      <c r="I136" s="3">
        <v>25965</v>
      </c>
      <c r="J136" s="4">
        <v>3.7200000000000004E-2</v>
      </c>
      <c r="K136" s="4">
        <v>4.1399999999999999E-2</v>
      </c>
      <c r="L136" s="4">
        <v>4.9000000000000002E-2</v>
      </c>
      <c r="M136" s="4">
        <v>5.5999999999999994E-2</v>
      </c>
      <c r="N136" s="6">
        <f t="shared" si="8"/>
        <v>3.9181204157999999E-2</v>
      </c>
      <c r="O136" s="6">
        <f t="shared" si="9"/>
        <v>1.7403726708074531E-2</v>
      </c>
      <c r="P136" s="21">
        <f t="shared" si="10"/>
        <v>3.9251699156764705E-6</v>
      </c>
      <c r="Q136">
        <f t="shared" si="11"/>
        <v>5.3258176290322448</v>
      </c>
    </row>
    <row r="137" spans="1:17" x14ac:dyDescent="0.15">
      <c r="A137" s="3">
        <v>25993</v>
      </c>
      <c r="B137" s="4">
        <v>3.7100000000000001E-2</v>
      </c>
      <c r="C137" s="4">
        <v>3.7200000000000004E-2</v>
      </c>
      <c r="D137" s="4">
        <v>4.1399999999999999E-2</v>
      </c>
      <c r="E137" s="4">
        <v>4.9000000000000002E-2</v>
      </c>
      <c r="I137" s="3">
        <v>25993</v>
      </c>
      <c r="J137" s="4">
        <v>3.7100000000000001E-2</v>
      </c>
      <c r="K137" s="4">
        <v>3.7200000000000004E-2</v>
      </c>
      <c r="L137" s="4">
        <v>4.1399999999999999E-2</v>
      </c>
      <c r="M137" s="4">
        <v>4.9000000000000002E-2</v>
      </c>
      <c r="N137" s="6">
        <f t="shared" si="8"/>
        <v>3.6670827044000001E-2</v>
      </c>
      <c r="O137" s="6">
        <f t="shared" si="9"/>
        <v>1.7503726708074534E-2</v>
      </c>
      <c r="P137" s="21">
        <f t="shared" si="10"/>
        <v>1.8418942616177783E-7</v>
      </c>
      <c r="Q137">
        <f t="shared" si="11"/>
        <v>1.1568004204851747</v>
      </c>
    </row>
    <row r="138" spans="1:17" x14ac:dyDescent="0.15">
      <c r="A138" s="3">
        <v>26024</v>
      </c>
      <c r="B138" s="4">
        <v>4.1500000000000002E-2</v>
      </c>
      <c r="C138" s="4">
        <v>3.7100000000000001E-2</v>
      </c>
      <c r="D138" s="4">
        <v>3.7200000000000004E-2</v>
      </c>
      <c r="E138" s="4">
        <v>4.1399999999999999E-2</v>
      </c>
      <c r="I138" s="3">
        <v>26024</v>
      </c>
      <c r="J138" s="4">
        <v>4.1500000000000002E-2</v>
      </c>
      <c r="K138" s="4">
        <v>3.7100000000000001E-2</v>
      </c>
      <c r="L138" s="4">
        <v>3.7200000000000004E-2</v>
      </c>
      <c r="M138" s="4">
        <v>4.1399999999999999E-2</v>
      </c>
      <c r="N138" s="6">
        <f t="shared" si="8"/>
        <v>3.7895089990999997E-2</v>
      </c>
      <c r="O138" s="6">
        <f t="shared" si="9"/>
        <v>1.3103726708074533E-2</v>
      </c>
      <c r="P138" s="21">
        <f t="shared" si="10"/>
        <v>1.2995376172988416E-5</v>
      </c>
      <c r="Q138">
        <f t="shared" si="11"/>
        <v>8.6865301421686851</v>
      </c>
    </row>
    <row r="139" spans="1:17" x14ac:dyDescent="0.15">
      <c r="A139" s="3">
        <v>26054</v>
      </c>
      <c r="B139" s="4">
        <v>4.6300000000000001E-2</v>
      </c>
      <c r="C139" s="4">
        <v>4.1500000000000002E-2</v>
      </c>
      <c r="D139" s="4">
        <v>3.7100000000000001E-2</v>
      </c>
      <c r="E139" s="4">
        <v>3.7200000000000004E-2</v>
      </c>
      <c r="I139" s="3">
        <v>26054</v>
      </c>
      <c r="J139" s="4">
        <v>4.6300000000000001E-2</v>
      </c>
      <c r="K139" s="4">
        <v>4.1500000000000002E-2</v>
      </c>
      <c r="L139" s="4">
        <v>3.7100000000000001E-2</v>
      </c>
      <c r="M139" s="4">
        <v>3.7200000000000004E-2</v>
      </c>
      <c r="N139" s="6">
        <f t="shared" si="8"/>
        <v>4.3634557567E-2</v>
      </c>
      <c r="O139" s="6">
        <f t="shared" si="9"/>
        <v>8.3037267080745339E-3</v>
      </c>
      <c r="P139" s="21">
        <f t="shared" si="10"/>
        <v>7.1045833636369641E-6</v>
      </c>
      <c r="Q139">
        <f t="shared" si="11"/>
        <v>5.7568951036717078</v>
      </c>
    </row>
    <row r="140" spans="1:17" x14ac:dyDescent="0.15">
      <c r="A140" s="3">
        <v>26085</v>
      </c>
      <c r="B140" s="4">
        <v>4.9100000000000005E-2</v>
      </c>
      <c r="C140" s="4">
        <v>4.6300000000000001E-2</v>
      </c>
      <c r="D140" s="4">
        <v>4.1500000000000002E-2</v>
      </c>
      <c r="E140" s="4">
        <v>3.7100000000000001E-2</v>
      </c>
      <c r="I140" s="3">
        <v>26085</v>
      </c>
      <c r="J140" s="4">
        <v>4.9100000000000005E-2</v>
      </c>
      <c r="K140" s="4">
        <v>4.6300000000000001E-2</v>
      </c>
      <c r="L140" s="4">
        <v>4.1500000000000002E-2</v>
      </c>
      <c r="M140" s="4">
        <v>3.7100000000000001E-2</v>
      </c>
      <c r="N140" s="6">
        <f t="shared" si="8"/>
        <v>4.7845370907000001E-2</v>
      </c>
      <c r="O140" s="6">
        <f t="shared" si="9"/>
        <v>5.50372670807453E-3</v>
      </c>
      <c r="P140" s="21">
        <f t="shared" si="10"/>
        <v>1.5740941610020119E-6</v>
      </c>
      <c r="Q140">
        <f t="shared" si="11"/>
        <v>2.5552527352342231</v>
      </c>
    </row>
    <row r="141" spans="1:17" x14ac:dyDescent="0.15">
      <c r="A141" s="3">
        <v>26115</v>
      </c>
      <c r="B141" s="4">
        <v>5.3099999999999994E-2</v>
      </c>
      <c r="C141" s="4">
        <v>4.9100000000000005E-2</v>
      </c>
      <c r="D141" s="4">
        <v>4.6300000000000001E-2</v>
      </c>
      <c r="E141" s="4">
        <v>4.1500000000000002E-2</v>
      </c>
      <c r="I141" s="3">
        <v>26115</v>
      </c>
      <c r="J141" s="4">
        <v>5.3099999999999994E-2</v>
      </c>
      <c r="K141" s="4">
        <v>4.9100000000000005E-2</v>
      </c>
      <c r="L141" s="4">
        <v>4.6300000000000001E-2</v>
      </c>
      <c r="M141" s="4">
        <v>4.1500000000000002E-2</v>
      </c>
      <c r="N141" s="6">
        <f t="shared" si="8"/>
        <v>4.9639962327000013E-2</v>
      </c>
      <c r="O141" s="6">
        <f t="shared" si="9"/>
        <v>1.5037267080745403E-3</v>
      </c>
      <c r="P141" s="21">
        <f t="shared" si="10"/>
        <v>1.1971860698579126E-5</v>
      </c>
      <c r="Q141">
        <f t="shared" si="11"/>
        <v>6.5160784802259535</v>
      </c>
    </row>
    <row r="142" spans="1:17" x14ac:dyDescent="0.15">
      <c r="A142" s="3">
        <v>26146</v>
      </c>
      <c r="B142" s="4">
        <v>5.5599999999999997E-2</v>
      </c>
      <c r="C142" s="4">
        <v>5.3099999999999994E-2</v>
      </c>
      <c r="D142" s="4">
        <v>4.9100000000000005E-2</v>
      </c>
      <c r="E142" s="4">
        <v>4.6300000000000001E-2</v>
      </c>
      <c r="I142" s="3">
        <v>26146</v>
      </c>
      <c r="J142" s="4">
        <v>5.5599999999999997E-2</v>
      </c>
      <c r="K142" s="4">
        <v>5.3099999999999994E-2</v>
      </c>
      <c r="L142" s="4">
        <v>4.9100000000000005E-2</v>
      </c>
      <c r="M142" s="4">
        <v>4.6300000000000001E-2</v>
      </c>
      <c r="N142" s="6">
        <f t="shared" si="8"/>
        <v>5.4451170414999979E-2</v>
      </c>
      <c r="O142" s="6">
        <f t="shared" si="9"/>
        <v>9.9627329192546188E-4</v>
      </c>
      <c r="P142" s="21">
        <f t="shared" si="10"/>
        <v>1.3198094153713128E-6</v>
      </c>
      <c r="Q142">
        <f t="shared" si="11"/>
        <v>2.0662402607913988</v>
      </c>
    </row>
    <row r="143" spans="1:17" x14ac:dyDescent="0.15">
      <c r="A143" s="3">
        <v>26177</v>
      </c>
      <c r="B143" s="4">
        <v>5.5500000000000001E-2</v>
      </c>
      <c r="C143" s="4">
        <v>5.5599999999999997E-2</v>
      </c>
      <c r="D143" s="4">
        <v>5.3099999999999994E-2</v>
      </c>
      <c r="E143" s="4">
        <v>4.9100000000000005E-2</v>
      </c>
      <c r="I143" s="3">
        <v>26177</v>
      </c>
      <c r="J143" s="4">
        <v>5.5500000000000001E-2</v>
      </c>
      <c r="K143" s="4">
        <v>5.5599999999999997E-2</v>
      </c>
      <c r="L143" s="4">
        <v>5.3099999999999994E-2</v>
      </c>
      <c r="M143" s="4">
        <v>4.9100000000000005E-2</v>
      </c>
      <c r="N143" s="6">
        <f t="shared" si="8"/>
        <v>5.6049900427999996E-2</v>
      </c>
      <c r="O143" s="6">
        <f t="shared" si="9"/>
        <v>8.9627329192546595E-4</v>
      </c>
      <c r="P143" s="21">
        <f t="shared" si="10"/>
        <v>3.0239048071457832E-7</v>
      </c>
      <c r="Q143">
        <f t="shared" si="11"/>
        <v>0.99081158198197405</v>
      </c>
    </row>
    <row r="144" spans="1:17" x14ac:dyDescent="0.15">
      <c r="A144" s="3">
        <v>26207</v>
      </c>
      <c r="B144" s="4">
        <v>5.2000000000000005E-2</v>
      </c>
      <c r="C144" s="4">
        <v>5.5500000000000001E-2</v>
      </c>
      <c r="D144" s="4">
        <v>5.5599999999999997E-2</v>
      </c>
      <c r="E144" s="4">
        <v>5.3099999999999994E-2</v>
      </c>
      <c r="I144" s="3">
        <v>26207</v>
      </c>
      <c r="J144" s="4">
        <v>5.2000000000000005E-2</v>
      </c>
      <c r="K144" s="4">
        <v>5.5500000000000001E-2</v>
      </c>
      <c r="L144" s="4">
        <v>5.5599999999999997E-2</v>
      </c>
      <c r="M144" s="4">
        <v>5.3099999999999994E-2</v>
      </c>
      <c r="N144" s="6">
        <f t="shared" si="8"/>
        <v>5.5008433011000002E-2</v>
      </c>
      <c r="O144" s="6">
        <f t="shared" si="9"/>
        <v>2.6037267080745302E-3</v>
      </c>
      <c r="P144" s="21">
        <f t="shared" si="10"/>
        <v>9.0506691816745096E-6</v>
      </c>
      <c r="Q144">
        <f t="shared" si="11"/>
        <v>5.7854480980769178</v>
      </c>
    </row>
    <row r="145" spans="1:17" x14ac:dyDescent="0.15">
      <c r="A145" s="3">
        <v>26238</v>
      </c>
      <c r="B145" s="4">
        <v>4.9100000000000005E-2</v>
      </c>
      <c r="C145" s="4">
        <v>5.2000000000000005E-2</v>
      </c>
      <c r="D145" s="4">
        <v>5.5500000000000001E-2</v>
      </c>
      <c r="E145" s="4">
        <v>5.5599999999999997E-2</v>
      </c>
      <c r="I145" s="3">
        <v>26238</v>
      </c>
      <c r="J145" s="4">
        <v>4.9100000000000005E-2</v>
      </c>
      <c r="K145" s="4">
        <v>5.2000000000000005E-2</v>
      </c>
      <c r="L145" s="4">
        <v>5.5500000000000001E-2</v>
      </c>
      <c r="M145" s="4">
        <v>5.5599999999999997E-2</v>
      </c>
      <c r="N145" s="6">
        <f t="shared" si="8"/>
        <v>5.0419876315999999E-2</v>
      </c>
      <c r="O145" s="6">
        <f t="shared" si="9"/>
        <v>5.50372670807453E-3</v>
      </c>
      <c r="P145" s="21">
        <f t="shared" si="10"/>
        <v>1.7420734895377176E-6</v>
      </c>
      <c r="Q145">
        <f t="shared" si="11"/>
        <v>2.6881391364562006</v>
      </c>
    </row>
    <row r="146" spans="1:17" x14ac:dyDescent="0.15">
      <c r="A146" s="3">
        <v>26268</v>
      </c>
      <c r="B146" s="4">
        <v>4.1399999999999999E-2</v>
      </c>
      <c r="C146" s="4">
        <v>4.9100000000000005E-2</v>
      </c>
      <c r="D146" s="4">
        <v>5.2000000000000005E-2</v>
      </c>
      <c r="E146" s="4">
        <v>5.5500000000000001E-2</v>
      </c>
      <c r="I146" s="3">
        <v>26268</v>
      </c>
      <c r="J146" s="4">
        <v>4.1399999999999999E-2</v>
      </c>
      <c r="K146" s="4">
        <v>4.9100000000000005E-2</v>
      </c>
      <c r="L146" s="4">
        <v>5.2000000000000005E-2</v>
      </c>
      <c r="M146" s="4">
        <v>5.5500000000000001E-2</v>
      </c>
      <c r="N146" s="6">
        <f t="shared" si="8"/>
        <v>4.8365458467000008E-2</v>
      </c>
      <c r="O146" s="6">
        <f t="shared" si="9"/>
        <v>1.3203726708074535E-2</v>
      </c>
      <c r="P146" s="21">
        <f t="shared" si="10"/>
        <v>4.8517611655502116E-5</v>
      </c>
      <c r="Q146">
        <f t="shared" si="11"/>
        <v>16.824778905797121</v>
      </c>
    </row>
    <row r="147" spans="1:17" x14ac:dyDescent="0.15">
      <c r="A147" s="3">
        <v>26299</v>
      </c>
      <c r="B147" s="4">
        <v>3.5000000000000003E-2</v>
      </c>
      <c r="C147" s="4">
        <v>4.1399999999999999E-2</v>
      </c>
      <c r="D147" s="4">
        <v>4.9100000000000005E-2</v>
      </c>
      <c r="E147" s="4">
        <v>5.2000000000000005E-2</v>
      </c>
      <c r="I147" s="3">
        <v>26299</v>
      </c>
      <c r="J147" s="4">
        <v>3.5000000000000003E-2</v>
      </c>
      <c r="K147" s="4">
        <v>4.1399999999999999E-2</v>
      </c>
      <c r="L147" s="4">
        <v>4.9100000000000005E-2</v>
      </c>
      <c r="M147" s="4">
        <v>5.2000000000000005E-2</v>
      </c>
      <c r="N147" s="6">
        <f t="shared" si="8"/>
        <v>3.8487723417999997E-2</v>
      </c>
      <c r="O147" s="6">
        <f t="shared" si="9"/>
        <v>1.9603726708074531E-2</v>
      </c>
      <c r="P147" s="21">
        <f t="shared" si="10"/>
        <v>1.216421464046556E-5</v>
      </c>
      <c r="Q147">
        <f t="shared" si="11"/>
        <v>9.9649240514285538</v>
      </c>
    </row>
    <row r="148" spans="1:17" x14ac:dyDescent="0.15">
      <c r="A148" s="3">
        <v>26330</v>
      </c>
      <c r="B148" s="4">
        <v>3.2899999999999999E-2</v>
      </c>
      <c r="C148" s="4">
        <v>3.5000000000000003E-2</v>
      </c>
      <c r="D148" s="4">
        <v>4.1399999999999999E-2</v>
      </c>
      <c r="E148" s="4">
        <v>4.9100000000000005E-2</v>
      </c>
      <c r="I148" s="3">
        <v>26330</v>
      </c>
      <c r="J148" s="4">
        <v>3.2899999999999999E-2</v>
      </c>
      <c r="K148" s="4">
        <v>3.5000000000000003E-2</v>
      </c>
      <c r="L148" s="4">
        <v>4.1399999999999999E-2</v>
      </c>
      <c r="M148" s="4">
        <v>4.9100000000000005E-2</v>
      </c>
      <c r="N148" s="6">
        <f t="shared" si="8"/>
        <v>3.3515537786000006E-2</v>
      </c>
      <c r="O148" s="6">
        <f t="shared" si="9"/>
        <v>2.1703726708074536E-2</v>
      </c>
      <c r="P148" s="21">
        <f t="shared" si="10"/>
        <v>3.7888676599379098E-7</v>
      </c>
      <c r="Q148">
        <f t="shared" si="11"/>
        <v>1.8709355197568618</v>
      </c>
    </row>
    <row r="149" spans="1:17" x14ac:dyDescent="0.15">
      <c r="A149" s="3">
        <v>26359</v>
      </c>
      <c r="B149" s="4">
        <v>3.8300000000000001E-2</v>
      </c>
      <c r="C149" s="4">
        <v>3.2899999999999999E-2</v>
      </c>
      <c r="D149" s="4">
        <v>3.5000000000000003E-2</v>
      </c>
      <c r="E149" s="4">
        <v>4.1399999999999999E-2</v>
      </c>
      <c r="I149" s="3">
        <v>26359</v>
      </c>
      <c r="J149" s="4">
        <v>3.8300000000000001E-2</v>
      </c>
      <c r="K149" s="4">
        <v>3.2899999999999999E-2</v>
      </c>
      <c r="L149" s="4">
        <v>3.5000000000000003E-2</v>
      </c>
      <c r="M149" s="4">
        <v>4.1399999999999999E-2</v>
      </c>
      <c r="N149" s="6">
        <f t="shared" si="8"/>
        <v>3.3187245996999994E-2</v>
      </c>
      <c r="O149" s="6">
        <f t="shared" si="9"/>
        <v>1.6303726708074534E-2</v>
      </c>
      <c r="P149" s="21">
        <f t="shared" si="10"/>
        <v>2.6140253495192597E-5</v>
      </c>
      <c r="Q149">
        <f t="shared" si="11"/>
        <v>13.349227161879915</v>
      </c>
    </row>
    <row r="150" spans="1:17" x14ac:dyDescent="0.15">
      <c r="A150" s="3">
        <v>26390</v>
      </c>
      <c r="B150" s="4">
        <v>4.1700000000000001E-2</v>
      </c>
      <c r="C150" s="4">
        <v>3.8300000000000001E-2</v>
      </c>
      <c r="D150" s="4">
        <v>3.2899999999999999E-2</v>
      </c>
      <c r="E150" s="4">
        <v>3.5000000000000003E-2</v>
      </c>
      <c r="I150" s="3">
        <v>26390</v>
      </c>
      <c r="J150" s="4">
        <v>4.1700000000000001E-2</v>
      </c>
      <c r="K150" s="4">
        <v>3.8300000000000001E-2</v>
      </c>
      <c r="L150" s="4">
        <v>3.2899999999999999E-2</v>
      </c>
      <c r="M150" s="4">
        <v>3.5000000000000003E-2</v>
      </c>
      <c r="N150" s="6">
        <f t="shared" si="8"/>
        <v>4.1244056431000001E-2</v>
      </c>
      <c r="O150" s="6">
        <f t="shared" si="9"/>
        <v>1.2903726708074534E-2</v>
      </c>
      <c r="P150" s="21">
        <f t="shared" si="10"/>
        <v>2.0788453811245795E-7</v>
      </c>
      <c r="Q150">
        <f t="shared" si="11"/>
        <v>1.093389853717027</v>
      </c>
    </row>
    <row r="151" spans="1:17" x14ac:dyDescent="0.15">
      <c r="A151" s="3">
        <v>26420</v>
      </c>
      <c r="B151" s="4">
        <v>4.2699999999999995E-2</v>
      </c>
      <c r="C151" s="4">
        <v>4.1700000000000001E-2</v>
      </c>
      <c r="D151" s="4">
        <v>3.8300000000000001E-2</v>
      </c>
      <c r="E151" s="4">
        <v>3.2899999999999999E-2</v>
      </c>
      <c r="I151" s="3">
        <v>26420</v>
      </c>
      <c r="J151" s="4">
        <v>4.2699999999999995E-2</v>
      </c>
      <c r="K151" s="4">
        <v>4.1700000000000001E-2</v>
      </c>
      <c r="L151" s="4">
        <v>3.8300000000000001E-2</v>
      </c>
      <c r="M151" s="4">
        <v>3.2899999999999999E-2</v>
      </c>
      <c r="N151" s="6">
        <f t="shared" si="8"/>
        <v>4.2508902253000004E-2</v>
      </c>
      <c r="O151" s="6">
        <f t="shared" si="9"/>
        <v>1.190372670807454E-2</v>
      </c>
      <c r="P151" s="21">
        <f t="shared" si="10"/>
        <v>3.6518348908472504E-8</v>
      </c>
      <c r="Q151">
        <f t="shared" si="11"/>
        <v>0.44753570725993175</v>
      </c>
    </row>
    <row r="152" spans="1:17" x14ac:dyDescent="0.15">
      <c r="A152" s="3">
        <v>26451</v>
      </c>
      <c r="B152" s="4">
        <v>4.4600000000000001E-2</v>
      </c>
      <c r="C152" s="4">
        <v>4.2699999999999995E-2</v>
      </c>
      <c r="D152" s="4">
        <v>4.1700000000000001E-2</v>
      </c>
      <c r="E152" s="4">
        <v>3.8300000000000001E-2</v>
      </c>
      <c r="I152" s="3">
        <v>26451</v>
      </c>
      <c r="J152" s="4">
        <v>4.4600000000000001E-2</v>
      </c>
      <c r="K152" s="4">
        <v>4.2699999999999995E-2</v>
      </c>
      <c r="L152" s="4">
        <v>4.1700000000000001E-2</v>
      </c>
      <c r="M152" s="4">
        <v>3.8300000000000001E-2</v>
      </c>
      <c r="N152" s="6">
        <f t="shared" si="8"/>
        <v>4.2723622606999995E-2</v>
      </c>
      <c r="O152" s="6">
        <f t="shared" si="9"/>
        <v>1.0003726708074534E-2</v>
      </c>
      <c r="P152" s="21">
        <f t="shared" si="10"/>
        <v>3.5207921209614993E-6</v>
      </c>
      <c r="Q152">
        <f t="shared" si="11"/>
        <v>4.2071241995515836</v>
      </c>
    </row>
    <row r="153" spans="1:17" x14ac:dyDescent="0.15">
      <c r="A153" s="3">
        <v>26481</v>
      </c>
      <c r="B153" s="4">
        <v>4.5499999999999999E-2</v>
      </c>
      <c r="C153" s="4">
        <v>4.4600000000000001E-2</v>
      </c>
      <c r="D153" s="4">
        <v>4.2699999999999995E-2</v>
      </c>
      <c r="E153" s="4">
        <v>4.1700000000000001E-2</v>
      </c>
      <c r="I153" s="3">
        <v>26481</v>
      </c>
      <c r="J153" s="4">
        <v>4.5499999999999999E-2</v>
      </c>
      <c r="K153" s="4">
        <v>4.4600000000000001E-2</v>
      </c>
      <c r="L153" s="4">
        <v>4.2699999999999995E-2</v>
      </c>
      <c r="M153" s="4">
        <v>4.1700000000000001E-2</v>
      </c>
      <c r="N153" s="6">
        <f t="shared" si="8"/>
        <v>4.5387899454000007E-2</v>
      </c>
      <c r="O153" s="6">
        <f t="shared" si="9"/>
        <v>9.103726708074536E-3</v>
      </c>
      <c r="P153" s="21">
        <f t="shared" si="10"/>
        <v>1.2566532413496354E-8</v>
      </c>
      <c r="Q153">
        <f t="shared" si="11"/>
        <v>0.24637482637360911</v>
      </c>
    </row>
    <row r="154" spans="1:17" x14ac:dyDescent="0.15">
      <c r="A154" s="3">
        <v>26512</v>
      </c>
      <c r="B154" s="4">
        <v>4.8000000000000001E-2</v>
      </c>
      <c r="C154" s="4">
        <v>4.5499999999999999E-2</v>
      </c>
      <c r="D154" s="4">
        <v>4.4600000000000001E-2</v>
      </c>
      <c r="E154" s="4">
        <v>4.2699999999999995E-2</v>
      </c>
      <c r="I154" s="3">
        <v>26512</v>
      </c>
      <c r="J154" s="4">
        <v>4.8000000000000001E-2</v>
      </c>
      <c r="K154" s="4">
        <v>4.5499999999999999E-2</v>
      </c>
      <c r="L154" s="4">
        <v>4.4600000000000001E-2</v>
      </c>
      <c r="M154" s="4">
        <v>4.2699999999999995E-2</v>
      </c>
      <c r="N154" s="6">
        <f t="shared" si="8"/>
        <v>4.5680727126999998E-2</v>
      </c>
      <c r="O154" s="6">
        <f t="shared" si="9"/>
        <v>6.6037267080745338E-3</v>
      </c>
      <c r="P154" s="21">
        <f t="shared" si="10"/>
        <v>5.3790266594336876E-6</v>
      </c>
      <c r="Q154">
        <f t="shared" si="11"/>
        <v>4.8318184854166724</v>
      </c>
    </row>
    <row r="155" spans="1:17" x14ac:dyDescent="0.15">
      <c r="A155" s="3">
        <v>26543</v>
      </c>
      <c r="B155" s="4">
        <v>4.87E-2</v>
      </c>
      <c r="C155" s="4">
        <v>4.8000000000000001E-2</v>
      </c>
      <c r="D155" s="4">
        <v>4.5499999999999999E-2</v>
      </c>
      <c r="E155" s="4">
        <v>4.4600000000000001E-2</v>
      </c>
      <c r="I155" s="3">
        <v>26543</v>
      </c>
      <c r="J155" s="4">
        <v>4.87E-2</v>
      </c>
      <c r="K155" s="4">
        <v>4.8000000000000001E-2</v>
      </c>
      <c r="L155" s="4">
        <v>4.5499999999999999E-2</v>
      </c>
      <c r="M155" s="4">
        <v>4.4600000000000001E-2</v>
      </c>
      <c r="N155" s="6">
        <f t="shared" si="8"/>
        <v>4.9033922475999997E-2</v>
      </c>
      <c r="O155" s="6">
        <f t="shared" si="9"/>
        <v>5.9037267080745345E-3</v>
      </c>
      <c r="P155" s="21">
        <f t="shared" si="10"/>
        <v>1.115042199779684E-7</v>
      </c>
      <c r="Q155">
        <f t="shared" si="11"/>
        <v>0.68567243531826849</v>
      </c>
    </row>
    <row r="156" spans="1:17" x14ac:dyDescent="0.15">
      <c r="A156" s="3">
        <v>26573</v>
      </c>
      <c r="B156" s="4">
        <v>5.04E-2</v>
      </c>
      <c r="C156" s="4">
        <v>4.87E-2</v>
      </c>
      <c r="D156" s="4">
        <v>4.8000000000000001E-2</v>
      </c>
      <c r="E156" s="4">
        <v>4.5499999999999999E-2</v>
      </c>
      <c r="I156" s="3">
        <v>26573</v>
      </c>
      <c r="J156" s="4">
        <v>5.04E-2</v>
      </c>
      <c r="K156" s="4">
        <v>4.87E-2</v>
      </c>
      <c r="L156" s="4">
        <v>4.8000000000000001E-2</v>
      </c>
      <c r="M156" s="4">
        <v>4.5499999999999999E-2</v>
      </c>
      <c r="N156" s="6">
        <f t="shared" si="8"/>
        <v>4.8655551839000007E-2</v>
      </c>
      <c r="O156" s="6">
        <f t="shared" si="9"/>
        <v>4.2037267080745344E-3</v>
      </c>
      <c r="P156" s="21">
        <f t="shared" si="10"/>
        <v>3.0430993864162602E-6</v>
      </c>
      <c r="Q156">
        <f t="shared" si="11"/>
        <v>3.4612066686507812</v>
      </c>
    </row>
    <row r="157" spans="1:17" x14ac:dyDescent="0.15">
      <c r="A157" s="3">
        <v>26604</v>
      </c>
      <c r="B157" s="4">
        <v>5.0599999999999999E-2</v>
      </c>
      <c r="C157" s="4">
        <v>5.04E-2</v>
      </c>
      <c r="D157" s="4">
        <v>4.87E-2</v>
      </c>
      <c r="E157" s="4">
        <v>4.8000000000000001E-2</v>
      </c>
      <c r="I157" s="3">
        <v>26604</v>
      </c>
      <c r="J157" s="4">
        <v>5.0599999999999999E-2</v>
      </c>
      <c r="K157" s="4">
        <v>5.04E-2</v>
      </c>
      <c r="L157" s="4">
        <v>4.87E-2</v>
      </c>
      <c r="M157" s="4">
        <v>4.8000000000000001E-2</v>
      </c>
      <c r="N157" s="6">
        <f t="shared" si="8"/>
        <v>5.1072835307999997E-2</v>
      </c>
      <c r="O157" s="6">
        <f t="shared" si="9"/>
        <v>4.0037267080745356E-3</v>
      </c>
      <c r="P157" s="21">
        <f t="shared" si="10"/>
        <v>2.235732284914533E-7</v>
      </c>
      <c r="Q157">
        <f t="shared" si="11"/>
        <v>0.93445713043477929</v>
      </c>
    </row>
    <row r="158" spans="1:17" x14ac:dyDescent="0.15">
      <c r="A158" s="3">
        <v>26634</v>
      </c>
      <c r="B158" s="4">
        <v>5.33E-2</v>
      </c>
      <c r="C158" s="4">
        <v>5.0599999999999999E-2</v>
      </c>
      <c r="D158" s="4">
        <v>5.04E-2</v>
      </c>
      <c r="E158" s="4">
        <v>4.87E-2</v>
      </c>
      <c r="I158" s="3">
        <v>26634</v>
      </c>
      <c r="J158" s="4">
        <v>5.33E-2</v>
      </c>
      <c r="K158" s="4">
        <v>5.0599999999999999E-2</v>
      </c>
      <c r="L158" s="4">
        <v>5.04E-2</v>
      </c>
      <c r="M158" s="4">
        <v>4.87E-2</v>
      </c>
      <c r="N158" s="6">
        <f t="shared" si="8"/>
        <v>5.0431625293999999E-2</v>
      </c>
      <c r="O158" s="6">
        <f t="shared" si="9"/>
        <v>1.3037267080745346E-3</v>
      </c>
      <c r="P158" s="21">
        <f t="shared" si="10"/>
        <v>8.227573454020595E-6</v>
      </c>
      <c r="Q158">
        <f t="shared" si="11"/>
        <v>5.3815660525328362</v>
      </c>
    </row>
    <row r="159" spans="1:17" x14ac:dyDescent="0.15">
      <c r="A159" s="3">
        <v>26665</v>
      </c>
      <c r="B159" s="4">
        <v>5.9400000000000001E-2</v>
      </c>
      <c r="C159" s="4">
        <v>5.33E-2</v>
      </c>
      <c r="D159" s="4">
        <v>5.0599999999999999E-2</v>
      </c>
      <c r="E159" s="4">
        <v>5.04E-2</v>
      </c>
      <c r="I159" s="3">
        <v>26665</v>
      </c>
      <c r="J159" s="4">
        <v>5.9400000000000001E-2</v>
      </c>
      <c r="K159" s="4">
        <v>5.33E-2</v>
      </c>
      <c r="L159" s="4">
        <v>5.0599999999999999E-2</v>
      </c>
      <c r="M159" s="4">
        <v>5.04E-2</v>
      </c>
      <c r="N159" s="6">
        <f t="shared" si="8"/>
        <v>5.4469781664999994E-2</v>
      </c>
      <c r="O159" s="6">
        <f t="shared" si="9"/>
        <v>4.7962732919254666E-3</v>
      </c>
      <c r="P159" s="21">
        <f t="shared" si="10"/>
        <v>2.4307052830770242E-5</v>
      </c>
      <c r="Q159">
        <f t="shared" si="11"/>
        <v>8.3000308670033789</v>
      </c>
    </row>
    <row r="160" spans="1:17" x14ac:dyDescent="0.15">
      <c r="A160" s="3">
        <v>26696</v>
      </c>
      <c r="B160" s="4">
        <v>6.5799999999999997E-2</v>
      </c>
      <c r="C160" s="4">
        <v>5.9400000000000001E-2</v>
      </c>
      <c r="D160" s="4">
        <v>5.33E-2</v>
      </c>
      <c r="E160" s="4">
        <v>5.0599999999999999E-2</v>
      </c>
      <c r="I160" s="3">
        <v>26696</v>
      </c>
      <c r="J160" s="4">
        <v>6.5799999999999997E-2</v>
      </c>
      <c r="K160" s="4">
        <v>5.9400000000000001E-2</v>
      </c>
      <c r="L160" s="4">
        <v>5.33E-2</v>
      </c>
      <c r="M160" s="4">
        <v>5.0599999999999999E-2</v>
      </c>
      <c r="N160" s="6">
        <f t="shared" si="8"/>
        <v>6.1641990334000002E-2</v>
      </c>
      <c r="O160" s="6">
        <f t="shared" si="9"/>
        <v>1.1196273291925463E-2</v>
      </c>
      <c r="P160" s="21">
        <f t="shared" si="10"/>
        <v>1.7289044382549393E-5</v>
      </c>
      <c r="Q160">
        <f t="shared" si="11"/>
        <v>6.3191636261398108</v>
      </c>
    </row>
    <row r="161" spans="1:17" x14ac:dyDescent="0.15">
      <c r="A161" s="3">
        <v>26724</v>
      </c>
      <c r="B161" s="4">
        <v>7.0900000000000005E-2</v>
      </c>
      <c r="C161" s="4">
        <v>6.5799999999999997E-2</v>
      </c>
      <c r="D161" s="4">
        <v>5.9400000000000001E-2</v>
      </c>
      <c r="E161" s="4">
        <v>5.33E-2</v>
      </c>
      <c r="I161" s="3">
        <v>26724</v>
      </c>
      <c r="J161" s="4">
        <v>7.0900000000000005E-2</v>
      </c>
      <c r="K161" s="4">
        <v>6.5799999999999997E-2</v>
      </c>
      <c r="L161" s="4">
        <v>5.9400000000000001E-2</v>
      </c>
      <c r="M161" s="4">
        <v>5.33E-2</v>
      </c>
      <c r="N161" s="6">
        <f t="shared" si="8"/>
        <v>6.7561519573999987E-2</v>
      </c>
      <c r="O161" s="6">
        <f t="shared" si="9"/>
        <v>1.629627329192547E-2</v>
      </c>
      <c r="P161" s="21">
        <f t="shared" si="10"/>
        <v>1.114545155478526E-5</v>
      </c>
      <c r="Q161">
        <f t="shared" si="11"/>
        <v>4.708717102961943</v>
      </c>
    </row>
    <row r="162" spans="1:17" x14ac:dyDescent="0.15">
      <c r="A162" s="3">
        <v>26755</v>
      </c>
      <c r="B162" s="4">
        <v>7.1199999999999999E-2</v>
      </c>
      <c r="C162" s="4">
        <v>7.0900000000000005E-2</v>
      </c>
      <c r="D162" s="4">
        <v>6.5799999999999997E-2</v>
      </c>
      <c r="E162" s="4">
        <v>5.9400000000000001E-2</v>
      </c>
      <c r="I162" s="3">
        <v>26755</v>
      </c>
      <c r="J162" s="4">
        <v>7.1199999999999999E-2</v>
      </c>
      <c r="K162" s="4">
        <v>7.0900000000000005E-2</v>
      </c>
      <c r="L162" s="4">
        <v>6.5799999999999997E-2</v>
      </c>
      <c r="M162" s="4">
        <v>5.9400000000000001E-2</v>
      </c>
      <c r="N162" s="6">
        <f t="shared" si="8"/>
        <v>7.1961115736999995E-2</v>
      </c>
      <c r="O162" s="6">
        <f t="shared" si="9"/>
        <v>1.6596273291925465E-2</v>
      </c>
      <c r="P162" s="21">
        <f t="shared" si="10"/>
        <v>5.7929716510904627E-7</v>
      </c>
      <c r="Q162">
        <f t="shared" si="11"/>
        <v>1.068982776685387</v>
      </c>
    </row>
    <row r="163" spans="1:17" x14ac:dyDescent="0.15">
      <c r="A163" s="3">
        <v>26785</v>
      </c>
      <c r="B163" s="4">
        <v>7.8399999999999997E-2</v>
      </c>
      <c r="C163" s="4">
        <v>7.1199999999999999E-2</v>
      </c>
      <c r="D163" s="4">
        <v>7.0900000000000005E-2</v>
      </c>
      <c r="E163" s="4">
        <v>6.5799999999999997E-2</v>
      </c>
      <c r="I163" s="3">
        <v>26785</v>
      </c>
      <c r="J163" s="4">
        <v>7.8399999999999997E-2</v>
      </c>
      <c r="K163" s="4">
        <v>7.1199999999999999E-2</v>
      </c>
      <c r="L163" s="4">
        <v>7.0900000000000005E-2</v>
      </c>
      <c r="M163" s="4">
        <v>6.5799999999999997E-2</v>
      </c>
      <c r="N163" s="6">
        <f t="shared" si="8"/>
        <v>7.0284781451999997E-2</v>
      </c>
      <c r="O163" s="6">
        <f t="shared" si="9"/>
        <v>2.3796273291925463E-2</v>
      </c>
      <c r="P163" s="21">
        <f t="shared" si="10"/>
        <v>6.5856772081803223E-5</v>
      </c>
      <c r="Q163">
        <f t="shared" si="11"/>
        <v>10.351044066326532</v>
      </c>
    </row>
    <row r="164" spans="1:17" x14ac:dyDescent="0.15">
      <c r="A164" s="3">
        <v>26816</v>
      </c>
      <c r="B164" s="4">
        <v>8.4900000000000003E-2</v>
      </c>
      <c r="C164" s="4">
        <v>7.8399999999999997E-2</v>
      </c>
      <c r="D164" s="4">
        <v>7.1199999999999999E-2</v>
      </c>
      <c r="E164" s="4">
        <v>7.0900000000000005E-2</v>
      </c>
      <c r="I164" s="3">
        <v>26816</v>
      </c>
      <c r="J164" s="4">
        <v>8.4900000000000003E-2</v>
      </c>
      <c r="K164" s="4">
        <v>7.8399999999999997E-2</v>
      </c>
      <c r="L164" s="4">
        <v>7.1199999999999999E-2</v>
      </c>
      <c r="M164" s="4">
        <v>7.0900000000000005E-2</v>
      </c>
      <c r="N164" s="6">
        <f t="shared" si="8"/>
        <v>8.1285538451999997E-2</v>
      </c>
      <c r="O164" s="6">
        <f t="shared" si="9"/>
        <v>3.0296273291925468E-2</v>
      </c>
      <c r="P164" s="21">
        <f t="shared" si="10"/>
        <v>1.3064332281970599E-5</v>
      </c>
      <c r="Q164">
        <f t="shared" si="11"/>
        <v>4.2573163109540699</v>
      </c>
    </row>
    <row r="165" spans="1:17" x14ac:dyDescent="0.15">
      <c r="A165" s="3">
        <v>26846</v>
      </c>
      <c r="B165" s="4">
        <v>0.10400000000000001</v>
      </c>
      <c r="C165" s="4">
        <v>8.4900000000000003E-2</v>
      </c>
      <c r="D165" s="4">
        <v>7.8399999999999997E-2</v>
      </c>
      <c r="E165" s="4">
        <v>7.1199999999999999E-2</v>
      </c>
      <c r="I165" s="3">
        <v>26846</v>
      </c>
      <c r="J165" s="4">
        <v>0.10400000000000001</v>
      </c>
      <c r="K165" s="4">
        <v>8.4900000000000003E-2</v>
      </c>
      <c r="L165" s="4">
        <v>7.8399999999999997E-2</v>
      </c>
      <c r="M165" s="4">
        <v>7.1199999999999999E-2</v>
      </c>
      <c r="N165" s="6">
        <f t="shared" si="8"/>
        <v>8.6296797044999998E-2</v>
      </c>
      <c r="O165" s="6">
        <f t="shared" si="9"/>
        <v>4.9396273291925474E-2</v>
      </c>
      <c r="P165" s="21">
        <f t="shared" si="10"/>
        <v>3.1340339486592112E-4</v>
      </c>
      <c r="Q165">
        <f t="shared" si="11"/>
        <v>17.022310533653854</v>
      </c>
    </row>
    <row r="166" spans="1:17" x14ac:dyDescent="0.15">
      <c r="A166" s="3">
        <v>26877</v>
      </c>
      <c r="B166" s="4">
        <v>0.105</v>
      </c>
      <c r="C166" s="4">
        <v>0.10400000000000001</v>
      </c>
      <c r="D166" s="4">
        <v>8.4900000000000003E-2</v>
      </c>
      <c r="E166" s="4">
        <v>7.8399999999999997E-2</v>
      </c>
      <c r="I166" s="3">
        <v>26877</v>
      </c>
      <c r="J166" s="4">
        <v>0.105</v>
      </c>
      <c r="K166" s="4">
        <v>0.10400000000000001</v>
      </c>
      <c r="L166" s="4">
        <v>8.4900000000000003E-2</v>
      </c>
      <c r="M166" s="4">
        <v>7.8399999999999997E-2</v>
      </c>
      <c r="N166" s="6">
        <f t="shared" si="8"/>
        <v>0.11098879564400002</v>
      </c>
      <c r="O166" s="6">
        <f t="shared" si="9"/>
        <v>5.0396273291925461E-2</v>
      </c>
      <c r="P166" s="21">
        <f t="shared" si="10"/>
        <v>3.5865673265593676E-5</v>
      </c>
      <c r="Q166">
        <f t="shared" si="11"/>
        <v>5.7036148990476434</v>
      </c>
    </row>
    <row r="167" spans="1:17" x14ac:dyDescent="0.15">
      <c r="A167" s="3">
        <v>26908</v>
      </c>
      <c r="B167" s="4">
        <v>0.10779999999999999</v>
      </c>
      <c r="C167" s="4">
        <v>0.105</v>
      </c>
      <c r="D167" s="4">
        <v>0.10400000000000001</v>
      </c>
      <c r="E167" s="4">
        <v>8.4900000000000003E-2</v>
      </c>
      <c r="I167" s="3">
        <v>26908</v>
      </c>
      <c r="J167" s="4">
        <v>0.10779999999999999</v>
      </c>
      <c r="K167" s="4">
        <v>0.105</v>
      </c>
      <c r="L167" s="4">
        <v>0.10400000000000001</v>
      </c>
      <c r="M167" s="4">
        <v>8.4900000000000003E-2</v>
      </c>
      <c r="N167" s="6">
        <f t="shared" si="8"/>
        <v>0.101771368054</v>
      </c>
      <c r="O167" s="6">
        <f t="shared" si="9"/>
        <v>5.3196273291925458E-2</v>
      </c>
      <c r="P167" s="21">
        <f t="shared" si="10"/>
        <v>3.6344403140331667E-5</v>
      </c>
      <c r="Q167">
        <f t="shared" si="11"/>
        <v>5.5924229554730926</v>
      </c>
    </row>
    <row r="168" spans="1:17" x14ac:dyDescent="0.15">
      <c r="A168" s="3">
        <v>26938</v>
      </c>
      <c r="B168" s="4">
        <v>0.10009999999999999</v>
      </c>
      <c r="C168" s="4">
        <v>0.10779999999999999</v>
      </c>
      <c r="D168" s="4">
        <v>0.105</v>
      </c>
      <c r="E168" s="4">
        <v>0.10400000000000001</v>
      </c>
      <c r="I168" s="3">
        <v>26938</v>
      </c>
      <c r="J168" s="4">
        <v>0.10009999999999999</v>
      </c>
      <c r="K168" s="4">
        <v>0.10779999999999999</v>
      </c>
      <c r="L168" s="4">
        <v>0.105</v>
      </c>
      <c r="M168" s="4">
        <v>0.10400000000000001</v>
      </c>
      <c r="N168" s="6">
        <f t="shared" si="8"/>
        <v>0.10821467288600001</v>
      </c>
      <c r="O168" s="6">
        <f t="shared" si="9"/>
        <v>4.549627329192546E-2</v>
      </c>
      <c r="P168" s="21">
        <f t="shared" si="10"/>
        <v>6.5847916046783778E-5</v>
      </c>
      <c r="Q168">
        <f t="shared" si="11"/>
        <v>8.1065663196803328</v>
      </c>
    </row>
    <row r="169" spans="1:17" x14ac:dyDescent="0.15">
      <c r="A169" s="3">
        <v>26969</v>
      </c>
      <c r="B169" s="4">
        <v>0.1003</v>
      </c>
      <c r="C169" s="4">
        <v>0.10009999999999999</v>
      </c>
      <c r="D169" s="4">
        <v>0.10779999999999999</v>
      </c>
      <c r="E169" s="4">
        <v>0.105</v>
      </c>
      <c r="I169" s="3">
        <v>26969</v>
      </c>
      <c r="J169" s="4">
        <v>0.1003</v>
      </c>
      <c r="K169" s="4">
        <v>0.10009999999999999</v>
      </c>
      <c r="L169" s="4">
        <v>0.10779999999999999</v>
      </c>
      <c r="M169" s="4">
        <v>0.105</v>
      </c>
      <c r="N169" s="6">
        <f t="shared" si="8"/>
        <v>9.5560731357000009E-2</v>
      </c>
      <c r="O169" s="6">
        <f t="shared" si="9"/>
        <v>4.5696273291925465E-2</v>
      </c>
      <c r="P169" s="21">
        <f t="shared" si="10"/>
        <v>2.246066727052298E-5</v>
      </c>
      <c r="Q169">
        <f t="shared" si="11"/>
        <v>4.7250933629112577</v>
      </c>
    </row>
    <row r="170" spans="1:17" x14ac:dyDescent="0.15">
      <c r="A170" s="3">
        <v>26999</v>
      </c>
      <c r="B170" s="4">
        <v>9.9499999999999991E-2</v>
      </c>
      <c r="C170" s="4">
        <v>0.1003</v>
      </c>
      <c r="D170" s="4">
        <v>0.10009999999999999</v>
      </c>
      <c r="E170" s="4">
        <v>0.10779999999999999</v>
      </c>
      <c r="I170" s="3">
        <v>26999</v>
      </c>
      <c r="J170" s="4">
        <v>9.9499999999999991E-2</v>
      </c>
      <c r="K170" s="4">
        <v>0.1003</v>
      </c>
      <c r="L170" s="4">
        <v>0.10009999999999999</v>
      </c>
      <c r="M170" s="4">
        <v>0.10779999999999999</v>
      </c>
      <c r="N170" s="6">
        <f t="shared" si="8"/>
        <v>0.10100285725900002</v>
      </c>
      <c r="O170" s="6">
        <f t="shared" si="9"/>
        <v>4.4896273291925456E-2</v>
      </c>
      <c r="P170" s="21">
        <f t="shared" si="10"/>
        <v>2.2585799409290714E-6</v>
      </c>
      <c r="Q170">
        <f t="shared" si="11"/>
        <v>1.5104093055276646</v>
      </c>
    </row>
    <row r="171" spans="1:17" x14ac:dyDescent="0.15">
      <c r="A171" s="3">
        <v>27030</v>
      </c>
      <c r="B171" s="4">
        <v>9.6500000000000002E-2</v>
      </c>
      <c r="C171" s="4">
        <v>9.9499999999999991E-2</v>
      </c>
      <c r="D171" s="4">
        <v>0.1003</v>
      </c>
      <c r="E171" s="4">
        <v>0.10009999999999999</v>
      </c>
      <c r="I171" s="3">
        <v>27030</v>
      </c>
      <c r="J171" s="4">
        <v>9.6500000000000002E-2</v>
      </c>
      <c r="K171" s="4">
        <v>9.9499999999999991E-2</v>
      </c>
      <c r="L171" s="4">
        <v>0.1003</v>
      </c>
      <c r="M171" s="4">
        <v>0.10009999999999999</v>
      </c>
      <c r="N171" s="6">
        <f t="shared" si="8"/>
        <v>9.8510191911000008E-2</v>
      </c>
      <c r="O171" s="6">
        <f t="shared" si="9"/>
        <v>4.1896273291925468E-2</v>
      </c>
      <c r="P171" s="21">
        <f t="shared" si="10"/>
        <v>4.0408715190498566E-6</v>
      </c>
      <c r="Q171">
        <f t="shared" si="11"/>
        <v>2.0831004259067418</v>
      </c>
    </row>
    <row r="172" spans="1:17" x14ac:dyDescent="0.15">
      <c r="A172" s="3">
        <v>27061</v>
      </c>
      <c r="B172" s="4">
        <v>8.9700000000000002E-2</v>
      </c>
      <c r="C172" s="4">
        <v>9.6500000000000002E-2</v>
      </c>
      <c r="D172" s="4">
        <v>9.9499999999999991E-2</v>
      </c>
      <c r="E172" s="4">
        <v>0.1003</v>
      </c>
      <c r="I172" s="3">
        <v>27061</v>
      </c>
      <c r="J172" s="4">
        <v>8.9700000000000002E-2</v>
      </c>
      <c r="K172" s="4">
        <v>9.6500000000000002E-2</v>
      </c>
      <c r="L172" s="4">
        <v>9.9499999999999991E-2</v>
      </c>
      <c r="M172" s="4">
        <v>0.1003</v>
      </c>
      <c r="N172" s="6">
        <f t="shared" si="8"/>
        <v>9.4707063193000013E-2</v>
      </c>
      <c r="O172" s="6">
        <f t="shared" si="9"/>
        <v>3.5096273291925467E-2</v>
      </c>
      <c r="P172" s="21">
        <f t="shared" si="10"/>
        <v>2.5070681818695465E-5</v>
      </c>
      <c r="Q172">
        <f t="shared" si="11"/>
        <v>5.582010248606478</v>
      </c>
    </row>
    <row r="173" spans="1:17" x14ac:dyDescent="0.15">
      <c r="A173" s="3">
        <v>27089</v>
      </c>
      <c r="B173" s="4">
        <v>9.35E-2</v>
      </c>
      <c r="C173" s="4">
        <v>8.9700000000000002E-2</v>
      </c>
      <c r="D173" s="4">
        <v>9.6500000000000002E-2</v>
      </c>
      <c r="E173" s="4">
        <v>9.9499999999999991E-2</v>
      </c>
      <c r="I173" s="3">
        <v>27089</v>
      </c>
      <c r="J173" s="4">
        <v>9.35E-2</v>
      </c>
      <c r="K173" s="4">
        <v>8.9700000000000002E-2</v>
      </c>
      <c r="L173" s="4">
        <v>9.6500000000000002E-2</v>
      </c>
      <c r="M173" s="4">
        <v>9.9499999999999991E-2</v>
      </c>
      <c r="N173" s="6">
        <f t="shared" si="8"/>
        <v>8.6614579549000009E-2</v>
      </c>
      <c r="O173" s="6">
        <f t="shared" si="9"/>
        <v>3.8896273291925465E-2</v>
      </c>
      <c r="P173" s="21">
        <f t="shared" si="10"/>
        <v>4.7409014787048911E-5</v>
      </c>
      <c r="Q173">
        <f t="shared" si="11"/>
        <v>7.3640860438502571</v>
      </c>
    </row>
    <row r="174" spans="1:17" x14ac:dyDescent="0.15">
      <c r="A174" s="3">
        <v>27120</v>
      </c>
      <c r="B174" s="4">
        <v>0.1051</v>
      </c>
      <c r="C174" s="4">
        <v>9.35E-2</v>
      </c>
      <c r="D174" s="4">
        <v>8.9700000000000002E-2</v>
      </c>
      <c r="E174" s="4">
        <v>9.6500000000000002E-2</v>
      </c>
      <c r="I174" s="3">
        <v>27120</v>
      </c>
      <c r="J174" s="4">
        <v>0.1051</v>
      </c>
      <c r="K174" s="4">
        <v>9.35E-2</v>
      </c>
      <c r="L174" s="4">
        <v>8.9700000000000002E-2</v>
      </c>
      <c r="M174" s="4">
        <v>9.6500000000000002E-2</v>
      </c>
      <c r="N174" s="6">
        <f t="shared" si="8"/>
        <v>9.5778279635000005E-2</v>
      </c>
      <c r="O174" s="6">
        <f t="shared" si="9"/>
        <v>5.0496273291925464E-2</v>
      </c>
      <c r="P174" s="21">
        <f t="shared" si="10"/>
        <v>8.6894470563255623E-5</v>
      </c>
      <c r="Q174">
        <f t="shared" si="11"/>
        <v>8.8693818886774434</v>
      </c>
    </row>
    <row r="175" spans="1:17" x14ac:dyDescent="0.15">
      <c r="A175" s="3">
        <v>27150</v>
      </c>
      <c r="B175" s="4">
        <v>0.11310000000000001</v>
      </c>
      <c r="C175" s="4">
        <v>0.1051</v>
      </c>
      <c r="D175" s="4">
        <v>9.35E-2</v>
      </c>
      <c r="E175" s="4">
        <v>8.9700000000000002E-2</v>
      </c>
      <c r="I175" s="3">
        <v>27150</v>
      </c>
      <c r="J175" s="4">
        <v>0.11310000000000001</v>
      </c>
      <c r="K175" s="4">
        <v>0.1051</v>
      </c>
      <c r="L175" s="4">
        <v>9.35E-2</v>
      </c>
      <c r="M175" s="4">
        <v>8.9700000000000002E-2</v>
      </c>
      <c r="N175" s="6">
        <f t="shared" si="8"/>
        <v>0.10909867831900001</v>
      </c>
      <c r="O175" s="6">
        <f t="shared" si="9"/>
        <v>5.8496273291925471E-2</v>
      </c>
      <c r="P175" s="21">
        <f t="shared" si="10"/>
        <v>1.6010575194840624E-5</v>
      </c>
      <c r="Q175">
        <f t="shared" si="11"/>
        <v>3.5378617869142301</v>
      </c>
    </row>
    <row r="176" spans="1:17" x14ac:dyDescent="0.15">
      <c r="A176" s="3">
        <v>27181</v>
      </c>
      <c r="B176" s="4">
        <v>0.1193</v>
      </c>
      <c r="C176" s="4">
        <v>0.11310000000000001</v>
      </c>
      <c r="D176" s="4">
        <v>0.1051</v>
      </c>
      <c r="E176" s="4">
        <v>9.35E-2</v>
      </c>
      <c r="I176" s="3">
        <v>27181</v>
      </c>
      <c r="J176" s="4">
        <v>0.1193</v>
      </c>
      <c r="K176" s="4">
        <v>0.11310000000000001</v>
      </c>
      <c r="L176" s="4">
        <v>0.1051</v>
      </c>
      <c r="M176" s="4">
        <v>9.35E-2</v>
      </c>
      <c r="N176" s="6">
        <f t="shared" si="8"/>
        <v>0.11413317152700002</v>
      </c>
      <c r="O176" s="6">
        <f t="shared" si="9"/>
        <v>6.4696273291925468E-2</v>
      </c>
      <c r="P176" s="21">
        <f t="shared" si="10"/>
        <v>2.6696116469403352E-5</v>
      </c>
      <c r="Q176">
        <f t="shared" si="11"/>
        <v>4.3309542942162489</v>
      </c>
    </row>
    <row r="177" spans="1:17" x14ac:dyDescent="0.15">
      <c r="A177" s="3">
        <v>27211</v>
      </c>
      <c r="B177" s="4">
        <v>0.12920000000000001</v>
      </c>
      <c r="C177" s="4">
        <v>0.1193</v>
      </c>
      <c r="D177" s="4">
        <v>0.11310000000000001</v>
      </c>
      <c r="E177" s="4">
        <v>0.1051</v>
      </c>
      <c r="I177" s="3">
        <v>27211</v>
      </c>
      <c r="J177" s="4">
        <v>0.12920000000000001</v>
      </c>
      <c r="K177" s="4">
        <v>0.1193</v>
      </c>
      <c r="L177" s="4">
        <v>0.11310000000000001</v>
      </c>
      <c r="M177" s="4">
        <v>0.1051</v>
      </c>
      <c r="N177" s="6">
        <f t="shared" si="8"/>
        <v>0.12000876439700002</v>
      </c>
      <c r="O177" s="6">
        <f t="shared" si="9"/>
        <v>7.4596273291925475E-2</v>
      </c>
      <c r="P177" s="21">
        <f t="shared" si="10"/>
        <v>8.4478811909854574E-5</v>
      </c>
      <c r="Q177">
        <f t="shared" si="11"/>
        <v>7.1139594450464303</v>
      </c>
    </row>
    <row r="178" spans="1:17" x14ac:dyDescent="0.15">
      <c r="A178" s="3">
        <v>27242</v>
      </c>
      <c r="B178" s="4">
        <v>0.1201</v>
      </c>
      <c r="C178" s="4">
        <v>0.12920000000000001</v>
      </c>
      <c r="D178" s="4">
        <v>0.1193</v>
      </c>
      <c r="E178" s="4">
        <v>0.11310000000000001</v>
      </c>
      <c r="I178" s="3">
        <v>27242</v>
      </c>
      <c r="J178" s="4">
        <v>0.1201</v>
      </c>
      <c r="K178" s="4">
        <v>0.12920000000000001</v>
      </c>
      <c r="L178" s="4">
        <v>0.1193</v>
      </c>
      <c r="M178" s="4">
        <v>0.11310000000000001</v>
      </c>
      <c r="N178" s="6">
        <f t="shared" si="8"/>
        <v>0.13174982722</v>
      </c>
      <c r="O178" s="6">
        <f t="shared" si="9"/>
        <v>6.5496273291925464E-2</v>
      </c>
      <c r="P178" s="21">
        <f t="shared" si="10"/>
        <v>1.3571847425585307E-4</v>
      </c>
      <c r="Q178">
        <f t="shared" si="11"/>
        <v>9.7001059283930111</v>
      </c>
    </row>
    <row r="179" spans="1:17" x14ac:dyDescent="0.15">
      <c r="A179" s="3">
        <v>27273</v>
      </c>
      <c r="B179" s="4">
        <v>0.1134</v>
      </c>
      <c r="C179" s="4">
        <v>0.1201</v>
      </c>
      <c r="D179" s="4">
        <v>0.12920000000000001</v>
      </c>
      <c r="E179" s="4">
        <v>0.1193</v>
      </c>
      <c r="I179" s="3">
        <v>27273</v>
      </c>
      <c r="J179" s="4">
        <v>0.1134</v>
      </c>
      <c r="K179" s="4">
        <v>0.1201</v>
      </c>
      <c r="L179" s="4">
        <v>0.12920000000000001</v>
      </c>
      <c r="M179" s="4">
        <v>0.1193</v>
      </c>
      <c r="N179" s="6">
        <f t="shared" si="8"/>
        <v>0.113555771785</v>
      </c>
      <c r="O179" s="6">
        <f t="shared" si="9"/>
        <v>5.8796273291925466E-2</v>
      </c>
      <c r="P179" s="21">
        <f t="shared" si="10"/>
        <v>2.4264849002084529E-8</v>
      </c>
      <c r="Q179">
        <f t="shared" si="11"/>
        <v>0.13736488977071831</v>
      </c>
    </row>
    <row r="180" spans="1:17" x14ac:dyDescent="0.15">
      <c r="A180" s="3">
        <v>27303</v>
      </c>
      <c r="B180" s="4">
        <v>0.10060000000000001</v>
      </c>
      <c r="C180" s="4">
        <v>0.1134</v>
      </c>
      <c r="D180" s="4">
        <v>0.1201</v>
      </c>
      <c r="E180" s="4">
        <v>0.12920000000000001</v>
      </c>
      <c r="I180" s="3">
        <v>27303</v>
      </c>
      <c r="J180" s="4">
        <v>0.10060000000000001</v>
      </c>
      <c r="K180" s="4">
        <v>0.1134</v>
      </c>
      <c r="L180" s="4">
        <v>0.1201</v>
      </c>
      <c r="M180" s="4">
        <v>0.12920000000000001</v>
      </c>
      <c r="N180" s="6">
        <f t="shared" si="8"/>
        <v>0.11103109917000002</v>
      </c>
      <c r="O180" s="6">
        <f t="shared" si="9"/>
        <v>4.5996273291925474E-2</v>
      </c>
      <c r="P180" s="21">
        <f t="shared" si="10"/>
        <v>1.0880782989437497E-4</v>
      </c>
      <c r="Q180">
        <f t="shared" si="11"/>
        <v>10.368885854870788</v>
      </c>
    </row>
    <row r="181" spans="1:17" x14ac:dyDescent="0.15">
      <c r="A181" s="3">
        <v>27334</v>
      </c>
      <c r="B181" s="4">
        <v>9.4499999999999987E-2</v>
      </c>
      <c r="C181" s="4">
        <v>0.10060000000000001</v>
      </c>
      <c r="D181" s="4">
        <v>0.1134</v>
      </c>
      <c r="E181" s="4">
        <v>0.1201</v>
      </c>
      <c r="I181" s="3">
        <v>27334</v>
      </c>
      <c r="J181" s="4">
        <v>9.4499999999999987E-2</v>
      </c>
      <c r="K181" s="4">
        <v>0.10060000000000001</v>
      </c>
      <c r="L181" s="4">
        <v>0.1134</v>
      </c>
      <c r="M181" s="4">
        <v>0.1201</v>
      </c>
      <c r="N181" s="6">
        <f t="shared" si="8"/>
        <v>9.5241997538000028E-2</v>
      </c>
      <c r="O181" s="6">
        <f t="shared" si="9"/>
        <v>3.9896273291925452E-2</v>
      </c>
      <c r="P181" s="21">
        <f t="shared" si="10"/>
        <v>5.5056034639812307E-7</v>
      </c>
      <c r="Q181">
        <f t="shared" si="11"/>
        <v>0.78518257989422402</v>
      </c>
    </row>
    <row r="182" spans="1:17" x14ac:dyDescent="0.15">
      <c r="A182" s="3">
        <v>27364</v>
      </c>
      <c r="B182" s="4">
        <v>8.5299999999999987E-2</v>
      </c>
      <c r="C182" s="4">
        <v>9.4499999999999987E-2</v>
      </c>
      <c r="D182" s="4">
        <v>0.10060000000000001</v>
      </c>
      <c r="E182" s="4">
        <v>0.1134</v>
      </c>
      <c r="I182" s="3">
        <v>27364</v>
      </c>
      <c r="J182" s="4">
        <v>8.5299999999999987E-2</v>
      </c>
      <c r="K182" s="4">
        <v>9.4499999999999987E-2</v>
      </c>
      <c r="L182" s="4">
        <v>0.10060000000000001</v>
      </c>
      <c r="M182" s="4">
        <v>0.1134</v>
      </c>
      <c r="N182" s="6">
        <f t="shared" si="8"/>
        <v>9.3221983028999991E-2</v>
      </c>
      <c r="O182" s="6">
        <f t="shared" si="9"/>
        <v>3.0696273291925452E-2</v>
      </c>
      <c r="P182" s="21">
        <f t="shared" si="10"/>
        <v>6.2757815111764078E-5</v>
      </c>
      <c r="Q182">
        <f t="shared" si="11"/>
        <v>9.2872016752637823</v>
      </c>
    </row>
    <row r="183" spans="1:17" x14ac:dyDescent="0.15">
      <c r="A183" s="3">
        <v>27395</v>
      </c>
      <c r="B183" s="4">
        <v>7.1300000000000002E-2</v>
      </c>
      <c r="C183" s="4">
        <v>8.5299999999999987E-2</v>
      </c>
      <c r="D183" s="4">
        <v>9.4499999999999987E-2</v>
      </c>
      <c r="E183" s="4">
        <v>0.10060000000000001</v>
      </c>
      <c r="I183" s="3">
        <v>27395</v>
      </c>
      <c r="J183" s="4">
        <v>7.1300000000000002E-2</v>
      </c>
      <c r="K183" s="4">
        <v>8.5299999999999987E-2</v>
      </c>
      <c r="L183" s="4">
        <v>9.4499999999999987E-2</v>
      </c>
      <c r="M183" s="4">
        <v>0.10060000000000001</v>
      </c>
      <c r="N183" s="6">
        <f t="shared" si="8"/>
        <v>8.1669965597000002E-2</v>
      </c>
      <c r="O183" s="6">
        <f t="shared" si="9"/>
        <v>1.6696273291925467E-2</v>
      </c>
      <c r="P183" s="21">
        <f t="shared" si="10"/>
        <v>1.0753618648296356E-4</v>
      </c>
      <c r="Q183">
        <f t="shared" si="11"/>
        <v>14.544131272089761</v>
      </c>
    </row>
    <row r="184" spans="1:17" x14ac:dyDescent="0.15">
      <c r="A184" s="3">
        <v>27426</v>
      </c>
      <c r="B184" s="4">
        <v>6.2400000000000004E-2</v>
      </c>
      <c r="C184" s="4">
        <v>7.1300000000000002E-2</v>
      </c>
      <c r="D184" s="4">
        <v>8.5299999999999987E-2</v>
      </c>
      <c r="E184" s="4">
        <v>9.4499999999999987E-2</v>
      </c>
      <c r="I184" s="3">
        <v>27426</v>
      </c>
      <c r="J184" s="4">
        <v>6.2400000000000004E-2</v>
      </c>
      <c r="K184" s="4">
        <v>7.1300000000000002E-2</v>
      </c>
      <c r="L184" s="4">
        <v>8.5299999999999987E-2</v>
      </c>
      <c r="M184" s="4">
        <v>9.4499999999999987E-2</v>
      </c>
      <c r="N184" s="6">
        <f t="shared" si="8"/>
        <v>6.6155019261000009E-2</v>
      </c>
      <c r="O184" s="6">
        <f t="shared" si="9"/>
        <v>7.7962732919254693E-3</v>
      </c>
      <c r="P184" s="21">
        <f t="shared" si="10"/>
        <v>1.4100169650481021E-5</v>
      </c>
      <c r="Q184">
        <f t="shared" si="11"/>
        <v>6.017659072115392</v>
      </c>
    </row>
    <row r="185" spans="1:17" x14ac:dyDescent="0.15">
      <c r="A185" s="3">
        <v>27454</v>
      </c>
      <c r="B185" s="4">
        <v>5.5399999999999998E-2</v>
      </c>
      <c r="C185" s="4">
        <v>6.2400000000000004E-2</v>
      </c>
      <c r="D185" s="4">
        <v>7.1300000000000002E-2</v>
      </c>
      <c r="E185" s="4">
        <v>8.5299999999999987E-2</v>
      </c>
      <c r="I185" s="3">
        <v>27454</v>
      </c>
      <c r="J185" s="4">
        <v>5.5399999999999998E-2</v>
      </c>
      <c r="K185" s="4">
        <v>6.2400000000000004E-2</v>
      </c>
      <c r="L185" s="4">
        <v>7.1300000000000002E-2</v>
      </c>
      <c r="M185" s="4">
        <v>8.5299999999999987E-2</v>
      </c>
      <c r="N185" s="6">
        <f t="shared" si="8"/>
        <v>6.0438097456000012E-2</v>
      </c>
      <c r="O185" s="6">
        <f t="shared" si="9"/>
        <v>7.9627329192546309E-4</v>
      </c>
      <c r="P185" s="21">
        <f t="shared" si="10"/>
        <v>2.5382425976153811E-5</v>
      </c>
      <c r="Q185">
        <f t="shared" si="11"/>
        <v>9.0940387292419036</v>
      </c>
    </row>
    <row r="186" spans="1:17" x14ac:dyDescent="0.15">
      <c r="A186" s="3">
        <v>27485</v>
      </c>
      <c r="B186" s="4">
        <v>5.4900000000000004E-2</v>
      </c>
      <c r="C186" s="4">
        <v>5.5399999999999998E-2</v>
      </c>
      <c r="D186" s="4">
        <v>6.2400000000000004E-2</v>
      </c>
      <c r="E186" s="4">
        <v>7.1300000000000002E-2</v>
      </c>
      <c r="I186" s="3">
        <v>27485</v>
      </c>
      <c r="J186" s="4">
        <v>5.4900000000000004E-2</v>
      </c>
      <c r="K186" s="4">
        <v>5.5399999999999998E-2</v>
      </c>
      <c r="L186" s="4">
        <v>6.2400000000000004E-2</v>
      </c>
      <c r="M186" s="4">
        <v>7.1300000000000002E-2</v>
      </c>
      <c r="N186" s="6">
        <f t="shared" si="8"/>
        <v>5.3580665125999995E-2</v>
      </c>
      <c r="O186" s="6">
        <f t="shared" si="9"/>
        <v>2.9627329192546958E-4</v>
      </c>
      <c r="P186" s="21">
        <f t="shared" si="10"/>
        <v>1.7406445097526213E-6</v>
      </c>
      <c r="Q186">
        <f t="shared" si="11"/>
        <v>2.4031600619308007</v>
      </c>
    </row>
    <row r="187" spans="1:17" x14ac:dyDescent="0.15">
      <c r="A187" s="3">
        <v>27515</v>
      </c>
      <c r="B187" s="4">
        <v>5.2199999999999996E-2</v>
      </c>
      <c r="C187" s="4">
        <v>5.4900000000000004E-2</v>
      </c>
      <c r="D187" s="4">
        <v>5.5399999999999998E-2</v>
      </c>
      <c r="E187" s="4">
        <v>6.2400000000000004E-2</v>
      </c>
      <c r="I187" s="3">
        <v>27515</v>
      </c>
      <c r="J187" s="4">
        <v>5.2199999999999996E-2</v>
      </c>
      <c r="K187" s="4">
        <v>5.4900000000000004E-2</v>
      </c>
      <c r="L187" s="4">
        <v>5.5399999999999998E-2</v>
      </c>
      <c r="M187" s="4">
        <v>6.2400000000000004E-2</v>
      </c>
      <c r="N187" s="6">
        <f t="shared" si="8"/>
        <v>5.5736046097000003E-2</v>
      </c>
      <c r="O187" s="6">
        <f t="shared" si="9"/>
        <v>2.4037267080745384E-3</v>
      </c>
      <c r="P187" s="21">
        <f t="shared" si="10"/>
        <v>1.2503622000108978E-5</v>
      </c>
      <c r="Q187">
        <f t="shared" si="11"/>
        <v>6.774034668582388</v>
      </c>
    </row>
    <row r="188" spans="1:17" x14ac:dyDescent="0.15">
      <c r="A188" s="3">
        <v>27546</v>
      </c>
      <c r="B188" s="4">
        <v>5.5500000000000001E-2</v>
      </c>
      <c r="C188" s="4">
        <v>5.2199999999999996E-2</v>
      </c>
      <c r="D188" s="4">
        <v>5.4900000000000004E-2</v>
      </c>
      <c r="E188" s="4">
        <v>5.5399999999999998E-2</v>
      </c>
      <c r="I188" s="3">
        <v>27546</v>
      </c>
      <c r="J188" s="4">
        <v>5.5500000000000001E-2</v>
      </c>
      <c r="K188" s="4">
        <v>5.2199999999999996E-2</v>
      </c>
      <c r="L188" s="4">
        <v>5.4900000000000004E-2</v>
      </c>
      <c r="M188" s="4">
        <v>5.5399999999999998E-2</v>
      </c>
      <c r="N188" s="6">
        <f t="shared" si="8"/>
        <v>5.1043652437999999E-2</v>
      </c>
      <c r="O188" s="6">
        <f t="shared" si="9"/>
        <v>8.9627329192546595E-4</v>
      </c>
      <c r="P188" s="21">
        <f t="shared" si="10"/>
        <v>1.9859033593343358E-5</v>
      </c>
      <c r="Q188">
        <f t="shared" si="11"/>
        <v>8.0294550666666691</v>
      </c>
    </row>
    <row r="189" spans="1:17" x14ac:dyDescent="0.15">
      <c r="A189" s="3">
        <v>27576</v>
      </c>
      <c r="B189" s="4">
        <v>6.0999999999999999E-2</v>
      </c>
      <c r="C189" s="4">
        <v>5.5500000000000001E-2</v>
      </c>
      <c r="D189" s="4">
        <v>5.2199999999999996E-2</v>
      </c>
      <c r="E189" s="4">
        <v>5.4900000000000004E-2</v>
      </c>
      <c r="I189" s="3">
        <v>27576</v>
      </c>
      <c r="J189" s="4">
        <v>6.0999999999999999E-2</v>
      </c>
      <c r="K189" s="4">
        <v>5.5500000000000001E-2</v>
      </c>
      <c r="L189" s="4">
        <v>5.2199999999999996E-2</v>
      </c>
      <c r="M189" s="4">
        <v>5.4900000000000004E-2</v>
      </c>
      <c r="N189" s="6">
        <f t="shared" si="8"/>
        <v>5.7373252739000007E-2</v>
      </c>
      <c r="O189" s="6">
        <f t="shared" si="9"/>
        <v>6.3962732919254639E-3</v>
      </c>
      <c r="P189" s="21">
        <f t="shared" si="10"/>
        <v>1.3153295695170944E-5</v>
      </c>
      <c r="Q189">
        <f t="shared" si="11"/>
        <v>5.9454873131147412</v>
      </c>
    </row>
    <row r="190" spans="1:17" x14ac:dyDescent="0.15">
      <c r="A190" s="3">
        <v>27607</v>
      </c>
      <c r="B190" s="4">
        <v>6.1399999999999996E-2</v>
      </c>
      <c r="C190" s="4">
        <v>6.0999999999999999E-2</v>
      </c>
      <c r="D190" s="4">
        <v>5.5500000000000001E-2</v>
      </c>
      <c r="E190" s="4">
        <v>5.2199999999999996E-2</v>
      </c>
      <c r="I190" s="3">
        <v>27607</v>
      </c>
      <c r="J190" s="4">
        <v>6.1399999999999996E-2</v>
      </c>
      <c r="K190" s="4">
        <v>6.0999999999999999E-2</v>
      </c>
      <c r="L190" s="4">
        <v>5.5500000000000001E-2</v>
      </c>
      <c r="M190" s="4">
        <v>5.2199999999999996E-2</v>
      </c>
      <c r="N190" s="6">
        <f t="shared" si="8"/>
        <v>6.2855092981999997E-2</v>
      </c>
      <c r="O190" s="6">
        <f t="shared" si="9"/>
        <v>6.7962732919254615E-3</v>
      </c>
      <c r="P190" s="21">
        <f t="shared" si="10"/>
        <v>2.1172955862656532E-6</v>
      </c>
      <c r="Q190">
        <f t="shared" si="11"/>
        <v>2.3698582768729648</v>
      </c>
    </row>
    <row r="191" spans="1:17" x14ac:dyDescent="0.15">
      <c r="A191" s="3">
        <v>27638</v>
      </c>
      <c r="B191" s="4">
        <v>6.2400000000000004E-2</v>
      </c>
      <c r="C191" s="4">
        <v>6.1399999999999996E-2</v>
      </c>
      <c r="D191" s="4">
        <v>6.0999999999999999E-2</v>
      </c>
      <c r="E191" s="4">
        <v>5.5500000000000001E-2</v>
      </c>
      <c r="I191" s="3">
        <v>27638</v>
      </c>
      <c r="J191" s="4">
        <v>6.2400000000000004E-2</v>
      </c>
      <c r="K191" s="4">
        <v>6.1399999999999996E-2</v>
      </c>
      <c r="L191" s="4">
        <v>6.0999999999999999E-2</v>
      </c>
      <c r="M191" s="4">
        <v>5.5500000000000001E-2</v>
      </c>
      <c r="N191" s="6">
        <f t="shared" si="8"/>
        <v>6.0588130577999999E-2</v>
      </c>
      <c r="O191" s="6">
        <f t="shared" si="9"/>
        <v>7.7962732919254693E-3</v>
      </c>
      <c r="P191" s="21">
        <f t="shared" si="10"/>
        <v>3.2828708023786323E-6</v>
      </c>
      <c r="Q191">
        <f t="shared" si="11"/>
        <v>2.9036368942307771</v>
      </c>
    </row>
    <row r="192" spans="1:17" x14ac:dyDescent="0.15">
      <c r="A192" s="3">
        <v>27668</v>
      </c>
      <c r="B192" s="4">
        <v>5.8200000000000002E-2</v>
      </c>
      <c r="C192" s="4">
        <v>6.2400000000000004E-2</v>
      </c>
      <c r="D192" s="4">
        <v>6.1399999999999996E-2</v>
      </c>
      <c r="E192" s="4">
        <v>6.0999999999999999E-2</v>
      </c>
      <c r="I192" s="3">
        <v>27668</v>
      </c>
      <c r="J192" s="4">
        <v>5.8200000000000002E-2</v>
      </c>
      <c r="K192" s="4">
        <v>6.2400000000000004E-2</v>
      </c>
      <c r="L192" s="4">
        <v>6.1399999999999996E-2</v>
      </c>
      <c r="M192" s="4">
        <v>6.0999999999999999E-2</v>
      </c>
      <c r="N192" s="6">
        <f t="shared" si="8"/>
        <v>6.2654205328000007E-2</v>
      </c>
      <c r="O192" s="6">
        <f t="shared" si="9"/>
        <v>3.596273291925467E-3</v>
      </c>
      <c r="P192" s="21">
        <f t="shared" si="10"/>
        <v>1.9839945103983631E-5</v>
      </c>
      <c r="Q192">
        <f t="shared" si="11"/>
        <v>7.6532737594501796</v>
      </c>
    </row>
    <row r="193" spans="1:17" x14ac:dyDescent="0.15">
      <c r="A193" s="3">
        <v>27699</v>
      </c>
      <c r="B193" s="4">
        <v>5.2199999999999996E-2</v>
      </c>
      <c r="C193" s="4">
        <v>5.8200000000000002E-2</v>
      </c>
      <c r="D193" s="4">
        <v>6.2400000000000004E-2</v>
      </c>
      <c r="E193" s="4">
        <v>6.1399999999999996E-2</v>
      </c>
      <c r="I193" s="3">
        <v>27699</v>
      </c>
      <c r="J193" s="4">
        <v>5.2199999999999996E-2</v>
      </c>
      <c r="K193" s="4">
        <v>5.8200000000000002E-2</v>
      </c>
      <c r="L193" s="4">
        <v>6.2400000000000004E-2</v>
      </c>
      <c r="M193" s="4">
        <v>6.1399999999999996E-2</v>
      </c>
      <c r="N193" s="6">
        <f t="shared" si="8"/>
        <v>5.6051674118000008E-2</v>
      </c>
      <c r="O193" s="6">
        <f t="shared" si="9"/>
        <v>2.4037267080745384E-3</v>
      </c>
      <c r="P193" s="21">
        <f t="shared" si="10"/>
        <v>1.483539351127117E-5</v>
      </c>
      <c r="Q193">
        <f t="shared" si="11"/>
        <v>7.3786860498084526</v>
      </c>
    </row>
    <row r="194" spans="1:17" x14ac:dyDescent="0.15">
      <c r="A194" s="3">
        <v>27729</v>
      </c>
      <c r="B194" s="4">
        <v>5.2000000000000005E-2</v>
      </c>
      <c r="C194" s="4">
        <v>5.2199999999999996E-2</v>
      </c>
      <c r="D194" s="4">
        <v>5.8200000000000002E-2</v>
      </c>
      <c r="E194" s="4">
        <v>6.2400000000000004E-2</v>
      </c>
      <c r="I194" s="3">
        <v>27729</v>
      </c>
      <c r="J194" s="4">
        <v>5.2000000000000005E-2</v>
      </c>
      <c r="K194" s="4">
        <v>5.2199999999999996E-2</v>
      </c>
      <c r="L194" s="4">
        <v>5.8200000000000002E-2</v>
      </c>
      <c r="M194" s="4">
        <v>6.2400000000000004E-2</v>
      </c>
      <c r="N194" s="6">
        <f t="shared" si="8"/>
        <v>5.0131068457999993E-2</v>
      </c>
      <c r="O194" s="6">
        <f t="shared" si="9"/>
        <v>2.6037267080745302E-3</v>
      </c>
      <c r="P194" s="21">
        <f t="shared" si="10"/>
        <v>3.4929051086825412E-6</v>
      </c>
      <c r="Q194">
        <f t="shared" si="11"/>
        <v>3.594099119230791</v>
      </c>
    </row>
    <row r="195" spans="1:17" x14ac:dyDescent="0.15">
      <c r="A195" s="3">
        <v>27760</v>
      </c>
      <c r="B195" s="4">
        <v>4.87E-2</v>
      </c>
      <c r="C195" s="4">
        <v>5.2000000000000005E-2</v>
      </c>
      <c r="D195" s="4">
        <v>5.2199999999999996E-2</v>
      </c>
      <c r="E195" s="4">
        <v>5.8200000000000002E-2</v>
      </c>
      <c r="I195" s="3">
        <v>27760</v>
      </c>
      <c r="J195" s="4">
        <v>4.87E-2</v>
      </c>
      <c r="K195" s="4">
        <v>5.2000000000000005E-2</v>
      </c>
      <c r="L195" s="4">
        <v>5.2199999999999996E-2</v>
      </c>
      <c r="M195" s="4">
        <v>5.8200000000000002E-2</v>
      </c>
      <c r="N195" s="6">
        <f t="shared" si="8"/>
        <v>5.2849970312000005E-2</v>
      </c>
      <c r="O195" s="6">
        <f t="shared" si="9"/>
        <v>5.9037267080745345E-3</v>
      </c>
      <c r="P195" s="21">
        <f t="shared" si="10"/>
        <v>1.722225359048142E-5</v>
      </c>
      <c r="Q195">
        <f t="shared" si="11"/>
        <v>8.5214996139630497</v>
      </c>
    </row>
    <row r="196" spans="1:17" x14ac:dyDescent="0.15">
      <c r="A196" s="3">
        <v>27791</v>
      </c>
      <c r="B196" s="4">
        <v>4.7699999999999992E-2</v>
      </c>
      <c r="C196" s="4">
        <v>4.87E-2</v>
      </c>
      <c r="D196" s="4">
        <v>5.2000000000000005E-2</v>
      </c>
      <c r="E196" s="4">
        <v>5.2199999999999996E-2</v>
      </c>
      <c r="I196" s="3">
        <v>27791</v>
      </c>
      <c r="J196" s="4">
        <v>4.7699999999999992E-2</v>
      </c>
      <c r="K196" s="4">
        <v>4.87E-2</v>
      </c>
      <c r="L196" s="4">
        <v>5.2000000000000005E-2</v>
      </c>
      <c r="M196" s="4">
        <v>5.2199999999999996E-2</v>
      </c>
      <c r="N196" s="6">
        <f t="shared" si="8"/>
        <v>4.7267251371000005E-2</v>
      </c>
      <c r="O196" s="6">
        <f t="shared" si="9"/>
        <v>6.9037267080745424E-3</v>
      </c>
      <c r="P196" s="21">
        <f t="shared" si="10"/>
        <v>1.8727137590136897E-7</v>
      </c>
      <c r="Q196">
        <f t="shared" si="11"/>
        <v>0.90722983018865366</v>
      </c>
    </row>
    <row r="197" spans="1:17" x14ac:dyDescent="0.15">
      <c r="A197" s="3">
        <v>27820</v>
      </c>
      <c r="B197" s="4">
        <v>4.8399999999999999E-2</v>
      </c>
      <c r="C197" s="4">
        <v>4.7699999999999992E-2</v>
      </c>
      <c r="D197" s="4">
        <v>4.87E-2</v>
      </c>
      <c r="E197" s="4">
        <v>5.2000000000000005E-2</v>
      </c>
      <c r="I197" s="3">
        <v>27820</v>
      </c>
      <c r="J197" s="4">
        <v>4.8399999999999999E-2</v>
      </c>
      <c r="K197" s="4">
        <v>4.7699999999999992E-2</v>
      </c>
      <c r="L197" s="4">
        <v>4.87E-2</v>
      </c>
      <c r="M197" s="4">
        <v>5.2000000000000005E-2</v>
      </c>
      <c r="N197" s="6">
        <f t="shared" si="8"/>
        <v>4.7813330708999999E-2</v>
      </c>
      <c r="O197" s="6">
        <f t="shared" si="9"/>
        <v>6.2037267080745362E-3</v>
      </c>
      <c r="P197" s="21">
        <f t="shared" si="10"/>
        <v>3.4418085700244251E-7</v>
      </c>
      <c r="Q197">
        <f t="shared" si="11"/>
        <v>1.2121266342975203</v>
      </c>
    </row>
    <row r="198" spans="1:17" x14ac:dyDescent="0.15">
      <c r="A198" s="3">
        <v>27851</v>
      </c>
      <c r="B198" s="4">
        <v>4.82E-2</v>
      </c>
      <c r="C198" s="4">
        <v>4.8399999999999999E-2</v>
      </c>
      <c r="D198" s="4">
        <v>4.7699999999999992E-2</v>
      </c>
      <c r="E198" s="4">
        <v>4.87E-2</v>
      </c>
      <c r="I198" s="3">
        <v>27851</v>
      </c>
      <c r="J198" s="4">
        <v>4.82E-2</v>
      </c>
      <c r="K198" s="4">
        <v>4.8399999999999999E-2</v>
      </c>
      <c r="L198" s="4">
        <v>4.7699999999999992E-2</v>
      </c>
      <c r="M198" s="4">
        <v>4.87E-2</v>
      </c>
      <c r="N198" s="6">
        <f t="shared" si="8"/>
        <v>4.8912520940000009E-2</v>
      </c>
      <c r="O198" s="6">
        <f t="shared" si="9"/>
        <v>6.403726708074535E-3</v>
      </c>
      <c r="P198" s="21">
        <f t="shared" si="10"/>
        <v>5.0768608993849722E-7</v>
      </c>
      <c r="Q198">
        <f t="shared" si="11"/>
        <v>1.4782592116182773</v>
      </c>
    </row>
    <row r="199" spans="1:17" x14ac:dyDescent="0.15">
      <c r="A199" s="3">
        <v>27881</v>
      </c>
      <c r="B199" s="4">
        <v>5.2900000000000003E-2</v>
      </c>
      <c r="C199" s="4">
        <v>4.82E-2</v>
      </c>
      <c r="D199" s="4">
        <v>4.8399999999999999E-2</v>
      </c>
      <c r="E199" s="4">
        <v>4.7699999999999992E-2</v>
      </c>
      <c r="I199" s="3">
        <v>27881</v>
      </c>
      <c r="J199" s="4">
        <v>5.2900000000000003E-2</v>
      </c>
      <c r="K199" s="4">
        <v>4.82E-2</v>
      </c>
      <c r="L199" s="4">
        <v>4.8399999999999999E-2</v>
      </c>
      <c r="M199" s="4">
        <v>4.7699999999999992E-2</v>
      </c>
      <c r="N199" s="6">
        <f t="shared" ref="N199:N262" si="12" xml:space="preserve"> 0.00063539 + 1.44140757*K199 - 0.611849*L199 + 0.15807396*M199</f>
        <v>4.8037871165999994E-2</v>
      </c>
      <c r="O199" s="6">
        <f t="shared" ref="O199:O262" si="13">ABS(J199-$U$32)</f>
        <v>1.7037267080745322E-3</v>
      </c>
      <c r="P199" s="21">
        <f t="shared" ref="P199:P262" si="14">(N199-J199)^2</f>
        <v>2.364029679841428E-5</v>
      </c>
      <c r="Q199">
        <f t="shared" ref="Q199:Q262" si="15">ABS(N199-J199)/J199*100</f>
        <v>9.1911698185255357</v>
      </c>
    </row>
    <row r="200" spans="1:17" x14ac:dyDescent="0.15">
      <c r="A200" s="3">
        <v>27912</v>
      </c>
      <c r="B200" s="4">
        <v>5.4800000000000001E-2</v>
      </c>
      <c r="C200" s="4">
        <v>5.2900000000000003E-2</v>
      </c>
      <c r="D200" s="4">
        <v>4.82E-2</v>
      </c>
      <c r="E200" s="4">
        <v>4.8399999999999999E-2</v>
      </c>
      <c r="I200" s="3">
        <v>27912</v>
      </c>
      <c r="J200" s="4">
        <v>5.4800000000000001E-2</v>
      </c>
      <c r="K200" s="4">
        <v>5.2900000000000003E-2</v>
      </c>
      <c r="L200" s="4">
        <v>4.82E-2</v>
      </c>
      <c r="M200" s="4">
        <v>4.8399999999999999E-2</v>
      </c>
      <c r="N200" s="6">
        <f t="shared" si="12"/>
        <v>5.5045508317000003E-2</v>
      </c>
      <c r="O200" s="6">
        <f t="shared" si="13"/>
        <v>1.9627329192546672E-4</v>
      </c>
      <c r="P200" s="21">
        <f t="shared" si="14"/>
        <v>6.0274333716173019E-8</v>
      </c>
      <c r="Q200">
        <f t="shared" si="15"/>
        <v>0.44800787773722822</v>
      </c>
    </row>
    <row r="201" spans="1:17" x14ac:dyDescent="0.15">
      <c r="A201" s="3">
        <v>27942</v>
      </c>
      <c r="B201" s="4">
        <v>5.3099999999999994E-2</v>
      </c>
      <c r="C201" s="4">
        <v>5.4800000000000001E-2</v>
      </c>
      <c r="D201" s="4">
        <v>5.2900000000000003E-2</v>
      </c>
      <c r="E201" s="4">
        <v>4.82E-2</v>
      </c>
      <c r="I201" s="3">
        <v>27942</v>
      </c>
      <c r="J201" s="4">
        <v>5.3099999999999994E-2</v>
      </c>
      <c r="K201" s="4">
        <v>5.4800000000000001E-2</v>
      </c>
      <c r="L201" s="4">
        <v>5.2900000000000003E-2</v>
      </c>
      <c r="M201" s="4">
        <v>4.82E-2</v>
      </c>
      <c r="N201" s="6">
        <f t="shared" si="12"/>
        <v>5.4876877607999988E-2</v>
      </c>
      <c r="O201" s="6">
        <f t="shared" si="13"/>
        <v>1.5037267080745403E-3</v>
      </c>
      <c r="P201" s="21">
        <f t="shared" si="14"/>
        <v>3.1572940338117795E-6</v>
      </c>
      <c r="Q201">
        <f t="shared" si="15"/>
        <v>3.3462855141242822</v>
      </c>
    </row>
    <row r="202" spans="1:17" x14ac:dyDescent="0.15">
      <c r="A202" s="3">
        <v>27973</v>
      </c>
      <c r="B202" s="4">
        <v>5.2900000000000003E-2</v>
      </c>
      <c r="C202" s="4">
        <v>5.3099999999999994E-2</v>
      </c>
      <c r="D202" s="4">
        <v>5.4800000000000001E-2</v>
      </c>
      <c r="E202" s="4">
        <v>5.2900000000000003E-2</v>
      </c>
      <c r="I202" s="3">
        <v>27973</v>
      </c>
      <c r="J202" s="4">
        <v>5.2900000000000003E-2</v>
      </c>
      <c r="K202" s="4">
        <v>5.3099999999999994E-2</v>
      </c>
      <c r="L202" s="4">
        <v>5.4800000000000001E-2</v>
      </c>
      <c r="M202" s="4">
        <v>5.2900000000000003E-2</v>
      </c>
      <c r="N202" s="6">
        <f t="shared" si="12"/>
        <v>5.2006919250999983E-2</v>
      </c>
      <c r="O202" s="6">
        <f t="shared" si="13"/>
        <v>1.7037267080745322E-3</v>
      </c>
      <c r="P202" s="21">
        <f t="shared" si="14"/>
        <v>7.975932242344353E-7</v>
      </c>
      <c r="Q202">
        <f t="shared" si="15"/>
        <v>1.6882433818525882</v>
      </c>
    </row>
    <row r="203" spans="1:17" x14ac:dyDescent="0.15">
      <c r="A203" s="3">
        <v>28004</v>
      </c>
      <c r="B203" s="4">
        <v>5.2499999999999998E-2</v>
      </c>
      <c r="C203" s="4">
        <v>5.2900000000000003E-2</v>
      </c>
      <c r="D203" s="4">
        <v>5.3099999999999994E-2</v>
      </c>
      <c r="E203" s="4">
        <v>5.4800000000000001E-2</v>
      </c>
      <c r="I203" s="3">
        <v>28004</v>
      </c>
      <c r="J203" s="4">
        <v>5.2499999999999998E-2</v>
      </c>
      <c r="K203" s="4">
        <v>5.2900000000000003E-2</v>
      </c>
      <c r="L203" s="4">
        <v>5.3099999999999994E-2</v>
      </c>
      <c r="M203" s="4">
        <v>5.4800000000000001E-2</v>
      </c>
      <c r="N203" s="6">
        <f t="shared" si="12"/>
        <v>5.3059121561000011E-2</v>
      </c>
      <c r="O203" s="6">
        <f t="shared" si="13"/>
        <v>2.1037267080745367E-3</v>
      </c>
      <c r="P203" s="21">
        <f t="shared" si="14"/>
        <v>3.126169199750913E-7</v>
      </c>
      <c r="Q203">
        <f t="shared" si="15"/>
        <v>1.0649934495238342</v>
      </c>
    </row>
    <row r="204" spans="1:17" x14ac:dyDescent="0.15">
      <c r="A204" s="3">
        <v>28034</v>
      </c>
      <c r="B204" s="4">
        <v>5.0199999999999995E-2</v>
      </c>
      <c r="C204" s="4">
        <v>5.2499999999999998E-2</v>
      </c>
      <c r="D204" s="4">
        <v>5.2900000000000003E-2</v>
      </c>
      <c r="E204" s="4">
        <v>5.3099999999999994E-2</v>
      </c>
      <c r="I204" s="3">
        <v>28034</v>
      </c>
      <c r="J204" s="4">
        <v>5.0199999999999995E-2</v>
      </c>
      <c r="K204" s="4">
        <v>5.2499999999999998E-2</v>
      </c>
      <c r="L204" s="4">
        <v>5.2900000000000003E-2</v>
      </c>
      <c r="M204" s="4">
        <v>5.3099999999999994E-2</v>
      </c>
      <c r="N204" s="6">
        <f t="shared" si="12"/>
        <v>5.2336202600999991E-2</v>
      </c>
      <c r="O204" s="6">
        <f t="shared" si="13"/>
        <v>4.4037267080745401E-3</v>
      </c>
      <c r="P204" s="21">
        <f t="shared" si="14"/>
        <v>4.5633615525191504E-6</v>
      </c>
      <c r="Q204">
        <f t="shared" si="15"/>
        <v>4.2553836673306709</v>
      </c>
    </row>
    <row r="205" spans="1:17" x14ac:dyDescent="0.15">
      <c r="A205" s="3">
        <v>28065</v>
      </c>
      <c r="B205" s="4">
        <v>4.9500000000000002E-2</v>
      </c>
      <c r="C205" s="4">
        <v>5.0199999999999995E-2</v>
      </c>
      <c r="D205" s="4">
        <v>5.2499999999999998E-2</v>
      </c>
      <c r="E205" s="4">
        <v>5.2900000000000003E-2</v>
      </c>
      <c r="I205" s="3">
        <v>28065</v>
      </c>
      <c r="J205" s="4">
        <v>4.9500000000000002E-2</v>
      </c>
      <c r="K205" s="4">
        <v>5.0199999999999995E-2</v>
      </c>
      <c r="L205" s="4">
        <v>5.2499999999999998E-2</v>
      </c>
      <c r="M205" s="4">
        <v>5.2900000000000003E-2</v>
      </c>
      <c r="N205" s="6">
        <f t="shared" si="12"/>
        <v>4.9234089997999997E-2</v>
      </c>
      <c r="O205" s="6">
        <f t="shared" si="13"/>
        <v>5.1037267080745324E-3</v>
      </c>
      <c r="P205" s="21">
        <f t="shared" si="14"/>
        <v>7.0708129163642919E-8</v>
      </c>
      <c r="Q205">
        <f t="shared" si="15"/>
        <v>0.53719192323233433</v>
      </c>
    </row>
    <row r="206" spans="1:17" x14ac:dyDescent="0.15">
      <c r="A206" s="3">
        <v>28095</v>
      </c>
      <c r="B206" s="4">
        <v>4.6500000000000007E-2</v>
      </c>
      <c r="C206" s="4">
        <v>4.9500000000000002E-2</v>
      </c>
      <c r="D206" s="4">
        <v>5.0199999999999995E-2</v>
      </c>
      <c r="E206" s="4">
        <v>5.2499999999999998E-2</v>
      </c>
      <c r="I206" s="3">
        <v>28095</v>
      </c>
      <c r="J206" s="4">
        <v>4.6500000000000007E-2</v>
      </c>
      <c r="K206" s="4">
        <v>4.9500000000000002E-2</v>
      </c>
      <c r="L206" s="4">
        <v>5.0199999999999995E-2</v>
      </c>
      <c r="M206" s="4">
        <v>5.2499999999999998E-2</v>
      </c>
      <c r="N206" s="6">
        <f t="shared" si="12"/>
        <v>4.9569127815000009E-2</v>
      </c>
      <c r="O206" s="6">
        <f t="shared" si="13"/>
        <v>8.1037267080745282E-3</v>
      </c>
      <c r="P206" s="21">
        <f t="shared" si="14"/>
        <v>9.4195455448066924E-6</v>
      </c>
      <c r="Q206">
        <f t="shared" si="15"/>
        <v>6.6002748709677466</v>
      </c>
    </row>
    <row r="207" spans="1:17" x14ac:dyDescent="0.15">
      <c r="A207" s="3">
        <v>28126</v>
      </c>
      <c r="B207" s="4">
        <v>4.6100000000000002E-2</v>
      </c>
      <c r="C207" s="4">
        <v>4.6500000000000007E-2</v>
      </c>
      <c r="D207" s="4">
        <v>4.9500000000000002E-2</v>
      </c>
      <c r="E207" s="4">
        <v>5.0199999999999995E-2</v>
      </c>
      <c r="I207" s="3">
        <v>28126</v>
      </c>
      <c r="J207" s="4">
        <v>4.6100000000000002E-2</v>
      </c>
      <c r="K207" s="4">
        <v>4.6500000000000007E-2</v>
      </c>
      <c r="L207" s="4">
        <v>4.9500000000000002E-2</v>
      </c>
      <c r="M207" s="4">
        <v>5.0199999999999995E-2</v>
      </c>
      <c r="N207" s="6">
        <f t="shared" si="12"/>
        <v>4.5309629297000012E-2</v>
      </c>
      <c r="O207" s="6">
        <f t="shared" si="13"/>
        <v>8.5037267080745327E-3</v>
      </c>
      <c r="P207" s="21">
        <f t="shared" si="14"/>
        <v>6.2468584816069861E-7</v>
      </c>
      <c r="Q207">
        <f t="shared" si="15"/>
        <v>1.7144700715834924</v>
      </c>
    </row>
    <row r="208" spans="1:17" x14ac:dyDescent="0.15">
      <c r="A208" s="3">
        <v>28157</v>
      </c>
      <c r="B208" s="4">
        <v>4.6799999999999994E-2</v>
      </c>
      <c r="C208" s="4">
        <v>4.6100000000000002E-2</v>
      </c>
      <c r="D208" s="4">
        <v>4.6500000000000007E-2</v>
      </c>
      <c r="E208" s="4">
        <v>4.9500000000000002E-2</v>
      </c>
      <c r="I208" s="3">
        <v>28157</v>
      </c>
      <c r="J208" s="4">
        <v>4.6799999999999994E-2</v>
      </c>
      <c r="K208" s="4">
        <v>4.6100000000000002E-2</v>
      </c>
      <c r="L208" s="4">
        <v>4.6500000000000007E-2</v>
      </c>
      <c r="M208" s="4">
        <v>4.9500000000000002E-2</v>
      </c>
      <c r="N208" s="6">
        <f t="shared" si="12"/>
        <v>4.6457961497000003E-2</v>
      </c>
      <c r="O208" s="6">
        <f t="shared" si="13"/>
        <v>7.8037267080745404E-3</v>
      </c>
      <c r="P208" s="21">
        <f t="shared" si="14"/>
        <v>1.1699033753447535E-7</v>
      </c>
      <c r="Q208">
        <f t="shared" si="15"/>
        <v>0.73085150213673455</v>
      </c>
    </row>
    <row r="209" spans="1:17" x14ac:dyDescent="0.15">
      <c r="A209" s="3">
        <v>28185</v>
      </c>
      <c r="B209" s="4">
        <v>4.6900000000000004E-2</v>
      </c>
      <c r="C209" s="4">
        <v>4.6799999999999994E-2</v>
      </c>
      <c r="D209" s="4">
        <v>4.6100000000000002E-2</v>
      </c>
      <c r="E209" s="4">
        <v>4.6500000000000007E-2</v>
      </c>
      <c r="I209" s="3">
        <v>28185</v>
      </c>
      <c r="J209" s="4">
        <v>4.6900000000000004E-2</v>
      </c>
      <c r="K209" s="4">
        <v>4.6799999999999994E-2</v>
      </c>
      <c r="L209" s="4">
        <v>4.6100000000000002E-2</v>
      </c>
      <c r="M209" s="4">
        <v>4.6500000000000007E-2</v>
      </c>
      <c r="N209" s="6">
        <f t="shared" si="12"/>
        <v>4.7237464515999986E-2</v>
      </c>
      <c r="O209" s="6">
        <f t="shared" si="13"/>
        <v>7.7037267080745306E-3</v>
      </c>
      <c r="P209" s="21">
        <f t="shared" si="14"/>
        <v>1.1388229955910174E-7</v>
      </c>
      <c r="Q209">
        <f t="shared" si="15"/>
        <v>0.71954054584217786</v>
      </c>
    </row>
    <row r="210" spans="1:17" x14ac:dyDescent="0.15">
      <c r="A210" s="3">
        <v>28216</v>
      </c>
      <c r="B210" s="4">
        <v>4.7300000000000002E-2</v>
      </c>
      <c r="C210" s="4">
        <v>4.6900000000000004E-2</v>
      </c>
      <c r="D210" s="4">
        <v>4.6799999999999994E-2</v>
      </c>
      <c r="E210" s="4">
        <v>4.6100000000000002E-2</v>
      </c>
      <c r="I210" s="3">
        <v>28216</v>
      </c>
      <c r="J210" s="4">
        <v>4.7300000000000002E-2</v>
      </c>
      <c r="K210" s="4">
        <v>4.6900000000000004E-2</v>
      </c>
      <c r="L210" s="4">
        <v>4.6799999999999994E-2</v>
      </c>
      <c r="M210" s="4">
        <v>4.6100000000000002E-2</v>
      </c>
      <c r="N210" s="6">
        <f t="shared" si="12"/>
        <v>4.6890081389000013E-2</v>
      </c>
      <c r="O210" s="6">
        <f t="shared" si="13"/>
        <v>7.303726708074533E-3</v>
      </c>
      <c r="P210" s="21">
        <f t="shared" si="14"/>
        <v>1.6803326764416021E-7</v>
      </c>
      <c r="Q210">
        <f t="shared" si="15"/>
        <v>0.86663554122619213</v>
      </c>
    </row>
    <row r="211" spans="1:17" x14ac:dyDescent="0.15">
      <c r="A211" s="3">
        <v>28246</v>
      </c>
      <c r="B211" s="4">
        <v>5.3499999999999999E-2</v>
      </c>
      <c r="C211" s="4">
        <v>4.7300000000000002E-2</v>
      </c>
      <c r="D211" s="4">
        <v>4.6900000000000004E-2</v>
      </c>
      <c r="E211" s="4">
        <v>4.6799999999999994E-2</v>
      </c>
      <c r="I211" s="3">
        <v>28246</v>
      </c>
      <c r="J211" s="4">
        <v>5.3499999999999999E-2</v>
      </c>
      <c r="K211" s="4">
        <v>4.7300000000000002E-2</v>
      </c>
      <c r="L211" s="4">
        <v>4.6900000000000004E-2</v>
      </c>
      <c r="M211" s="4">
        <v>4.6799999999999994E-2</v>
      </c>
      <c r="N211" s="6">
        <f t="shared" si="12"/>
        <v>4.7516111288999997E-2</v>
      </c>
      <c r="O211" s="6">
        <f t="shared" si="13"/>
        <v>1.1037267080745358E-3</v>
      </c>
      <c r="P211" s="21">
        <f t="shared" si="14"/>
        <v>3.5806924105633259E-5</v>
      </c>
      <c r="Q211">
        <f t="shared" si="15"/>
        <v>11.184838712149537</v>
      </c>
    </row>
    <row r="212" spans="1:17" x14ac:dyDescent="0.15">
      <c r="A212" s="3">
        <v>28277</v>
      </c>
      <c r="B212" s="4">
        <v>5.3899999999999997E-2</v>
      </c>
      <c r="C212" s="4">
        <v>5.3499999999999999E-2</v>
      </c>
      <c r="D212" s="4">
        <v>4.7300000000000002E-2</v>
      </c>
      <c r="E212" s="4">
        <v>4.6900000000000004E-2</v>
      </c>
      <c r="I212" s="3">
        <v>28277</v>
      </c>
      <c r="J212" s="4">
        <v>5.3899999999999997E-2</v>
      </c>
      <c r="K212" s="4">
        <v>5.3499999999999999E-2</v>
      </c>
      <c r="L212" s="4">
        <v>4.7300000000000002E-2</v>
      </c>
      <c r="M212" s="4">
        <v>4.6900000000000004E-2</v>
      </c>
      <c r="N212" s="6">
        <f t="shared" si="12"/>
        <v>5.6223906019E-2</v>
      </c>
      <c r="O212" s="6">
        <f t="shared" si="13"/>
        <v>7.0372670807453824E-4</v>
      </c>
      <c r="P212" s="21">
        <f t="shared" si="14"/>
        <v>5.4005391851444449E-6</v>
      </c>
      <c r="Q212">
        <f t="shared" si="15"/>
        <v>4.3115139499072423</v>
      </c>
    </row>
    <row r="213" spans="1:17" x14ac:dyDescent="0.15">
      <c r="A213" s="3">
        <v>28307</v>
      </c>
      <c r="B213" s="4">
        <v>5.4199999999999998E-2</v>
      </c>
      <c r="C213" s="4">
        <v>5.3899999999999997E-2</v>
      </c>
      <c r="D213" s="4">
        <v>5.3499999999999999E-2</v>
      </c>
      <c r="E213" s="4">
        <v>4.7300000000000002E-2</v>
      </c>
      <c r="I213" s="3">
        <v>28307</v>
      </c>
      <c r="J213" s="4">
        <v>5.4199999999999998E-2</v>
      </c>
      <c r="K213" s="4">
        <v>5.3899999999999997E-2</v>
      </c>
      <c r="L213" s="4">
        <v>5.3499999999999999E-2</v>
      </c>
      <c r="M213" s="4">
        <v>4.7300000000000002E-2</v>
      </c>
      <c r="N213" s="6">
        <f t="shared" si="12"/>
        <v>5.3070234830999992E-2</v>
      </c>
      <c r="O213" s="6">
        <f t="shared" si="13"/>
        <v>4.0372670807453659E-4</v>
      </c>
      <c r="P213" s="21">
        <f t="shared" si="14"/>
        <v>1.2763693370856128E-6</v>
      </c>
      <c r="Q213">
        <f t="shared" si="15"/>
        <v>2.0844375811808233</v>
      </c>
    </row>
    <row r="214" spans="1:17" x14ac:dyDescent="0.15">
      <c r="A214" s="3">
        <v>28338</v>
      </c>
      <c r="B214" s="4">
        <v>5.9000000000000004E-2</v>
      </c>
      <c r="C214" s="4">
        <v>5.4199999999999998E-2</v>
      </c>
      <c r="D214" s="4">
        <v>5.3899999999999997E-2</v>
      </c>
      <c r="E214" s="4">
        <v>5.3499999999999999E-2</v>
      </c>
      <c r="I214" s="3">
        <v>28338</v>
      </c>
      <c r="J214" s="4">
        <v>5.9000000000000004E-2</v>
      </c>
      <c r="K214" s="4">
        <v>5.4199999999999998E-2</v>
      </c>
      <c r="L214" s="4">
        <v>5.3899999999999997E-2</v>
      </c>
      <c r="M214" s="4">
        <v>5.3499999999999999E-2</v>
      </c>
      <c r="N214" s="6">
        <f t="shared" si="12"/>
        <v>5.4237976053999992E-2</v>
      </c>
      <c r="O214" s="6">
        <f t="shared" si="13"/>
        <v>4.3962732919254691E-3</v>
      </c>
      <c r="P214" s="21">
        <f t="shared" si="14"/>
        <v>2.2676872062277521E-5</v>
      </c>
      <c r="Q214">
        <f t="shared" si="15"/>
        <v>8.0712270271186632</v>
      </c>
    </row>
    <row r="215" spans="1:17" x14ac:dyDescent="0.15">
      <c r="A215" s="3">
        <v>28369</v>
      </c>
      <c r="B215" s="4">
        <v>6.1399999999999996E-2</v>
      </c>
      <c r="C215" s="4">
        <v>5.9000000000000004E-2</v>
      </c>
      <c r="D215" s="4">
        <v>5.4199999999999998E-2</v>
      </c>
      <c r="E215" s="4">
        <v>5.3899999999999997E-2</v>
      </c>
      <c r="I215" s="3">
        <v>28369</v>
      </c>
      <c r="J215" s="4">
        <v>6.1399999999999996E-2</v>
      </c>
      <c r="K215" s="4">
        <v>5.9000000000000004E-2</v>
      </c>
      <c r="L215" s="4">
        <v>5.4199999999999998E-2</v>
      </c>
      <c r="M215" s="4">
        <v>5.3899999999999997E-2</v>
      </c>
      <c r="N215" s="6">
        <f t="shared" si="12"/>
        <v>6.1036407274000011E-2</v>
      </c>
      <c r="O215" s="6">
        <f t="shared" si="13"/>
        <v>6.7962732919254615E-3</v>
      </c>
      <c r="P215" s="21">
        <f t="shared" si="14"/>
        <v>1.3219967040010033E-7</v>
      </c>
      <c r="Q215">
        <f t="shared" si="15"/>
        <v>0.59217056351789121</v>
      </c>
    </row>
    <row r="216" spans="1:17" x14ac:dyDescent="0.15">
      <c r="A216" s="3">
        <v>28399</v>
      </c>
      <c r="B216" s="4">
        <v>6.4699999999999994E-2</v>
      </c>
      <c r="C216" s="4">
        <v>6.1399999999999996E-2</v>
      </c>
      <c r="D216" s="4">
        <v>5.9000000000000004E-2</v>
      </c>
      <c r="E216" s="4">
        <v>5.4199999999999998E-2</v>
      </c>
      <c r="I216" s="3">
        <v>28399</v>
      </c>
      <c r="J216" s="4">
        <v>6.4699999999999994E-2</v>
      </c>
      <c r="K216" s="4">
        <v>6.1399999999999996E-2</v>
      </c>
      <c r="L216" s="4">
        <v>5.9000000000000004E-2</v>
      </c>
      <c r="M216" s="4">
        <v>5.4199999999999998E-2</v>
      </c>
      <c r="N216" s="6">
        <f t="shared" si="12"/>
        <v>6.1606332429999994E-2</v>
      </c>
      <c r="O216" s="6">
        <f t="shared" si="13"/>
        <v>1.0096273291925459E-2</v>
      </c>
      <c r="P216" s="21">
        <f t="shared" si="14"/>
        <v>9.5707790336697045E-6</v>
      </c>
      <c r="Q216">
        <f t="shared" si="15"/>
        <v>4.781557295208656</v>
      </c>
    </row>
    <row r="217" spans="1:17" x14ac:dyDescent="0.15">
      <c r="A217" s="3">
        <v>28430</v>
      </c>
      <c r="B217" s="4">
        <v>6.5099999999999991E-2</v>
      </c>
      <c r="C217" s="4">
        <v>6.4699999999999994E-2</v>
      </c>
      <c r="D217" s="4">
        <v>6.1399999999999996E-2</v>
      </c>
      <c r="E217" s="4">
        <v>5.9000000000000004E-2</v>
      </c>
      <c r="I217" s="3">
        <v>28430</v>
      </c>
      <c r="J217" s="4">
        <v>6.5099999999999991E-2</v>
      </c>
      <c r="K217" s="4">
        <v>6.4699999999999994E-2</v>
      </c>
      <c r="L217" s="4">
        <v>6.1399999999999996E-2</v>
      </c>
      <c r="M217" s="4">
        <v>5.9000000000000004E-2</v>
      </c>
      <c r="N217" s="6">
        <f t="shared" si="12"/>
        <v>6.5653294818999994E-2</v>
      </c>
      <c r="O217" s="6">
        <f t="shared" si="13"/>
        <v>1.0496273291925456E-2</v>
      </c>
      <c r="P217" s="21">
        <f t="shared" si="14"/>
        <v>3.061351567322456E-7</v>
      </c>
      <c r="Q217">
        <f t="shared" si="15"/>
        <v>0.84991523655914381</v>
      </c>
    </row>
    <row r="218" spans="1:17" x14ac:dyDescent="0.15">
      <c r="A218" s="3">
        <v>28460</v>
      </c>
      <c r="B218" s="4">
        <v>6.5599999999999992E-2</v>
      </c>
      <c r="C218" s="4">
        <v>6.5099999999999991E-2</v>
      </c>
      <c r="D218" s="4">
        <v>6.4699999999999994E-2</v>
      </c>
      <c r="E218" s="4">
        <v>6.1399999999999996E-2</v>
      </c>
      <c r="I218" s="3">
        <v>28460</v>
      </c>
      <c r="J218" s="4">
        <v>6.5599999999999992E-2</v>
      </c>
      <c r="K218" s="4">
        <v>6.5099999999999991E-2</v>
      </c>
      <c r="L218" s="4">
        <v>6.4699999999999994E-2</v>
      </c>
      <c r="M218" s="4">
        <v>6.1399999999999996E-2</v>
      </c>
      <c r="N218" s="6">
        <f t="shared" si="12"/>
        <v>6.4590133650999984E-2</v>
      </c>
      <c r="O218" s="6">
        <f t="shared" si="13"/>
        <v>1.0996273291925457E-2</v>
      </c>
      <c r="P218" s="21">
        <f t="shared" si="14"/>
        <v>1.0198300428426052E-6</v>
      </c>
      <c r="Q218">
        <f t="shared" si="15"/>
        <v>1.5394304100609875</v>
      </c>
    </row>
    <row r="219" spans="1:17" x14ac:dyDescent="0.15">
      <c r="A219" s="3">
        <v>28491</v>
      </c>
      <c r="B219" s="4">
        <v>6.7000000000000004E-2</v>
      </c>
      <c r="C219" s="4">
        <v>6.5599999999999992E-2</v>
      </c>
      <c r="D219" s="4">
        <v>6.5099999999999991E-2</v>
      </c>
      <c r="E219" s="4">
        <v>6.4699999999999994E-2</v>
      </c>
      <c r="I219" s="3">
        <v>28491</v>
      </c>
      <c r="J219" s="4">
        <v>6.7000000000000004E-2</v>
      </c>
      <c r="K219" s="4">
        <v>6.5599999999999992E-2</v>
      </c>
      <c r="L219" s="4">
        <v>6.5099999999999991E-2</v>
      </c>
      <c r="M219" s="4">
        <v>6.4699999999999994E-2</v>
      </c>
      <c r="N219" s="6">
        <f t="shared" si="12"/>
        <v>6.5587741903999991E-2</v>
      </c>
      <c r="O219" s="6">
        <f t="shared" si="13"/>
        <v>1.2396273291925469E-2</v>
      </c>
      <c r="P219" s="21">
        <f t="shared" si="14"/>
        <v>1.9944729297175823E-6</v>
      </c>
      <c r="Q219">
        <f t="shared" si="15"/>
        <v>2.107847904477631</v>
      </c>
    </row>
    <row r="220" spans="1:17" x14ac:dyDescent="0.15">
      <c r="A220" s="3">
        <v>28522</v>
      </c>
      <c r="B220" s="4">
        <v>6.7799999999999999E-2</v>
      </c>
      <c r="C220" s="4">
        <v>6.7000000000000004E-2</v>
      </c>
      <c r="D220" s="4">
        <v>6.5599999999999992E-2</v>
      </c>
      <c r="E220" s="4">
        <v>6.5099999999999991E-2</v>
      </c>
      <c r="I220" s="3">
        <v>28522</v>
      </c>
      <c r="J220" s="4">
        <v>6.7799999999999999E-2</v>
      </c>
      <c r="K220" s="4">
        <v>6.7000000000000004E-2</v>
      </c>
      <c r="L220" s="4">
        <v>6.5599999999999992E-2</v>
      </c>
      <c r="M220" s="4">
        <v>6.5099999999999991E-2</v>
      </c>
      <c r="N220" s="6">
        <f t="shared" si="12"/>
        <v>6.736301758600001E-2</v>
      </c>
      <c r="O220" s="6">
        <f t="shared" si="13"/>
        <v>1.3196273291925464E-2</v>
      </c>
      <c r="P220" s="21">
        <f t="shared" si="14"/>
        <v>1.9095363014525822E-7</v>
      </c>
      <c r="Q220">
        <f t="shared" si="15"/>
        <v>0.64451683480824407</v>
      </c>
    </row>
    <row r="221" spans="1:17" x14ac:dyDescent="0.15">
      <c r="A221" s="3">
        <v>28550</v>
      </c>
      <c r="B221" s="4">
        <v>6.7900000000000002E-2</v>
      </c>
      <c r="C221" s="4">
        <v>6.7799999999999999E-2</v>
      </c>
      <c r="D221" s="4">
        <v>6.7000000000000004E-2</v>
      </c>
      <c r="E221" s="4">
        <v>6.5599999999999992E-2</v>
      </c>
      <c r="I221" s="3">
        <v>28550</v>
      </c>
      <c r="J221" s="4">
        <v>6.7900000000000002E-2</v>
      </c>
      <c r="K221" s="4">
        <v>6.7799999999999999E-2</v>
      </c>
      <c r="L221" s="4">
        <v>6.7000000000000004E-2</v>
      </c>
      <c r="M221" s="4">
        <v>6.5599999999999992E-2</v>
      </c>
      <c r="N221" s="6">
        <f t="shared" si="12"/>
        <v>6.7738592021999999E-2</v>
      </c>
      <c r="O221" s="6">
        <f t="shared" si="13"/>
        <v>1.3296273291925467E-2</v>
      </c>
      <c r="P221" s="21">
        <f t="shared" si="14"/>
        <v>2.6052535362049363E-8</v>
      </c>
      <c r="Q221">
        <f t="shared" si="15"/>
        <v>0.23771425331370064</v>
      </c>
    </row>
    <row r="222" spans="1:17" x14ac:dyDescent="0.15">
      <c r="A222" s="3">
        <v>28581</v>
      </c>
      <c r="B222" s="4">
        <v>6.8900000000000003E-2</v>
      </c>
      <c r="C222" s="4">
        <v>6.7900000000000002E-2</v>
      </c>
      <c r="D222" s="4">
        <v>6.7799999999999999E-2</v>
      </c>
      <c r="E222" s="4">
        <v>6.7000000000000004E-2</v>
      </c>
      <c r="I222" s="3">
        <v>28581</v>
      </c>
      <c r="J222" s="4">
        <v>6.8900000000000003E-2</v>
      </c>
      <c r="K222" s="4">
        <v>6.7900000000000002E-2</v>
      </c>
      <c r="L222" s="4">
        <v>6.7799999999999999E-2</v>
      </c>
      <c r="M222" s="4">
        <v>6.7000000000000004E-2</v>
      </c>
      <c r="N222" s="6">
        <f t="shared" si="12"/>
        <v>6.7614557123000005E-2</v>
      </c>
      <c r="O222" s="6">
        <f t="shared" si="13"/>
        <v>1.4296273291925468E-2</v>
      </c>
      <c r="P222" s="21">
        <f t="shared" si="14"/>
        <v>1.6523633900300324E-6</v>
      </c>
      <c r="Q222">
        <f t="shared" si="15"/>
        <v>1.8656645529753237</v>
      </c>
    </row>
    <row r="223" spans="1:17" x14ac:dyDescent="0.15">
      <c r="A223" s="3">
        <v>28611</v>
      </c>
      <c r="B223" s="4">
        <v>7.3599999999999999E-2</v>
      </c>
      <c r="C223" s="4">
        <v>6.8900000000000003E-2</v>
      </c>
      <c r="D223" s="4">
        <v>6.7900000000000002E-2</v>
      </c>
      <c r="E223" s="4">
        <v>6.7799999999999999E-2</v>
      </c>
      <c r="I223" s="3">
        <v>28611</v>
      </c>
      <c r="J223" s="4">
        <v>7.3599999999999999E-2</v>
      </c>
      <c r="K223" s="4">
        <v>6.8900000000000003E-2</v>
      </c>
      <c r="L223" s="4">
        <v>6.7900000000000002E-2</v>
      </c>
      <c r="M223" s="4">
        <v>6.7799999999999999E-2</v>
      </c>
      <c r="N223" s="6">
        <f t="shared" si="12"/>
        <v>6.9121238961000003E-2</v>
      </c>
      <c r="O223" s="6">
        <f t="shared" si="13"/>
        <v>1.8996273291925464E-2</v>
      </c>
      <c r="P223" s="21">
        <f t="shared" si="14"/>
        <v>2.005930044446432E-5</v>
      </c>
      <c r="Q223">
        <f t="shared" si="15"/>
        <v>6.0852731508152109</v>
      </c>
    </row>
    <row r="224" spans="1:17" x14ac:dyDescent="0.15">
      <c r="A224" s="3">
        <v>28642</v>
      </c>
      <c r="B224" s="4">
        <v>7.5999999999999998E-2</v>
      </c>
      <c r="C224" s="4">
        <v>7.3599999999999999E-2</v>
      </c>
      <c r="D224" s="4">
        <v>6.8900000000000003E-2</v>
      </c>
      <c r="E224" s="4">
        <v>6.7900000000000002E-2</v>
      </c>
      <c r="I224" s="3">
        <v>28642</v>
      </c>
      <c r="J224" s="4">
        <v>7.5999999999999998E-2</v>
      </c>
      <c r="K224" s="4">
        <v>7.3599999999999999E-2</v>
      </c>
      <c r="L224" s="4">
        <v>6.8900000000000003E-2</v>
      </c>
      <c r="M224" s="4">
        <v>6.7900000000000002E-2</v>
      </c>
      <c r="N224" s="6">
        <f t="shared" si="12"/>
        <v>7.5299812935999993E-2</v>
      </c>
      <c r="O224" s="6">
        <f t="shared" si="13"/>
        <v>2.1396273291925463E-2</v>
      </c>
      <c r="P224" s="21">
        <f t="shared" si="14"/>
        <v>4.9026192459294661E-7</v>
      </c>
      <c r="Q224">
        <f t="shared" si="15"/>
        <v>0.92129876842105884</v>
      </c>
    </row>
    <row r="225" spans="1:17" x14ac:dyDescent="0.15">
      <c r="A225" s="3">
        <v>28672</v>
      </c>
      <c r="B225" s="4">
        <v>7.8100000000000003E-2</v>
      </c>
      <c r="C225" s="4">
        <v>7.5999999999999998E-2</v>
      </c>
      <c r="D225" s="4">
        <v>7.3599999999999999E-2</v>
      </c>
      <c r="E225" s="4">
        <v>6.8900000000000003E-2</v>
      </c>
      <c r="I225" s="3">
        <v>28672</v>
      </c>
      <c r="J225" s="4">
        <v>7.8100000000000003E-2</v>
      </c>
      <c r="K225" s="4">
        <v>7.5999999999999998E-2</v>
      </c>
      <c r="L225" s="4">
        <v>7.3599999999999999E-2</v>
      </c>
      <c r="M225" s="4">
        <v>6.8900000000000003E-2</v>
      </c>
      <c r="N225" s="6">
        <f t="shared" si="12"/>
        <v>7.6041574764000003E-2</v>
      </c>
      <c r="O225" s="6">
        <f t="shared" si="13"/>
        <v>2.3496273291925468E-2</v>
      </c>
      <c r="P225" s="21">
        <f t="shared" si="14"/>
        <v>4.2371144522016556E-6</v>
      </c>
      <c r="Q225">
        <f t="shared" si="15"/>
        <v>2.6356277029449422</v>
      </c>
    </row>
    <row r="226" spans="1:17" x14ac:dyDescent="0.15">
      <c r="A226" s="3">
        <v>28703</v>
      </c>
      <c r="B226" s="4">
        <v>8.0399999999999985E-2</v>
      </c>
      <c r="C226" s="4">
        <v>7.8100000000000003E-2</v>
      </c>
      <c r="D226" s="4">
        <v>7.5999999999999998E-2</v>
      </c>
      <c r="E226" s="4">
        <v>7.3599999999999999E-2</v>
      </c>
      <c r="I226" s="3">
        <v>28703</v>
      </c>
      <c r="J226" s="4">
        <v>8.0399999999999985E-2</v>
      </c>
      <c r="K226" s="4">
        <v>7.8100000000000003E-2</v>
      </c>
      <c r="L226" s="4">
        <v>7.5999999999999998E-2</v>
      </c>
      <c r="M226" s="4">
        <v>7.3599999999999999E-2</v>
      </c>
      <c r="N226" s="6">
        <f t="shared" si="12"/>
        <v>7.834304067300002E-2</v>
      </c>
      <c r="O226" s="6">
        <f t="shared" si="13"/>
        <v>2.5796273291925451E-2</v>
      </c>
      <c r="P226" s="21">
        <f t="shared" si="14"/>
        <v>4.2310816729321526E-6</v>
      </c>
      <c r="Q226">
        <f t="shared" si="15"/>
        <v>2.5584071231342866</v>
      </c>
    </row>
    <row r="227" spans="1:17" x14ac:dyDescent="0.15">
      <c r="A227" s="3">
        <v>28734</v>
      </c>
      <c r="B227" s="4">
        <v>8.4499999999999992E-2</v>
      </c>
      <c r="C227" s="4">
        <v>8.0399999999999985E-2</v>
      </c>
      <c r="D227" s="4">
        <v>7.8100000000000003E-2</v>
      </c>
      <c r="E227" s="4">
        <v>7.5999999999999998E-2</v>
      </c>
      <c r="I227" s="3">
        <v>28734</v>
      </c>
      <c r="J227" s="4">
        <v>8.4499999999999992E-2</v>
      </c>
      <c r="K227" s="4">
        <v>8.0399999999999985E-2</v>
      </c>
      <c r="L227" s="4">
        <v>7.8100000000000003E-2</v>
      </c>
      <c r="M227" s="4">
        <v>7.5999999999999998E-2</v>
      </c>
      <c r="N227" s="6">
        <f t="shared" si="12"/>
        <v>8.0752772687999963E-2</v>
      </c>
      <c r="O227" s="6">
        <f t="shared" si="13"/>
        <v>2.9896273291925457E-2</v>
      </c>
      <c r="P227" s="21">
        <f t="shared" si="14"/>
        <v>1.4041712527798961E-5</v>
      </c>
      <c r="Q227">
        <f t="shared" si="15"/>
        <v>4.4345885349112768</v>
      </c>
    </row>
    <row r="228" spans="1:17" x14ac:dyDescent="0.15">
      <c r="A228" s="3">
        <v>28764</v>
      </c>
      <c r="B228" s="4">
        <v>8.9600000000000013E-2</v>
      </c>
      <c r="C228" s="4">
        <v>8.4499999999999992E-2</v>
      </c>
      <c r="D228" s="4">
        <v>8.0399999999999985E-2</v>
      </c>
      <c r="E228" s="4">
        <v>7.8100000000000003E-2</v>
      </c>
      <c r="I228" s="3">
        <v>28764</v>
      </c>
      <c r="J228" s="4">
        <v>8.9600000000000013E-2</v>
      </c>
      <c r="K228" s="4">
        <v>8.4499999999999992E-2</v>
      </c>
      <c r="L228" s="4">
        <v>8.0399999999999985E-2</v>
      </c>
      <c r="M228" s="4">
        <v>7.8100000000000003E-2</v>
      </c>
      <c r="N228" s="6">
        <f t="shared" si="12"/>
        <v>8.5587246340999984E-2</v>
      </c>
      <c r="O228" s="6">
        <f t="shared" si="13"/>
        <v>3.4996273291925478E-2</v>
      </c>
      <c r="P228" s="21">
        <f t="shared" si="14"/>
        <v>1.610219192781812E-5</v>
      </c>
      <c r="Q228">
        <f t="shared" si="15"/>
        <v>4.478519708705389</v>
      </c>
    </row>
    <row r="229" spans="1:17" x14ac:dyDescent="0.15">
      <c r="A229" s="3">
        <v>28795</v>
      </c>
      <c r="B229" s="4">
        <v>9.7599999999999992E-2</v>
      </c>
      <c r="C229" s="4">
        <v>8.9600000000000013E-2</v>
      </c>
      <c r="D229" s="4">
        <v>8.4499999999999992E-2</v>
      </c>
      <c r="E229" s="4">
        <v>8.0399999999999985E-2</v>
      </c>
      <c r="I229" s="3">
        <v>28795</v>
      </c>
      <c r="J229" s="4">
        <v>9.7599999999999992E-2</v>
      </c>
      <c r="K229" s="4">
        <v>8.9600000000000013E-2</v>
      </c>
      <c r="L229" s="4">
        <v>8.4499999999999992E-2</v>
      </c>
      <c r="M229" s="4">
        <v>8.0399999999999985E-2</v>
      </c>
      <c r="N229" s="6">
        <f t="shared" si="12"/>
        <v>9.0793414156000035E-2</v>
      </c>
      <c r="O229" s="6">
        <f t="shared" si="13"/>
        <v>4.2996273291925458E-2</v>
      </c>
      <c r="P229" s="21">
        <f t="shared" si="14"/>
        <v>4.6329610851740606E-5</v>
      </c>
      <c r="Q229">
        <f t="shared" si="15"/>
        <v>6.9739609057376608</v>
      </c>
    </row>
    <row r="230" spans="1:17" x14ac:dyDescent="0.15">
      <c r="A230" s="3">
        <v>28825</v>
      </c>
      <c r="B230" s="4">
        <v>0.1003</v>
      </c>
      <c r="C230" s="4">
        <v>9.7599999999999992E-2</v>
      </c>
      <c r="D230" s="4">
        <v>8.9600000000000013E-2</v>
      </c>
      <c r="E230" s="4">
        <v>8.4499999999999992E-2</v>
      </c>
      <c r="I230" s="3">
        <v>28825</v>
      </c>
      <c r="J230" s="4">
        <v>0.1003</v>
      </c>
      <c r="K230" s="4">
        <v>9.7599999999999992E-2</v>
      </c>
      <c r="L230" s="4">
        <v>8.9600000000000013E-2</v>
      </c>
      <c r="M230" s="4">
        <v>8.4499999999999992E-2</v>
      </c>
      <c r="N230" s="6">
        <f t="shared" si="12"/>
        <v>9.9852348051999995E-2</v>
      </c>
      <c r="O230" s="6">
        <f t="shared" si="13"/>
        <v>4.5696273291925465E-2</v>
      </c>
      <c r="P230" s="21">
        <f t="shared" si="14"/>
        <v>2.0039226654819935E-7</v>
      </c>
      <c r="Q230">
        <f t="shared" si="15"/>
        <v>0.4463130089730859</v>
      </c>
    </row>
    <row r="231" spans="1:17" x14ac:dyDescent="0.15">
      <c r="A231" s="3">
        <v>28856</v>
      </c>
      <c r="B231" s="4">
        <v>0.1007</v>
      </c>
      <c r="C231" s="4">
        <v>0.1003</v>
      </c>
      <c r="D231" s="4">
        <v>9.7599999999999992E-2</v>
      </c>
      <c r="E231" s="4">
        <v>8.9600000000000013E-2</v>
      </c>
      <c r="I231" s="3">
        <v>28856</v>
      </c>
      <c r="J231" s="4">
        <v>0.1007</v>
      </c>
      <c r="K231" s="4">
        <v>0.1003</v>
      </c>
      <c r="L231" s="4">
        <v>9.7599999999999992E-2</v>
      </c>
      <c r="M231" s="4">
        <v>8.9600000000000013E-2</v>
      </c>
      <c r="N231" s="6">
        <f t="shared" si="12"/>
        <v>9.9655533687000003E-2</v>
      </c>
      <c r="O231" s="6">
        <f t="shared" si="13"/>
        <v>4.6096273291925463E-2</v>
      </c>
      <c r="P231" s="21">
        <f t="shared" si="14"/>
        <v>1.0909098789918032E-6</v>
      </c>
      <c r="Q231">
        <f t="shared" si="15"/>
        <v>1.0372058718967176</v>
      </c>
    </row>
    <row r="232" spans="1:17" x14ac:dyDescent="0.15">
      <c r="A232" s="3">
        <v>28887</v>
      </c>
      <c r="B232" s="4">
        <v>0.10060000000000001</v>
      </c>
      <c r="C232" s="4">
        <v>0.1007</v>
      </c>
      <c r="D232" s="4">
        <v>0.1003</v>
      </c>
      <c r="E232" s="4">
        <v>9.7599999999999992E-2</v>
      </c>
      <c r="I232" s="3">
        <v>28887</v>
      </c>
      <c r="J232" s="4">
        <v>0.10060000000000001</v>
      </c>
      <c r="K232" s="4">
        <v>0.1007</v>
      </c>
      <c r="L232" s="4">
        <v>0.1003</v>
      </c>
      <c r="M232" s="4">
        <v>9.7599999999999992E-2</v>
      </c>
      <c r="N232" s="6">
        <f t="shared" si="12"/>
        <v>9.9844696095000018E-2</v>
      </c>
      <c r="O232" s="6">
        <f t="shared" si="13"/>
        <v>4.5996273291925474E-2</v>
      </c>
      <c r="P232" s="21">
        <f t="shared" si="14"/>
        <v>5.704839889082346E-7</v>
      </c>
      <c r="Q232">
        <f t="shared" si="15"/>
        <v>0.75079911033796265</v>
      </c>
    </row>
    <row r="233" spans="1:17" x14ac:dyDescent="0.15">
      <c r="A233" s="3">
        <v>28915</v>
      </c>
      <c r="B233" s="4">
        <v>0.1009</v>
      </c>
      <c r="C233" s="4">
        <v>0.10060000000000001</v>
      </c>
      <c r="D233" s="4">
        <v>0.1007</v>
      </c>
      <c r="E233" s="4">
        <v>0.1003</v>
      </c>
      <c r="I233" s="3">
        <v>28915</v>
      </c>
      <c r="J233" s="4">
        <v>0.1009</v>
      </c>
      <c r="K233" s="4">
        <v>0.10060000000000001</v>
      </c>
      <c r="L233" s="4">
        <v>0.1007</v>
      </c>
      <c r="M233" s="4">
        <v>0.1003</v>
      </c>
      <c r="N233" s="6">
        <f t="shared" si="12"/>
        <v>9.988261543000003E-2</v>
      </c>
      <c r="O233" s="6">
        <f t="shared" si="13"/>
        <v>4.6296273291925469E-2</v>
      </c>
      <c r="P233" s="21">
        <f t="shared" si="14"/>
        <v>1.0350713632740319E-6</v>
      </c>
      <c r="Q233">
        <f t="shared" si="15"/>
        <v>1.008309781962313</v>
      </c>
    </row>
    <row r="234" spans="1:17" x14ac:dyDescent="0.15">
      <c r="A234" s="3">
        <v>28946</v>
      </c>
      <c r="B234" s="4">
        <v>0.10009999999999999</v>
      </c>
      <c r="C234" s="4">
        <v>0.1009</v>
      </c>
      <c r="D234" s="4">
        <v>0.10060000000000001</v>
      </c>
      <c r="E234" s="4">
        <v>0.1007</v>
      </c>
      <c r="I234" s="3">
        <v>28946</v>
      </c>
      <c r="J234" s="4">
        <v>0.10009999999999999</v>
      </c>
      <c r="K234" s="4">
        <v>0.1009</v>
      </c>
      <c r="L234" s="4">
        <v>0.10060000000000001</v>
      </c>
      <c r="M234" s="4">
        <v>0.1007</v>
      </c>
      <c r="N234" s="6">
        <f t="shared" si="12"/>
        <v>0.10043945218500001</v>
      </c>
      <c r="O234" s="6">
        <f t="shared" si="13"/>
        <v>4.549627329192546E-2</v>
      </c>
      <c r="P234" s="21">
        <f t="shared" si="14"/>
        <v>1.1522778590128732E-7</v>
      </c>
      <c r="Q234">
        <f t="shared" si="15"/>
        <v>0.3391130719280912</v>
      </c>
    </row>
    <row r="235" spans="1:17" x14ac:dyDescent="0.15">
      <c r="A235" s="3">
        <v>28976</v>
      </c>
      <c r="B235" s="4">
        <v>0.1024</v>
      </c>
      <c r="C235" s="4">
        <v>0.10009999999999999</v>
      </c>
      <c r="D235" s="4">
        <v>0.1009</v>
      </c>
      <c r="E235" s="4">
        <v>0.10060000000000001</v>
      </c>
      <c r="I235" s="3">
        <v>28976</v>
      </c>
      <c r="J235" s="4">
        <v>0.1024</v>
      </c>
      <c r="K235" s="4">
        <v>0.10009999999999999</v>
      </c>
      <c r="L235" s="4">
        <v>0.1009</v>
      </c>
      <c r="M235" s="4">
        <v>0.10060000000000001</v>
      </c>
      <c r="N235" s="6">
        <f t="shared" si="12"/>
        <v>9.9086964033000005E-2</v>
      </c>
      <c r="O235" s="6">
        <f t="shared" si="13"/>
        <v>4.779627329192547E-2</v>
      </c>
      <c r="P235" s="21">
        <f t="shared" si="14"/>
        <v>1.0976207318635623E-5</v>
      </c>
      <c r="Q235">
        <f t="shared" si="15"/>
        <v>3.2353866865234373</v>
      </c>
    </row>
    <row r="236" spans="1:17" x14ac:dyDescent="0.15">
      <c r="A236" s="3">
        <v>29007</v>
      </c>
      <c r="B236" s="4">
        <v>0.10289999999999999</v>
      </c>
      <c r="C236" s="4">
        <v>0.1024</v>
      </c>
      <c r="D236" s="4">
        <v>0.10009999999999999</v>
      </c>
      <c r="E236" s="4">
        <v>0.1009</v>
      </c>
      <c r="I236" s="3">
        <v>29007</v>
      </c>
      <c r="J236" s="4">
        <v>0.10289999999999999</v>
      </c>
      <c r="K236" s="4">
        <v>0.1024</v>
      </c>
      <c r="L236" s="4">
        <v>0.10009999999999999</v>
      </c>
      <c r="M236" s="4">
        <v>0.1009</v>
      </c>
      <c r="N236" s="6">
        <f t="shared" si="12"/>
        <v>0.10293910283200002</v>
      </c>
      <c r="O236" s="6">
        <f t="shared" si="13"/>
        <v>4.8296273291925457E-2</v>
      </c>
      <c r="P236" s="21">
        <f t="shared" si="14"/>
        <v>1.5290314704220716E-9</v>
      </c>
      <c r="Q236">
        <f t="shared" si="15"/>
        <v>3.8000808552015188E-2</v>
      </c>
    </row>
    <row r="237" spans="1:17" x14ac:dyDescent="0.15">
      <c r="A237" s="3">
        <v>29037</v>
      </c>
      <c r="B237" s="4">
        <v>0.1047</v>
      </c>
      <c r="C237" s="4">
        <v>0.10289999999999999</v>
      </c>
      <c r="D237" s="4">
        <v>0.1024</v>
      </c>
      <c r="E237" s="4">
        <v>0.10009999999999999</v>
      </c>
      <c r="I237" s="3">
        <v>29037</v>
      </c>
      <c r="J237" s="4">
        <v>0.1047</v>
      </c>
      <c r="K237" s="4">
        <v>0.10289999999999999</v>
      </c>
      <c r="L237" s="4">
        <v>0.1024</v>
      </c>
      <c r="M237" s="4">
        <v>0.10009999999999999</v>
      </c>
      <c r="N237" s="6">
        <f t="shared" si="12"/>
        <v>0.10212609474900002</v>
      </c>
      <c r="O237" s="6">
        <f t="shared" si="13"/>
        <v>5.0096273291925467E-2</v>
      </c>
      <c r="P237" s="21">
        <f t="shared" si="14"/>
        <v>6.6249882411253008E-6</v>
      </c>
      <c r="Q237">
        <f t="shared" si="15"/>
        <v>2.4583622263610181</v>
      </c>
    </row>
    <row r="238" spans="1:17" x14ac:dyDescent="0.15">
      <c r="A238" s="3">
        <v>29068</v>
      </c>
      <c r="B238" s="4">
        <v>0.1094</v>
      </c>
      <c r="C238" s="4">
        <v>0.1047</v>
      </c>
      <c r="D238" s="4">
        <v>0.10289999999999999</v>
      </c>
      <c r="E238" s="4">
        <v>0.1024</v>
      </c>
      <c r="I238" s="3">
        <v>29068</v>
      </c>
      <c r="J238" s="4">
        <v>0.1094</v>
      </c>
      <c r="K238" s="4">
        <v>0.1047</v>
      </c>
      <c r="L238" s="4">
        <v>0.10289999999999999</v>
      </c>
      <c r="M238" s="4">
        <v>0.1024</v>
      </c>
      <c r="N238" s="6">
        <f t="shared" si="12"/>
        <v>0.10477827398300002</v>
      </c>
      <c r="O238" s="6">
        <f t="shared" si="13"/>
        <v>5.4796273291925462E-2</v>
      </c>
      <c r="P238" s="21">
        <f t="shared" si="14"/>
        <v>2.1360351376214477E-5</v>
      </c>
      <c r="Q238">
        <f t="shared" si="15"/>
        <v>4.2246124469835262</v>
      </c>
    </row>
    <row r="239" spans="1:17" x14ac:dyDescent="0.15">
      <c r="A239" s="3">
        <v>29099</v>
      </c>
      <c r="B239" s="4">
        <v>0.1143</v>
      </c>
      <c r="C239" s="4">
        <v>0.1094</v>
      </c>
      <c r="D239" s="4">
        <v>0.1047</v>
      </c>
      <c r="E239" s="4">
        <v>0.10289999999999999</v>
      </c>
      <c r="I239" s="3">
        <v>29099</v>
      </c>
      <c r="J239" s="4">
        <v>0.1143</v>
      </c>
      <c r="K239" s="4">
        <v>0.1094</v>
      </c>
      <c r="L239" s="4">
        <v>0.1047</v>
      </c>
      <c r="M239" s="4">
        <v>0.10289999999999999</v>
      </c>
      <c r="N239" s="6">
        <f t="shared" si="12"/>
        <v>0.11053059834200002</v>
      </c>
      <c r="O239" s="6">
        <f t="shared" si="13"/>
        <v>5.9696273291925464E-2</v>
      </c>
      <c r="P239" s="21">
        <f t="shared" si="14"/>
        <v>1.4208388859332994E-5</v>
      </c>
      <c r="Q239">
        <f t="shared" si="15"/>
        <v>3.2978142239719856</v>
      </c>
    </row>
    <row r="240" spans="1:17" x14ac:dyDescent="0.15">
      <c r="A240" s="3">
        <v>29129</v>
      </c>
      <c r="B240" s="4">
        <v>0.13769999999999999</v>
      </c>
      <c r="C240" s="4">
        <v>0.1143</v>
      </c>
      <c r="D240" s="4">
        <v>0.1094</v>
      </c>
      <c r="E240" s="4">
        <v>0.1047</v>
      </c>
      <c r="I240" s="3">
        <v>29129</v>
      </c>
      <c r="J240" s="4">
        <v>0.13769999999999999</v>
      </c>
      <c r="K240" s="4">
        <v>0.1143</v>
      </c>
      <c r="L240" s="4">
        <v>0.1094</v>
      </c>
      <c r="M240" s="4">
        <v>0.1047</v>
      </c>
      <c r="N240" s="6">
        <f t="shared" si="12"/>
        <v>0.11500233826300001</v>
      </c>
      <c r="O240" s="6">
        <f t="shared" si="13"/>
        <v>8.3096273291925454E-2</v>
      </c>
      <c r="P240" s="21">
        <f t="shared" si="14"/>
        <v>5.1518384832727312E-4</v>
      </c>
      <c r="Q240">
        <f t="shared" si="15"/>
        <v>16.483414478576606</v>
      </c>
    </row>
    <row r="241" spans="1:17" x14ac:dyDescent="0.15">
      <c r="A241" s="3">
        <v>29160</v>
      </c>
      <c r="B241" s="4">
        <v>0.1318</v>
      </c>
      <c r="C241" s="4">
        <v>0.13769999999999999</v>
      </c>
      <c r="D241" s="4">
        <v>0.1143</v>
      </c>
      <c r="E241" s="4">
        <v>0.1094</v>
      </c>
      <c r="I241" s="3">
        <v>29160</v>
      </c>
      <c r="J241" s="4">
        <v>0.1318</v>
      </c>
      <c r="K241" s="4">
        <v>0.13769999999999999</v>
      </c>
      <c r="L241" s="4">
        <v>0.1143</v>
      </c>
      <c r="M241" s="4">
        <v>0.1094</v>
      </c>
      <c r="N241" s="6">
        <f t="shared" si="12"/>
        <v>0.146476162913</v>
      </c>
      <c r="O241" s="6">
        <f t="shared" si="13"/>
        <v>7.7196273291925466E-2</v>
      </c>
      <c r="P241" s="21">
        <f t="shared" si="14"/>
        <v>2.153897578489167E-4</v>
      </c>
      <c r="Q241">
        <f t="shared" si="15"/>
        <v>11.135176716995449</v>
      </c>
    </row>
    <row r="242" spans="1:17" x14ac:dyDescent="0.15">
      <c r="A242" s="3">
        <v>29190</v>
      </c>
      <c r="B242" s="4">
        <v>0.13780000000000001</v>
      </c>
      <c r="C242" s="4">
        <v>0.1318</v>
      </c>
      <c r="D242" s="4">
        <v>0.13769999999999999</v>
      </c>
      <c r="E242" s="4">
        <v>0.1143</v>
      </c>
      <c r="I242" s="3">
        <v>29190</v>
      </c>
      <c r="J242" s="4">
        <v>0.13780000000000001</v>
      </c>
      <c r="K242" s="4">
        <v>0.1318</v>
      </c>
      <c r="L242" s="4">
        <v>0.13769999999999999</v>
      </c>
      <c r="M242" s="4">
        <v>0.1143</v>
      </c>
      <c r="N242" s="6">
        <f t="shared" si="12"/>
        <v>0.12442915405400001</v>
      </c>
      <c r="O242" s="6">
        <f t="shared" si="13"/>
        <v>8.3196273291925471E-2</v>
      </c>
      <c r="P242" s="21">
        <f t="shared" si="14"/>
        <v>1.7877952131166444E-4</v>
      </c>
      <c r="Q242">
        <f t="shared" si="15"/>
        <v>9.7030812380261189</v>
      </c>
    </row>
    <row r="243" spans="1:17" x14ac:dyDescent="0.15">
      <c r="A243" s="3">
        <v>29221</v>
      </c>
      <c r="B243" s="4">
        <v>0.13819999999999999</v>
      </c>
      <c r="C243" s="4">
        <v>0.13780000000000001</v>
      </c>
      <c r="D243" s="4">
        <v>0.1318</v>
      </c>
      <c r="E243" s="4">
        <v>0.13769999999999999</v>
      </c>
      <c r="I243" s="3">
        <v>29221</v>
      </c>
      <c r="J243" s="4">
        <v>0.13819999999999999</v>
      </c>
      <c r="K243" s="4">
        <v>0.13780000000000001</v>
      </c>
      <c r="L243" s="4">
        <v>0.1318</v>
      </c>
      <c r="M243" s="4">
        <v>0.13769999999999999</v>
      </c>
      <c r="N243" s="6">
        <f t="shared" si="12"/>
        <v>0.14038643923800001</v>
      </c>
      <c r="O243" s="6">
        <f t="shared" si="13"/>
        <v>8.3596273291925455E-2</v>
      </c>
      <c r="P243" s="21">
        <f t="shared" si="14"/>
        <v>4.780516541466112E-6</v>
      </c>
      <c r="Q243">
        <f t="shared" si="15"/>
        <v>1.5820833849493638</v>
      </c>
    </row>
    <row r="244" spans="1:17" x14ac:dyDescent="0.15">
      <c r="A244" s="3">
        <v>29252</v>
      </c>
      <c r="B244" s="4">
        <v>0.14130000000000001</v>
      </c>
      <c r="C244" s="4">
        <v>0.13819999999999999</v>
      </c>
      <c r="D244" s="4">
        <v>0.13780000000000001</v>
      </c>
      <c r="E244" s="4">
        <v>0.1318</v>
      </c>
      <c r="I244" s="3">
        <v>29252</v>
      </c>
      <c r="J244" s="4">
        <v>0.14130000000000001</v>
      </c>
      <c r="K244" s="4">
        <v>0.13819999999999999</v>
      </c>
      <c r="L244" s="4">
        <v>0.13780000000000001</v>
      </c>
      <c r="M244" s="4">
        <v>0.1318</v>
      </c>
      <c r="N244" s="6">
        <f t="shared" si="12"/>
        <v>0.13635927190199998</v>
      </c>
      <c r="O244" s="6">
        <f t="shared" si="13"/>
        <v>8.6696273291925474E-2</v>
      </c>
      <c r="P244" s="21">
        <f t="shared" si="14"/>
        <v>2.4410794138366996E-5</v>
      </c>
      <c r="Q244">
        <f t="shared" si="15"/>
        <v>3.49662285774949</v>
      </c>
    </row>
    <row r="245" spans="1:17" x14ac:dyDescent="0.15">
      <c r="A245" s="3">
        <v>29281</v>
      </c>
      <c r="B245" s="4">
        <v>0.17190000000000003</v>
      </c>
      <c r="C245" s="4">
        <v>0.14130000000000001</v>
      </c>
      <c r="D245" s="4">
        <v>0.13819999999999999</v>
      </c>
      <c r="E245" s="4">
        <v>0.13780000000000001</v>
      </c>
      <c r="I245" s="3">
        <v>29281</v>
      </c>
      <c r="J245" s="4">
        <v>0.17190000000000003</v>
      </c>
      <c r="K245" s="4">
        <v>0.14130000000000001</v>
      </c>
      <c r="L245" s="4">
        <v>0.13819999999999999</v>
      </c>
      <c r="M245" s="4">
        <v>0.13780000000000001</v>
      </c>
      <c r="N245" s="6">
        <f t="shared" si="12"/>
        <v>0.14153133952900002</v>
      </c>
      <c r="O245" s="6">
        <f t="shared" si="13"/>
        <v>0.11729627329192549</v>
      </c>
      <c r="P245" s="21">
        <f t="shared" si="14"/>
        <v>9.2225553880287848E-4</v>
      </c>
      <c r="Q245">
        <f t="shared" si="15"/>
        <v>17.66646915125073</v>
      </c>
    </row>
    <row r="246" spans="1:17" x14ac:dyDescent="0.15">
      <c r="A246" s="3">
        <v>29312</v>
      </c>
      <c r="B246" s="4">
        <v>0.17610000000000001</v>
      </c>
      <c r="C246" s="4">
        <v>0.17190000000000003</v>
      </c>
      <c r="D246" s="4">
        <v>0.14130000000000001</v>
      </c>
      <c r="E246" s="4">
        <v>0.13819999999999999</v>
      </c>
      <c r="I246" s="3">
        <v>29312</v>
      </c>
      <c r="J246" s="4">
        <v>0.17610000000000001</v>
      </c>
      <c r="K246" s="4">
        <v>0.17190000000000003</v>
      </c>
      <c r="L246" s="4">
        <v>0.14130000000000001</v>
      </c>
      <c r="M246" s="4">
        <v>0.13819999999999999</v>
      </c>
      <c r="N246" s="6">
        <f t="shared" si="12"/>
        <v>0.18380490885500003</v>
      </c>
      <c r="O246" s="6">
        <f t="shared" si="13"/>
        <v>0.12149627329192547</v>
      </c>
      <c r="P246" s="21">
        <f t="shared" si="14"/>
        <v>5.9365620463857808E-5</v>
      </c>
      <c r="Q246">
        <f t="shared" si="15"/>
        <v>4.3753031544577086</v>
      </c>
    </row>
    <row r="247" spans="1:17" x14ac:dyDescent="0.15">
      <c r="A247" s="3">
        <v>29342</v>
      </c>
      <c r="B247" s="4">
        <v>0.10980000000000001</v>
      </c>
      <c r="C247" s="4">
        <v>0.17610000000000001</v>
      </c>
      <c r="D247" s="4">
        <v>0.17190000000000003</v>
      </c>
      <c r="E247" s="4">
        <v>0.14130000000000001</v>
      </c>
      <c r="I247" s="3">
        <v>29342</v>
      </c>
      <c r="J247" s="4">
        <v>0.10980000000000001</v>
      </c>
      <c r="K247" s="4">
        <v>0.17610000000000001</v>
      </c>
      <c r="L247" s="4">
        <v>0.17190000000000003</v>
      </c>
      <c r="M247" s="4">
        <v>0.14130000000000001</v>
      </c>
      <c r="N247" s="6">
        <f t="shared" si="12"/>
        <v>0.17162627052499999</v>
      </c>
      <c r="O247" s="6">
        <f t="shared" si="13"/>
        <v>5.5196273291925474E-2</v>
      </c>
      <c r="P247" s="21">
        <f t="shared" si="14"/>
        <v>3.8224877270304808E-3</v>
      </c>
      <c r="Q247">
        <f t="shared" si="15"/>
        <v>56.308078802367909</v>
      </c>
    </row>
    <row r="248" spans="1:17" x14ac:dyDescent="0.15">
      <c r="A248" s="3">
        <v>29373</v>
      </c>
      <c r="B248" s="4">
        <v>9.4700000000000006E-2</v>
      </c>
      <c r="C248" s="4">
        <v>0.10980000000000001</v>
      </c>
      <c r="D248" s="4">
        <v>0.17610000000000001</v>
      </c>
      <c r="E248" s="4">
        <v>0.17190000000000003</v>
      </c>
      <c r="I248" s="3">
        <v>29373</v>
      </c>
      <c r="J248" s="4">
        <v>9.4700000000000006E-2</v>
      </c>
      <c r="K248" s="4">
        <v>0.10980000000000001</v>
      </c>
      <c r="L248" s="4">
        <v>0.17610000000000001</v>
      </c>
      <c r="M248" s="4">
        <v>0.17190000000000003</v>
      </c>
      <c r="N248" s="6">
        <f t="shared" si="12"/>
        <v>7.8328246010000019E-2</v>
      </c>
      <c r="O248" s="6">
        <f t="shared" si="13"/>
        <v>4.0096273291925472E-2</v>
      </c>
      <c r="P248" s="21">
        <f t="shared" si="14"/>
        <v>2.6803432870908052E-4</v>
      </c>
      <c r="Q248">
        <f t="shared" si="15"/>
        <v>17.288018996832086</v>
      </c>
    </row>
    <row r="249" spans="1:17" x14ac:dyDescent="0.15">
      <c r="A249" s="3">
        <v>29403</v>
      </c>
      <c r="B249" s="4">
        <v>9.0299999999999991E-2</v>
      </c>
      <c r="C249" s="4">
        <v>9.4700000000000006E-2</v>
      </c>
      <c r="D249" s="4">
        <v>0.10980000000000001</v>
      </c>
      <c r="E249" s="4">
        <v>0.17610000000000001</v>
      </c>
      <c r="I249" s="3">
        <v>29403</v>
      </c>
      <c r="J249" s="4">
        <v>9.0299999999999991E-2</v>
      </c>
      <c r="K249" s="4">
        <v>9.4700000000000006E-2</v>
      </c>
      <c r="L249" s="4">
        <v>0.10980000000000001</v>
      </c>
      <c r="M249" s="4">
        <v>0.17610000000000001</v>
      </c>
      <c r="N249" s="6">
        <f t="shared" si="12"/>
        <v>9.7792491035000026E-2</v>
      </c>
      <c r="O249" s="6">
        <f t="shared" si="13"/>
        <v>3.5696273291925457E-2</v>
      </c>
      <c r="P249" s="21">
        <f t="shared" si="14"/>
        <v>5.6137421909555891E-5</v>
      </c>
      <c r="Q249">
        <f t="shared" si="15"/>
        <v>8.2973322646733507</v>
      </c>
    </row>
    <row r="250" spans="1:17" x14ac:dyDescent="0.15">
      <c r="A250" s="3">
        <v>29434</v>
      </c>
      <c r="B250" s="4">
        <v>9.6099999999999991E-2</v>
      </c>
      <c r="C250" s="4">
        <v>9.0299999999999991E-2</v>
      </c>
      <c r="D250" s="4">
        <v>9.4700000000000006E-2</v>
      </c>
      <c r="E250" s="4">
        <v>0.10980000000000001</v>
      </c>
      <c r="I250" s="3">
        <v>29434</v>
      </c>
      <c r="J250" s="4">
        <v>9.6099999999999991E-2</v>
      </c>
      <c r="K250" s="4">
        <v>9.0299999999999991E-2</v>
      </c>
      <c r="L250" s="4">
        <v>9.4700000000000006E-2</v>
      </c>
      <c r="M250" s="4">
        <v>0.10980000000000001</v>
      </c>
      <c r="N250" s="6">
        <f t="shared" si="12"/>
        <v>9.0208914079000016E-2</v>
      </c>
      <c r="O250" s="6">
        <f t="shared" si="13"/>
        <v>4.1496273291925456E-2</v>
      </c>
      <c r="P250" s="21">
        <f t="shared" si="14"/>
        <v>3.4704893328604122E-5</v>
      </c>
      <c r="Q250">
        <f t="shared" si="15"/>
        <v>6.1301622486992464</v>
      </c>
    </row>
    <row r="251" spans="1:17" x14ac:dyDescent="0.15">
      <c r="A251" s="3">
        <v>29465</v>
      </c>
      <c r="B251" s="4">
        <v>0.10869999999999999</v>
      </c>
      <c r="C251" s="4">
        <v>9.6099999999999991E-2</v>
      </c>
      <c r="D251" s="4">
        <v>9.0299999999999991E-2</v>
      </c>
      <c r="E251" s="4">
        <v>9.4700000000000006E-2</v>
      </c>
      <c r="I251" s="3">
        <v>29465</v>
      </c>
      <c r="J251" s="4">
        <v>0.10869999999999999</v>
      </c>
      <c r="K251" s="4">
        <v>9.6099999999999991E-2</v>
      </c>
      <c r="L251" s="4">
        <v>9.0299999999999991E-2</v>
      </c>
      <c r="M251" s="4">
        <v>9.4700000000000006E-2</v>
      </c>
      <c r="N251" s="6">
        <f t="shared" si="12"/>
        <v>9.8874296789000032E-2</v>
      </c>
      <c r="O251" s="6">
        <f t="shared" si="13"/>
        <v>5.4096273291925456E-2</v>
      </c>
      <c r="P251" s="21">
        <f t="shared" si="14"/>
        <v>9.6544443590654893E-5</v>
      </c>
      <c r="Q251">
        <f t="shared" si="15"/>
        <v>9.0392853827046551</v>
      </c>
    </row>
    <row r="252" spans="1:17" x14ac:dyDescent="0.15">
      <c r="A252" s="3">
        <v>29495</v>
      </c>
      <c r="B252" s="4">
        <v>0.12809999999999999</v>
      </c>
      <c r="C252" s="4">
        <v>0.10869999999999999</v>
      </c>
      <c r="D252" s="4">
        <v>9.6099999999999991E-2</v>
      </c>
      <c r="E252" s="4">
        <v>9.0299999999999991E-2</v>
      </c>
      <c r="I252" s="3">
        <v>29495</v>
      </c>
      <c r="J252" s="4">
        <v>0.12809999999999999</v>
      </c>
      <c r="K252" s="4">
        <v>0.10869999999999999</v>
      </c>
      <c r="L252" s="4">
        <v>9.6099999999999991E-2</v>
      </c>
      <c r="M252" s="4">
        <v>9.0299999999999991E-2</v>
      </c>
      <c r="N252" s="6">
        <f t="shared" si="12"/>
        <v>0.11279178254700002</v>
      </c>
      <c r="O252" s="6">
        <f t="shared" si="13"/>
        <v>7.3496273291925457E-2</v>
      </c>
      <c r="P252" s="21">
        <f t="shared" si="14"/>
        <v>2.3434152158833288E-4</v>
      </c>
      <c r="Q252">
        <f t="shared" si="15"/>
        <v>11.950208784543301</v>
      </c>
    </row>
    <row r="253" spans="1:17" x14ac:dyDescent="0.15">
      <c r="A253" s="3">
        <v>29526</v>
      </c>
      <c r="B253" s="4">
        <v>0.1585</v>
      </c>
      <c r="C253" s="4">
        <v>0.12809999999999999</v>
      </c>
      <c r="D253" s="4">
        <v>0.10869999999999999</v>
      </c>
      <c r="E253" s="4">
        <v>9.6099999999999991E-2</v>
      </c>
      <c r="I253" s="3">
        <v>29526</v>
      </c>
      <c r="J253" s="4">
        <v>0.1585</v>
      </c>
      <c r="K253" s="4">
        <v>0.12809999999999999</v>
      </c>
      <c r="L253" s="4">
        <v>0.10869999999999999</v>
      </c>
      <c r="M253" s="4">
        <v>9.6099999999999991E-2</v>
      </c>
      <c r="N253" s="6">
        <f t="shared" si="12"/>
        <v>0.13396262097300002</v>
      </c>
      <c r="O253" s="6">
        <f t="shared" si="13"/>
        <v>0.10389627329192547</v>
      </c>
      <c r="P253" s="21">
        <f t="shared" si="14"/>
        <v>6.0208296951465865E-4</v>
      </c>
      <c r="Q253">
        <f t="shared" si="15"/>
        <v>15.480996231545729</v>
      </c>
    </row>
    <row r="254" spans="1:17" x14ac:dyDescent="0.15">
      <c r="A254" s="3">
        <v>29556</v>
      </c>
      <c r="B254" s="4">
        <v>0.18899999999999997</v>
      </c>
      <c r="C254" s="4">
        <v>0.1585</v>
      </c>
      <c r="D254" s="4">
        <v>0.12809999999999999</v>
      </c>
      <c r="E254" s="4">
        <v>0.10869999999999999</v>
      </c>
      <c r="I254" s="3">
        <v>29556</v>
      </c>
      <c r="J254" s="4">
        <v>0.18899999999999997</v>
      </c>
      <c r="K254" s="4">
        <v>0.1585</v>
      </c>
      <c r="L254" s="4">
        <v>0.12809999999999999</v>
      </c>
      <c r="M254" s="4">
        <v>0.10869999999999999</v>
      </c>
      <c r="N254" s="6">
        <f t="shared" si="12"/>
        <v>0.16790327239700001</v>
      </c>
      <c r="O254" s="6">
        <f t="shared" si="13"/>
        <v>0.13439627329192544</v>
      </c>
      <c r="P254" s="21">
        <f t="shared" si="14"/>
        <v>4.4507191555518067E-4</v>
      </c>
      <c r="Q254">
        <f t="shared" si="15"/>
        <v>11.162289737037021</v>
      </c>
    </row>
    <row r="255" spans="1:17" x14ac:dyDescent="0.15">
      <c r="A255" s="3">
        <v>29587</v>
      </c>
      <c r="B255" s="4">
        <v>0.19079999999999997</v>
      </c>
      <c r="C255" s="4">
        <v>0.18899999999999997</v>
      </c>
      <c r="D255" s="4">
        <v>0.1585</v>
      </c>
      <c r="E255" s="4">
        <v>0.12809999999999999</v>
      </c>
      <c r="I255" s="3">
        <v>29587</v>
      </c>
      <c r="J255" s="4">
        <v>0.19079999999999997</v>
      </c>
      <c r="K255" s="4">
        <v>0.18899999999999997</v>
      </c>
      <c r="L255" s="4">
        <v>0.1585</v>
      </c>
      <c r="M255" s="4">
        <v>0.12809999999999999</v>
      </c>
      <c r="N255" s="6">
        <f t="shared" si="12"/>
        <v>0.19633262850599995</v>
      </c>
      <c r="O255" s="6">
        <f t="shared" si="13"/>
        <v>0.13619627329192543</v>
      </c>
      <c r="P255" s="21">
        <f t="shared" si="14"/>
        <v>3.0609978185403525E-5</v>
      </c>
      <c r="Q255">
        <f t="shared" si="15"/>
        <v>2.8997004748427551</v>
      </c>
    </row>
    <row r="256" spans="1:17" x14ac:dyDescent="0.15">
      <c r="A256" s="3">
        <v>29618</v>
      </c>
      <c r="B256" s="4">
        <v>0.1593</v>
      </c>
      <c r="C256" s="4">
        <v>0.19079999999999997</v>
      </c>
      <c r="D256" s="4">
        <v>0.18899999999999997</v>
      </c>
      <c r="E256" s="4">
        <v>0.1585</v>
      </c>
      <c r="I256" s="3">
        <v>29618</v>
      </c>
      <c r="J256" s="4">
        <v>0.1593</v>
      </c>
      <c r="K256" s="4">
        <v>0.19079999999999997</v>
      </c>
      <c r="L256" s="4">
        <v>0.18899999999999997</v>
      </c>
      <c r="M256" s="4">
        <v>0.1585</v>
      </c>
      <c r="N256" s="6">
        <f t="shared" si="12"/>
        <v>0.18507121601599999</v>
      </c>
      <c r="O256" s="6">
        <f t="shared" si="13"/>
        <v>0.10469627329192546</v>
      </c>
      <c r="P256" s="21">
        <f t="shared" si="14"/>
        <v>6.6415557494333452E-4</v>
      </c>
      <c r="Q256">
        <f t="shared" si="15"/>
        <v>16.177787831763961</v>
      </c>
    </row>
    <row r="257" spans="1:17" x14ac:dyDescent="0.15">
      <c r="A257" s="3">
        <v>29646</v>
      </c>
      <c r="B257" s="4">
        <v>0.14699999999999999</v>
      </c>
      <c r="C257" s="4">
        <v>0.1593</v>
      </c>
      <c r="D257" s="4">
        <v>0.19079999999999997</v>
      </c>
      <c r="E257" s="4">
        <v>0.18899999999999997</v>
      </c>
      <c r="I257" s="3">
        <v>29646</v>
      </c>
      <c r="J257" s="4">
        <v>0.14699999999999999</v>
      </c>
      <c r="K257" s="4">
        <v>0.1593</v>
      </c>
      <c r="L257" s="4">
        <v>0.19079999999999997</v>
      </c>
      <c r="M257" s="4">
        <v>0.18899999999999997</v>
      </c>
      <c r="N257" s="6">
        <f t="shared" si="12"/>
        <v>0.14338680514100005</v>
      </c>
      <c r="O257" s="6">
        <f t="shared" si="13"/>
        <v>9.2396273291925457E-2</v>
      </c>
      <c r="P257" s="21">
        <f t="shared" si="14"/>
        <v>1.3055177089103602E-5</v>
      </c>
      <c r="Q257">
        <f t="shared" si="15"/>
        <v>2.4579556863945178</v>
      </c>
    </row>
    <row r="258" spans="1:17" x14ac:dyDescent="0.15">
      <c r="A258" s="3">
        <v>29677</v>
      </c>
      <c r="B258" s="4">
        <v>0.15720000000000001</v>
      </c>
      <c r="C258" s="4">
        <v>0.14699999999999999</v>
      </c>
      <c r="D258" s="4">
        <v>0.1593</v>
      </c>
      <c r="E258" s="4">
        <v>0.19079999999999997</v>
      </c>
      <c r="I258" s="3">
        <v>29677</v>
      </c>
      <c r="J258" s="4">
        <v>0.15720000000000001</v>
      </c>
      <c r="K258" s="4">
        <v>0.14699999999999999</v>
      </c>
      <c r="L258" s="4">
        <v>0.1593</v>
      </c>
      <c r="M258" s="4">
        <v>0.19079999999999997</v>
      </c>
      <c r="N258" s="6">
        <f t="shared" si="12"/>
        <v>0.14521526865800002</v>
      </c>
      <c r="O258" s="6">
        <f t="shared" si="13"/>
        <v>0.10259627329192547</v>
      </c>
      <c r="P258" s="21">
        <f t="shared" si="14"/>
        <v>1.4363378533991669E-4</v>
      </c>
      <c r="Q258">
        <f t="shared" si="15"/>
        <v>7.6238748994910832</v>
      </c>
    </row>
    <row r="259" spans="1:17" x14ac:dyDescent="0.15">
      <c r="A259" s="3">
        <v>29707</v>
      </c>
      <c r="B259" s="4">
        <v>0.1852</v>
      </c>
      <c r="C259" s="4">
        <v>0.15720000000000001</v>
      </c>
      <c r="D259" s="4">
        <v>0.14699999999999999</v>
      </c>
      <c r="E259" s="4">
        <v>0.1593</v>
      </c>
      <c r="I259" s="3">
        <v>29707</v>
      </c>
      <c r="J259" s="4">
        <v>0.1852</v>
      </c>
      <c r="K259" s="4">
        <v>0.15720000000000001</v>
      </c>
      <c r="L259" s="4">
        <v>0.14699999999999999</v>
      </c>
      <c r="M259" s="4">
        <v>0.1593</v>
      </c>
      <c r="N259" s="6">
        <f t="shared" si="12"/>
        <v>0.16246403883200003</v>
      </c>
      <c r="O259" s="6">
        <f t="shared" si="13"/>
        <v>0.13059627329192547</v>
      </c>
      <c r="P259" s="21">
        <f t="shared" si="14"/>
        <v>5.1692393023280276E-4</v>
      </c>
      <c r="Q259">
        <f t="shared" si="15"/>
        <v>12.276436915766723</v>
      </c>
    </row>
    <row r="260" spans="1:17" x14ac:dyDescent="0.15">
      <c r="A260" s="3">
        <v>29738</v>
      </c>
      <c r="B260" s="4">
        <v>0.191</v>
      </c>
      <c r="C260" s="4">
        <v>0.1852</v>
      </c>
      <c r="D260" s="4">
        <v>0.15720000000000001</v>
      </c>
      <c r="E260" s="4">
        <v>0.14699999999999999</v>
      </c>
      <c r="I260" s="3">
        <v>29738</v>
      </c>
      <c r="J260" s="4">
        <v>0.191</v>
      </c>
      <c r="K260" s="4">
        <v>0.1852</v>
      </c>
      <c r="L260" s="4">
        <v>0.15720000000000001</v>
      </c>
      <c r="M260" s="4">
        <v>0.14699999999999999</v>
      </c>
      <c r="N260" s="6">
        <f t="shared" si="12"/>
        <v>0.19463828128400004</v>
      </c>
      <c r="O260" s="6">
        <f t="shared" si="13"/>
        <v>0.13639627329192547</v>
      </c>
      <c r="P260" s="21">
        <f t="shared" si="14"/>
        <v>1.3237090701504972E-5</v>
      </c>
      <c r="Q260">
        <f t="shared" si="15"/>
        <v>1.9048593109947849</v>
      </c>
    </row>
    <row r="261" spans="1:17" x14ac:dyDescent="0.15">
      <c r="A261" s="3">
        <v>29768</v>
      </c>
      <c r="B261" s="4">
        <v>0.19039999999999999</v>
      </c>
      <c r="C261" s="4">
        <v>0.191</v>
      </c>
      <c r="D261" s="4">
        <v>0.1852</v>
      </c>
      <c r="E261" s="4">
        <v>0.15720000000000001</v>
      </c>
      <c r="I261" s="3">
        <v>29768</v>
      </c>
      <c r="J261" s="4">
        <v>0.19039999999999999</v>
      </c>
      <c r="K261" s="4">
        <v>0.191</v>
      </c>
      <c r="L261" s="4">
        <v>0.1852</v>
      </c>
      <c r="M261" s="4">
        <v>0.15720000000000001</v>
      </c>
      <c r="N261" s="6">
        <f t="shared" si="12"/>
        <v>0.187479027582</v>
      </c>
      <c r="O261" s="6">
        <f t="shared" si="13"/>
        <v>0.13579627329192545</v>
      </c>
      <c r="P261" s="21">
        <f t="shared" si="14"/>
        <v>8.5320798667167055E-6</v>
      </c>
      <c r="Q261">
        <f t="shared" si="15"/>
        <v>1.5341241691176417</v>
      </c>
    </row>
    <row r="262" spans="1:17" x14ac:dyDescent="0.15">
      <c r="A262" s="3">
        <v>29799</v>
      </c>
      <c r="B262" s="4">
        <v>0.1782</v>
      </c>
      <c r="C262" s="4">
        <v>0.19039999999999999</v>
      </c>
      <c r="D262" s="4">
        <v>0.191</v>
      </c>
      <c r="E262" s="4">
        <v>0.1852</v>
      </c>
      <c r="I262" s="3">
        <v>29799</v>
      </c>
      <c r="J262" s="4">
        <v>0.1782</v>
      </c>
      <c r="K262" s="4">
        <v>0.19039999999999999</v>
      </c>
      <c r="L262" s="4">
        <v>0.191</v>
      </c>
      <c r="M262" s="4">
        <v>0.1852</v>
      </c>
      <c r="N262" s="6">
        <f t="shared" si="12"/>
        <v>0.18749152971999997</v>
      </c>
      <c r="O262" s="6">
        <f t="shared" si="13"/>
        <v>0.12359627329192546</v>
      </c>
      <c r="P262" s="21">
        <f t="shared" si="14"/>
        <v>8.6332524537642704E-5</v>
      </c>
      <c r="Q262">
        <f t="shared" si="15"/>
        <v>5.2141019753086253</v>
      </c>
    </row>
    <row r="263" spans="1:17" x14ac:dyDescent="0.15">
      <c r="A263" s="3">
        <v>29830</v>
      </c>
      <c r="B263" s="4">
        <v>0.15869999999999998</v>
      </c>
      <c r="C263" s="4">
        <v>0.1782</v>
      </c>
      <c r="D263" s="4">
        <v>0.19039999999999999</v>
      </c>
      <c r="E263" s="4">
        <v>0.191</v>
      </c>
      <c r="I263" s="3">
        <v>29830</v>
      </c>
      <c r="J263" s="4">
        <v>0.15869999999999998</v>
      </c>
      <c r="K263" s="4">
        <v>0.1782</v>
      </c>
      <c r="L263" s="4">
        <v>0.19039999999999999</v>
      </c>
      <c r="M263" s="4">
        <v>0.191</v>
      </c>
      <c r="N263" s="6">
        <f t="shared" ref="N263:N326" si="16" xml:space="preserve"> 0.00063539 + 1.44140757*K263 - 0.611849*L263 + 0.15807396*M263</f>
        <v>0.17119029573400002</v>
      </c>
      <c r="O263" s="6">
        <f t="shared" ref="O263:O326" si="17">ABS(J263-$U$32)</f>
        <v>0.10409627329192545</v>
      </c>
      <c r="P263" s="21">
        <f t="shared" ref="P263:P326" si="18">(N263-J263)^2</f>
        <v>1.5600748752277961E-4</v>
      </c>
      <c r="Q263">
        <f t="shared" ref="Q263:Q326" si="19">ABS(N263-J263)/J263*100</f>
        <v>7.8703816849401642</v>
      </c>
    </row>
    <row r="264" spans="1:17" x14ac:dyDescent="0.15">
      <c r="A264" s="3">
        <v>29860</v>
      </c>
      <c r="B264" s="4">
        <v>0.15079999999999999</v>
      </c>
      <c r="C264" s="4">
        <v>0.15869999999999998</v>
      </c>
      <c r="D264" s="4">
        <v>0.1782</v>
      </c>
      <c r="E264" s="4">
        <v>0.19039999999999999</v>
      </c>
      <c r="I264" s="3">
        <v>29860</v>
      </c>
      <c r="J264" s="4">
        <v>0.15079999999999999</v>
      </c>
      <c r="K264" s="4">
        <v>0.15869999999999998</v>
      </c>
      <c r="L264" s="4">
        <v>0.1782</v>
      </c>
      <c r="M264" s="4">
        <v>0.19039999999999999</v>
      </c>
      <c r="N264" s="6">
        <f t="shared" si="16"/>
        <v>0.15045256154299999</v>
      </c>
      <c r="O264" s="6">
        <f t="shared" si="17"/>
        <v>9.6196273291925455E-2</v>
      </c>
      <c r="P264" s="21">
        <f t="shared" si="18"/>
        <v>1.2071348140254007E-7</v>
      </c>
      <c r="Q264">
        <f t="shared" si="19"/>
        <v>0.23039685477453509</v>
      </c>
    </row>
    <row r="265" spans="1:17" x14ac:dyDescent="0.15">
      <c r="A265" s="3">
        <v>29891</v>
      </c>
      <c r="B265" s="4">
        <v>0.1331</v>
      </c>
      <c r="C265" s="4">
        <v>0.15079999999999999</v>
      </c>
      <c r="D265" s="4">
        <v>0.15869999999999998</v>
      </c>
      <c r="E265" s="4">
        <v>0.1782</v>
      </c>
      <c r="I265" s="3">
        <v>29891</v>
      </c>
      <c r="J265" s="4">
        <v>0.1331</v>
      </c>
      <c r="K265" s="4">
        <v>0.15079999999999999</v>
      </c>
      <c r="L265" s="4">
        <v>0.15869999999999998</v>
      </c>
      <c r="M265" s="4">
        <v>0.1782</v>
      </c>
      <c r="N265" s="6">
        <f t="shared" si="16"/>
        <v>0.14906799492799999</v>
      </c>
      <c r="O265" s="6">
        <f t="shared" si="17"/>
        <v>7.8496273291925461E-2</v>
      </c>
      <c r="P265" s="21">
        <f t="shared" si="18"/>
        <v>2.549768620206336E-4</v>
      </c>
      <c r="Q265">
        <f t="shared" si="19"/>
        <v>11.996990930127721</v>
      </c>
    </row>
    <row r="266" spans="1:17" x14ac:dyDescent="0.15">
      <c r="A266" s="3">
        <v>29921</v>
      </c>
      <c r="B266" s="4">
        <v>0.12369999999999999</v>
      </c>
      <c r="C266" s="4">
        <v>0.1331</v>
      </c>
      <c r="D266" s="4">
        <v>0.15079999999999999</v>
      </c>
      <c r="E266" s="4">
        <v>0.15869999999999998</v>
      </c>
      <c r="I266" s="3">
        <v>29921</v>
      </c>
      <c r="J266" s="4">
        <v>0.12369999999999999</v>
      </c>
      <c r="K266" s="4">
        <v>0.1331</v>
      </c>
      <c r="L266" s="4">
        <v>0.15079999999999999</v>
      </c>
      <c r="M266" s="4">
        <v>0.15869999999999998</v>
      </c>
      <c r="N266" s="6">
        <f t="shared" si="16"/>
        <v>0.12530624581900002</v>
      </c>
      <c r="O266" s="6">
        <f t="shared" si="17"/>
        <v>6.9096273291925456E-2</v>
      </c>
      <c r="P266" s="21">
        <f t="shared" si="18"/>
        <v>2.5800256310550667E-6</v>
      </c>
      <c r="Q266">
        <f t="shared" si="19"/>
        <v>1.2985010662894316</v>
      </c>
    </row>
    <row r="267" spans="1:17" x14ac:dyDescent="0.15">
      <c r="A267" s="3">
        <v>29952</v>
      </c>
      <c r="B267" s="4">
        <v>0.13220000000000001</v>
      </c>
      <c r="C267" s="4">
        <v>0.12369999999999999</v>
      </c>
      <c r="D267" s="4">
        <v>0.1331</v>
      </c>
      <c r="E267" s="4">
        <v>0.15079999999999999</v>
      </c>
      <c r="I267" s="3">
        <v>29952</v>
      </c>
      <c r="J267" s="4">
        <v>0.13220000000000001</v>
      </c>
      <c r="K267" s="4">
        <v>0.12369999999999999</v>
      </c>
      <c r="L267" s="4">
        <v>0.1331</v>
      </c>
      <c r="M267" s="4">
        <v>0.15079999999999999</v>
      </c>
      <c r="N267" s="6">
        <f t="shared" si="16"/>
        <v>0.12133795767700001</v>
      </c>
      <c r="O267" s="6">
        <f t="shared" si="17"/>
        <v>7.7596273291925477E-2</v>
      </c>
      <c r="P267" s="21">
        <f t="shared" si="18"/>
        <v>1.1798396342664333E-4</v>
      </c>
      <c r="Q267">
        <f t="shared" si="19"/>
        <v>8.216370894856281</v>
      </c>
    </row>
    <row r="268" spans="1:17" x14ac:dyDescent="0.15">
      <c r="A268" s="3">
        <v>29983</v>
      </c>
      <c r="B268" s="4">
        <v>0.14779999999999999</v>
      </c>
      <c r="C268" s="4">
        <v>0.13220000000000001</v>
      </c>
      <c r="D268" s="4">
        <v>0.12369999999999999</v>
      </c>
      <c r="E268" s="4">
        <v>0.1331</v>
      </c>
      <c r="I268" s="3">
        <v>29983</v>
      </c>
      <c r="J268" s="4">
        <v>0.14779999999999999</v>
      </c>
      <c r="K268" s="4">
        <v>0.13220000000000001</v>
      </c>
      <c r="L268" s="4">
        <v>0.12369999999999999</v>
      </c>
      <c r="M268" s="4">
        <v>0.1331</v>
      </c>
      <c r="N268" s="6">
        <f t="shared" si="16"/>
        <v>0.13654339353000003</v>
      </c>
      <c r="O268" s="6">
        <f t="shared" si="17"/>
        <v>9.3196273291925452E-2</v>
      </c>
      <c r="P268" s="21">
        <f t="shared" si="18"/>
        <v>1.2671118922044492E-4</v>
      </c>
      <c r="Q268">
        <f t="shared" si="19"/>
        <v>7.6161072192151273</v>
      </c>
    </row>
    <row r="269" spans="1:17" x14ac:dyDescent="0.15">
      <c r="A269" s="3">
        <v>30011</v>
      </c>
      <c r="B269" s="4">
        <v>0.14679999999999999</v>
      </c>
      <c r="C269" s="4">
        <v>0.14779999999999999</v>
      </c>
      <c r="D269" s="4">
        <v>0.13220000000000001</v>
      </c>
      <c r="E269" s="4">
        <v>0.12369999999999999</v>
      </c>
      <c r="I269" s="3">
        <v>30011</v>
      </c>
      <c r="J269" s="4">
        <v>0.14679999999999999</v>
      </c>
      <c r="K269" s="4">
        <v>0.14779999999999999</v>
      </c>
      <c r="L269" s="4">
        <v>0.13220000000000001</v>
      </c>
      <c r="M269" s="4">
        <v>0.12369999999999999</v>
      </c>
      <c r="N269" s="6">
        <f t="shared" si="16"/>
        <v>0.15234273989800001</v>
      </c>
      <c r="O269" s="6">
        <f t="shared" si="17"/>
        <v>9.2196273291925451E-2</v>
      </c>
      <c r="P269" s="21">
        <f t="shared" si="18"/>
        <v>3.0721965576881342E-5</v>
      </c>
      <c r="Q269">
        <f t="shared" si="19"/>
        <v>3.7757083773842148</v>
      </c>
    </row>
    <row r="270" spans="1:17" x14ac:dyDescent="0.15">
      <c r="A270" s="3">
        <v>30042</v>
      </c>
      <c r="B270" s="4">
        <v>0.14940000000000001</v>
      </c>
      <c r="C270" s="4">
        <v>0.14679999999999999</v>
      </c>
      <c r="D270" s="4">
        <v>0.14779999999999999</v>
      </c>
      <c r="E270" s="4">
        <v>0.13220000000000001</v>
      </c>
      <c r="I270" s="3">
        <v>30042</v>
      </c>
      <c r="J270" s="4">
        <v>0.14940000000000001</v>
      </c>
      <c r="K270" s="4">
        <v>0.14679999999999999</v>
      </c>
      <c r="L270" s="4">
        <v>0.14779999999999999</v>
      </c>
      <c r="M270" s="4">
        <v>0.13220000000000001</v>
      </c>
      <c r="N270" s="6">
        <f t="shared" si="16"/>
        <v>0.142700116588</v>
      </c>
      <c r="O270" s="6">
        <f t="shared" si="17"/>
        <v>9.479627329192547E-2</v>
      </c>
      <c r="P270" s="21">
        <f t="shared" si="18"/>
        <v>4.4888437734392856E-5</v>
      </c>
      <c r="Q270">
        <f t="shared" si="19"/>
        <v>4.4845270495314633</v>
      </c>
    </row>
    <row r="271" spans="1:17" x14ac:dyDescent="0.15">
      <c r="A271" s="3">
        <v>30072</v>
      </c>
      <c r="B271" s="4">
        <v>0.14449999999999999</v>
      </c>
      <c r="C271" s="4">
        <v>0.14940000000000001</v>
      </c>
      <c r="D271" s="4">
        <v>0.14679999999999999</v>
      </c>
      <c r="E271" s="4">
        <v>0.14779999999999999</v>
      </c>
      <c r="I271" s="3">
        <v>30072</v>
      </c>
      <c r="J271" s="4">
        <v>0.14449999999999999</v>
      </c>
      <c r="K271" s="4">
        <v>0.14940000000000001</v>
      </c>
      <c r="L271" s="4">
        <v>0.14679999999999999</v>
      </c>
      <c r="M271" s="4">
        <v>0.14779999999999999</v>
      </c>
      <c r="N271" s="6">
        <f t="shared" si="16"/>
        <v>0.14952557904600003</v>
      </c>
      <c r="O271" s="6">
        <f t="shared" si="17"/>
        <v>8.9896273291925455E-2</v>
      </c>
      <c r="P271" s="21">
        <f t="shared" si="18"/>
        <v>2.5256444747594665E-5</v>
      </c>
      <c r="Q271">
        <f t="shared" si="19"/>
        <v>3.4779093743944909</v>
      </c>
    </row>
    <row r="272" spans="1:17" x14ac:dyDescent="0.15">
      <c r="A272" s="3">
        <v>30103</v>
      </c>
      <c r="B272" s="4">
        <v>0.14150000000000001</v>
      </c>
      <c r="C272" s="4">
        <v>0.14449999999999999</v>
      </c>
      <c r="D272" s="4">
        <v>0.14940000000000001</v>
      </c>
      <c r="E272" s="4">
        <v>0.14679999999999999</v>
      </c>
      <c r="I272" s="3">
        <v>30103</v>
      </c>
      <c r="J272" s="4">
        <v>0.14150000000000001</v>
      </c>
      <c r="K272" s="4">
        <v>0.14449999999999999</v>
      </c>
      <c r="L272" s="4">
        <v>0.14940000000000001</v>
      </c>
      <c r="M272" s="4">
        <v>0.14679999999999999</v>
      </c>
      <c r="N272" s="6">
        <f t="shared" si="16"/>
        <v>0.14071380059299998</v>
      </c>
      <c r="O272" s="6">
        <f t="shared" si="17"/>
        <v>8.689627329192548E-2</v>
      </c>
      <c r="P272" s="21">
        <f t="shared" si="18"/>
        <v>6.181095075672023E-7</v>
      </c>
      <c r="Q272">
        <f t="shared" si="19"/>
        <v>0.5556179554770545</v>
      </c>
    </row>
    <row r="273" spans="1:17" x14ac:dyDescent="0.15">
      <c r="A273" s="3">
        <v>30133</v>
      </c>
      <c r="B273" s="4">
        <v>0.12590000000000001</v>
      </c>
      <c r="C273" s="4">
        <v>0.14150000000000001</v>
      </c>
      <c r="D273" s="4">
        <v>0.14449999999999999</v>
      </c>
      <c r="E273" s="4">
        <v>0.14940000000000001</v>
      </c>
      <c r="I273" s="3">
        <v>30133</v>
      </c>
      <c r="J273" s="4">
        <v>0.12590000000000001</v>
      </c>
      <c r="K273" s="4">
        <v>0.14150000000000001</v>
      </c>
      <c r="L273" s="4">
        <v>0.14449999999999999</v>
      </c>
      <c r="M273" s="4">
        <v>0.14940000000000001</v>
      </c>
      <c r="N273" s="6">
        <f t="shared" si="16"/>
        <v>0.13979863027900002</v>
      </c>
      <c r="O273" s="6">
        <f t="shared" si="17"/>
        <v>7.1296273291925477E-2</v>
      </c>
      <c r="P273" s="21">
        <f t="shared" si="18"/>
        <v>1.9317192363233596E-4</v>
      </c>
      <c r="Q273">
        <f t="shared" si="19"/>
        <v>11.039420396346316</v>
      </c>
    </row>
    <row r="274" spans="1:17" x14ac:dyDescent="0.15">
      <c r="A274" s="3">
        <v>30164</v>
      </c>
      <c r="B274" s="4">
        <v>0.1012</v>
      </c>
      <c r="C274" s="4">
        <v>0.12590000000000001</v>
      </c>
      <c r="D274" s="4">
        <v>0.14150000000000001</v>
      </c>
      <c r="E274" s="4">
        <v>0.14449999999999999</v>
      </c>
      <c r="I274" s="3">
        <v>30164</v>
      </c>
      <c r="J274" s="4">
        <v>0.1012</v>
      </c>
      <c r="K274" s="4">
        <v>0.12590000000000001</v>
      </c>
      <c r="L274" s="4">
        <v>0.14150000000000001</v>
      </c>
      <c r="M274" s="4">
        <v>0.14449999999999999</v>
      </c>
      <c r="N274" s="6">
        <f t="shared" si="16"/>
        <v>0.11837365678300003</v>
      </c>
      <c r="O274" s="6">
        <f t="shared" si="17"/>
        <v>4.6596273291925464E-2</v>
      </c>
      <c r="P274" s="21">
        <f t="shared" si="18"/>
        <v>2.9493448730028314E-4</v>
      </c>
      <c r="Q274">
        <f t="shared" si="19"/>
        <v>16.97001658399213</v>
      </c>
    </row>
    <row r="275" spans="1:17" x14ac:dyDescent="0.15">
      <c r="A275" s="3">
        <v>30195</v>
      </c>
      <c r="B275" s="4">
        <v>0.10310000000000001</v>
      </c>
      <c r="C275" s="4">
        <v>0.1012</v>
      </c>
      <c r="D275" s="4">
        <v>0.12590000000000001</v>
      </c>
      <c r="E275" s="4">
        <v>0.14150000000000001</v>
      </c>
      <c r="I275" s="3">
        <v>30195</v>
      </c>
      <c r="J275" s="4">
        <v>0.10310000000000001</v>
      </c>
      <c r="K275" s="4">
        <v>0.1012</v>
      </c>
      <c r="L275" s="4">
        <v>0.12590000000000001</v>
      </c>
      <c r="M275" s="4">
        <v>0.14150000000000001</v>
      </c>
      <c r="N275" s="6">
        <f t="shared" si="16"/>
        <v>9.1841512324000008E-2</v>
      </c>
      <c r="O275" s="6">
        <f t="shared" si="17"/>
        <v>4.8496273291925476E-2</v>
      </c>
      <c r="P275" s="21">
        <f t="shared" si="18"/>
        <v>1.2675354475064396E-4</v>
      </c>
      <c r="Q275">
        <f t="shared" si="19"/>
        <v>10.919968647914647</v>
      </c>
    </row>
    <row r="276" spans="1:17" x14ac:dyDescent="0.15">
      <c r="A276" s="3">
        <v>30225</v>
      </c>
      <c r="B276" s="4">
        <v>9.7100000000000006E-2</v>
      </c>
      <c r="C276" s="4">
        <v>0.10310000000000001</v>
      </c>
      <c r="D276" s="4">
        <v>0.1012</v>
      </c>
      <c r="E276" s="4">
        <v>0.12590000000000001</v>
      </c>
      <c r="I276" s="3">
        <v>30225</v>
      </c>
      <c r="J276" s="4">
        <v>9.7100000000000006E-2</v>
      </c>
      <c r="K276" s="4">
        <v>0.10310000000000001</v>
      </c>
      <c r="L276" s="4">
        <v>0.1012</v>
      </c>
      <c r="M276" s="4">
        <v>0.12590000000000001</v>
      </c>
      <c r="N276" s="6">
        <f t="shared" si="16"/>
        <v>0.10722690323100001</v>
      </c>
      <c r="O276" s="6">
        <f t="shared" si="17"/>
        <v>4.2496273291925471E-2</v>
      </c>
      <c r="P276" s="21">
        <f t="shared" si="18"/>
        <v>1.0255416905003831E-4</v>
      </c>
      <c r="Q276">
        <f t="shared" si="19"/>
        <v>10.429354511843464</v>
      </c>
    </row>
    <row r="277" spans="1:17" x14ac:dyDescent="0.15">
      <c r="A277" s="3">
        <v>30256</v>
      </c>
      <c r="B277" s="4">
        <v>9.1999999999999998E-2</v>
      </c>
      <c r="C277" s="4">
        <v>9.7100000000000006E-2</v>
      </c>
      <c r="D277" s="4">
        <v>0.10310000000000001</v>
      </c>
      <c r="E277" s="4">
        <v>0.1012</v>
      </c>
      <c r="I277" s="3">
        <v>30256</v>
      </c>
      <c r="J277" s="4">
        <v>9.1999999999999998E-2</v>
      </c>
      <c r="K277" s="4">
        <v>9.7100000000000006E-2</v>
      </c>
      <c r="L277" s="4">
        <v>0.10310000000000001</v>
      </c>
      <c r="M277" s="4">
        <v>0.1012</v>
      </c>
      <c r="N277" s="6">
        <f t="shared" si="16"/>
        <v>9.3511517899000002E-2</v>
      </c>
      <c r="O277" s="6">
        <f t="shared" si="17"/>
        <v>3.7396273291925464E-2</v>
      </c>
      <c r="P277" s="21">
        <f t="shared" si="18"/>
        <v>2.2846863589973844E-6</v>
      </c>
      <c r="Q277">
        <f t="shared" si="19"/>
        <v>1.6429542380434818</v>
      </c>
    </row>
    <row r="278" spans="1:17" x14ac:dyDescent="0.15">
      <c r="A278" s="3">
        <v>30286</v>
      </c>
      <c r="B278" s="4">
        <v>8.9499999999999996E-2</v>
      </c>
      <c r="C278" s="4">
        <v>9.1999999999999998E-2</v>
      </c>
      <c r="D278" s="4">
        <v>9.7100000000000006E-2</v>
      </c>
      <c r="E278" s="4">
        <v>0.10310000000000001</v>
      </c>
      <c r="I278" s="3">
        <v>30286</v>
      </c>
      <c r="J278" s="4">
        <v>8.9499999999999996E-2</v>
      </c>
      <c r="K278" s="4">
        <v>9.1999999999999998E-2</v>
      </c>
      <c r="L278" s="4">
        <v>9.7100000000000006E-2</v>
      </c>
      <c r="M278" s="4">
        <v>0.10310000000000001</v>
      </c>
      <c r="N278" s="6">
        <f t="shared" si="16"/>
        <v>9.0131773816000016E-2</v>
      </c>
      <c r="O278" s="6">
        <f t="shared" si="17"/>
        <v>3.4896273291925461E-2</v>
      </c>
      <c r="P278" s="21">
        <f t="shared" si="18"/>
        <v>3.9913815458322675E-7</v>
      </c>
      <c r="Q278">
        <f t="shared" si="19"/>
        <v>0.70589253184359746</v>
      </c>
    </row>
    <row r="279" spans="1:17" x14ac:dyDescent="0.15">
      <c r="A279" s="3">
        <v>30317</v>
      </c>
      <c r="B279" s="4">
        <v>8.6800000000000002E-2</v>
      </c>
      <c r="C279" s="4">
        <v>8.9499999999999996E-2</v>
      </c>
      <c r="D279" s="4">
        <v>9.1999999999999998E-2</v>
      </c>
      <c r="E279" s="4">
        <v>9.7100000000000006E-2</v>
      </c>
      <c r="I279" s="3">
        <v>30317</v>
      </c>
      <c r="J279" s="4">
        <v>8.6800000000000002E-2</v>
      </c>
      <c r="K279" s="4">
        <v>8.9499999999999996E-2</v>
      </c>
      <c r="L279" s="4">
        <v>9.1999999999999998E-2</v>
      </c>
      <c r="M279" s="4">
        <v>9.7100000000000006E-2</v>
      </c>
      <c r="N279" s="6">
        <f t="shared" si="16"/>
        <v>8.8700241030999993E-2</v>
      </c>
      <c r="O279" s="6">
        <f t="shared" si="17"/>
        <v>3.2196273291925467E-2</v>
      </c>
      <c r="P279" s="21">
        <f t="shared" si="18"/>
        <v>3.6109159758959093E-6</v>
      </c>
      <c r="Q279">
        <f t="shared" si="19"/>
        <v>2.1892177776497594</v>
      </c>
    </row>
    <row r="280" spans="1:17" x14ac:dyDescent="0.15">
      <c r="A280" s="3">
        <v>30348</v>
      </c>
      <c r="B280" s="4">
        <v>8.5099999999999995E-2</v>
      </c>
      <c r="C280" s="4">
        <v>8.6800000000000002E-2</v>
      </c>
      <c r="D280" s="4">
        <v>8.9499999999999996E-2</v>
      </c>
      <c r="E280" s="4">
        <v>9.1999999999999998E-2</v>
      </c>
      <c r="I280" s="3">
        <v>30348</v>
      </c>
      <c r="J280" s="4">
        <v>8.5099999999999995E-2</v>
      </c>
      <c r="K280" s="4">
        <v>8.6800000000000002E-2</v>
      </c>
      <c r="L280" s="4">
        <v>8.9499999999999996E-2</v>
      </c>
      <c r="M280" s="4">
        <v>9.1999999999999998E-2</v>
      </c>
      <c r="N280" s="6">
        <f t="shared" si="16"/>
        <v>8.5531885896000026E-2</v>
      </c>
      <c r="O280" s="6">
        <f t="shared" si="17"/>
        <v>3.049627329192546E-2</v>
      </c>
      <c r="P280" s="21">
        <f t="shared" si="18"/>
        <v>1.8652542716374963E-7</v>
      </c>
      <c r="Q280">
        <f t="shared" si="19"/>
        <v>0.50750399059933138</v>
      </c>
    </row>
    <row r="281" spans="1:17" x14ac:dyDescent="0.15">
      <c r="A281" s="3">
        <v>30376</v>
      </c>
      <c r="B281" s="4">
        <v>8.77E-2</v>
      </c>
      <c r="C281" s="4">
        <v>8.5099999999999995E-2</v>
      </c>
      <c r="D281" s="4">
        <v>8.6800000000000002E-2</v>
      </c>
      <c r="E281" s="4">
        <v>8.9499999999999996E-2</v>
      </c>
      <c r="I281" s="3">
        <v>30376</v>
      </c>
      <c r="J281" s="4">
        <v>8.77E-2</v>
      </c>
      <c r="K281" s="4">
        <v>8.5099999999999995E-2</v>
      </c>
      <c r="L281" s="4">
        <v>8.6800000000000002E-2</v>
      </c>
      <c r="M281" s="4">
        <v>8.9499999999999996E-2</v>
      </c>
      <c r="N281" s="6">
        <f t="shared" si="16"/>
        <v>8.4338300426999996E-2</v>
      </c>
      <c r="O281" s="6">
        <f t="shared" si="17"/>
        <v>3.3096273291925465E-2</v>
      </c>
      <c r="P281" s="21">
        <f t="shared" si="18"/>
        <v>1.1301024019108411E-5</v>
      </c>
      <c r="Q281">
        <f t="shared" si="19"/>
        <v>3.8331808129988647</v>
      </c>
    </row>
    <row r="282" spans="1:17" x14ac:dyDescent="0.15">
      <c r="A282" s="3">
        <v>30407</v>
      </c>
      <c r="B282" s="4">
        <v>8.8000000000000009E-2</v>
      </c>
      <c r="C282" s="4">
        <v>8.77E-2</v>
      </c>
      <c r="D282" s="4">
        <v>8.5099999999999995E-2</v>
      </c>
      <c r="E282" s="4">
        <v>8.6800000000000002E-2</v>
      </c>
      <c r="I282" s="3">
        <v>30407</v>
      </c>
      <c r="J282" s="4">
        <v>8.8000000000000009E-2</v>
      </c>
      <c r="K282" s="4">
        <v>8.77E-2</v>
      </c>
      <c r="L282" s="4">
        <v>8.5099999999999995E-2</v>
      </c>
      <c r="M282" s="4">
        <v>8.6800000000000002E-2</v>
      </c>
      <c r="N282" s="6">
        <f t="shared" si="16"/>
        <v>8.8699303717000008E-2</v>
      </c>
      <c r="O282" s="6">
        <f t="shared" si="17"/>
        <v>3.3396273291925474E-2</v>
      </c>
      <c r="P282" s="21">
        <f t="shared" si="18"/>
        <v>4.8902568861001524E-7</v>
      </c>
      <c r="Q282">
        <f t="shared" si="19"/>
        <v>0.79466331477272645</v>
      </c>
    </row>
    <row r="283" spans="1:17" x14ac:dyDescent="0.15">
      <c r="A283" s="3">
        <v>30437</v>
      </c>
      <c r="B283" s="4">
        <v>8.6300000000000002E-2</v>
      </c>
      <c r="C283" s="4">
        <v>8.8000000000000009E-2</v>
      </c>
      <c r="D283" s="4">
        <v>8.77E-2</v>
      </c>
      <c r="E283" s="4">
        <v>8.5099999999999995E-2</v>
      </c>
      <c r="I283" s="3">
        <v>30437</v>
      </c>
      <c r="J283" s="4">
        <v>8.6300000000000002E-2</v>
      </c>
      <c r="K283" s="4">
        <v>8.8000000000000009E-2</v>
      </c>
      <c r="L283" s="4">
        <v>8.77E-2</v>
      </c>
      <c r="M283" s="4">
        <v>8.5099999999999995E-2</v>
      </c>
      <c r="N283" s="6">
        <f t="shared" si="16"/>
        <v>8.7272192856000033E-2</v>
      </c>
      <c r="O283" s="6">
        <f t="shared" si="17"/>
        <v>3.1696273291925467E-2</v>
      </c>
      <c r="P283" s="21">
        <f t="shared" si="18"/>
        <v>9.4515894925749794E-7</v>
      </c>
      <c r="Q283">
        <f t="shared" si="19"/>
        <v>1.1265270637312068</v>
      </c>
    </row>
    <row r="284" spans="1:17" x14ac:dyDescent="0.15">
      <c r="A284" s="3">
        <v>30468</v>
      </c>
      <c r="B284" s="4">
        <v>8.9800000000000005E-2</v>
      </c>
      <c r="C284" s="4">
        <v>8.6300000000000002E-2</v>
      </c>
      <c r="D284" s="4">
        <v>8.8000000000000009E-2</v>
      </c>
      <c r="E284" s="4">
        <v>8.77E-2</v>
      </c>
      <c r="I284" s="3">
        <v>30468</v>
      </c>
      <c r="J284" s="4">
        <v>8.9800000000000005E-2</v>
      </c>
      <c r="K284" s="4">
        <v>8.6300000000000002E-2</v>
      </c>
      <c r="L284" s="4">
        <v>8.8000000000000009E-2</v>
      </c>
      <c r="M284" s="4">
        <v>8.77E-2</v>
      </c>
      <c r="N284" s="6">
        <f t="shared" si="16"/>
        <v>8.5049237583000023E-2</v>
      </c>
      <c r="O284" s="6">
        <f t="shared" si="17"/>
        <v>3.519627329192547E-2</v>
      </c>
      <c r="P284" s="21">
        <f t="shared" si="18"/>
        <v>2.2569743542779508E-5</v>
      </c>
      <c r="Q284">
        <f t="shared" si="19"/>
        <v>5.2903813106904032</v>
      </c>
    </row>
    <row r="285" spans="1:17" x14ac:dyDescent="0.15">
      <c r="A285" s="3">
        <v>30498</v>
      </c>
      <c r="B285" s="4">
        <v>9.3699999999999992E-2</v>
      </c>
      <c r="C285" s="4">
        <v>8.9800000000000005E-2</v>
      </c>
      <c r="D285" s="4">
        <v>8.6300000000000002E-2</v>
      </c>
      <c r="E285" s="4">
        <v>8.8000000000000009E-2</v>
      </c>
      <c r="I285" s="3">
        <v>30498</v>
      </c>
      <c r="J285" s="4">
        <v>9.3699999999999992E-2</v>
      </c>
      <c r="K285" s="4">
        <v>8.9800000000000005E-2</v>
      </c>
      <c r="L285" s="4">
        <v>8.6300000000000002E-2</v>
      </c>
      <c r="M285" s="4">
        <v>8.8000000000000009E-2</v>
      </c>
      <c r="N285" s="6">
        <f t="shared" si="16"/>
        <v>9.1181729566000014E-2</v>
      </c>
      <c r="O285" s="6">
        <f t="shared" si="17"/>
        <v>3.9096273291925457E-2</v>
      </c>
      <c r="P285" s="21">
        <f t="shared" si="18"/>
        <v>6.3416859787584371E-6</v>
      </c>
      <c r="Q285">
        <f t="shared" si="19"/>
        <v>2.6875885101387174</v>
      </c>
    </row>
    <row r="286" spans="1:17" x14ac:dyDescent="0.15">
      <c r="A286" s="3">
        <v>30529</v>
      </c>
      <c r="B286" s="4">
        <v>9.5600000000000004E-2</v>
      </c>
      <c r="C286" s="4">
        <v>9.3699999999999992E-2</v>
      </c>
      <c r="D286" s="4">
        <v>8.9800000000000005E-2</v>
      </c>
      <c r="E286" s="4">
        <v>8.6300000000000002E-2</v>
      </c>
      <c r="I286" s="3">
        <v>30529</v>
      </c>
      <c r="J286" s="4">
        <v>9.5600000000000004E-2</v>
      </c>
      <c r="K286" s="4">
        <v>9.3699999999999992E-2</v>
      </c>
      <c r="L286" s="4">
        <v>8.9800000000000005E-2</v>
      </c>
      <c r="M286" s="4">
        <v>8.6300000000000002E-2</v>
      </c>
      <c r="N286" s="6">
        <f t="shared" si="16"/>
        <v>9.4393021856999992E-2</v>
      </c>
      <c r="O286" s="6">
        <f t="shared" si="17"/>
        <v>4.099627329192547E-2</v>
      </c>
      <c r="P286" s="21">
        <f t="shared" si="18"/>
        <v>1.4567962376797575E-6</v>
      </c>
      <c r="Q286">
        <f t="shared" si="19"/>
        <v>1.2625294382845313</v>
      </c>
    </row>
    <row r="287" spans="1:17" x14ac:dyDescent="0.15">
      <c r="A287" s="3">
        <v>30560</v>
      </c>
      <c r="B287" s="4">
        <v>9.4499999999999987E-2</v>
      </c>
      <c r="C287" s="4">
        <v>9.5600000000000004E-2</v>
      </c>
      <c r="D287" s="4">
        <v>9.3699999999999992E-2</v>
      </c>
      <c r="E287" s="4">
        <v>8.9800000000000005E-2</v>
      </c>
      <c r="I287" s="3">
        <v>30560</v>
      </c>
      <c r="J287" s="4">
        <v>9.4499999999999987E-2</v>
      </c>
      <c r="K287" s="4">
        <v>9.5600000000000004E-2</v>
      </c>
      <c r="L287" s="4">
        <v>9.3699999999999992E-2</v>
      </c>
      <c r="M287" s="4">
        <v>8.9800000000000005E-2</v>
      </c>
      <c r="N287" s="6">
        <f t="shared" si="16"/>
        <v>9.5298744000000019E-2</v>
      </c>
      <c r="O287" s="6">
        <f t="shared" si="17"/>
        <v>3.9896273291925452E-2</v>
      </c>
      <c r="P287" s="21">
        <f t="shared" si="18"/>
        <v>6.3799197753605071E-7</v>
      </c>
      <c r="Q287">
        <f t="shared" si="19"/>
        <v>0.84523174603177964</v>
      </c>
    </row>
    <row r="288" spans="1:17" x14ac:dyDescent="0.15">
      <c r="A288" s="3">
        <v>30590</v>
      </c>
      <c r="B288" s="4">
        <v>9.4800000000000009E-2</v>
      </c>
      <c r="C288" s="4">
        <v>9.4499999999999987E-2</v>
      </c>
      <c r="D288" s="4">
        <v>9.5600000000000004E-2</v>
      </c>
      <c r="E288" s="4">
        <v>9.3699999999999992E-2</v>
      </c>
      <c r="I288" s="3">
        <v>30590</v>
      </c>
      <c r="J288" s="4">
        <v>9.4800000000000009E-2</v>
      </c>
      <c r="K288" s="4">
        <v>9.4499999999999987E-2</v>
      </c>
      <c r="L288" s="4">
        <v>9.5600000000000004E-2</v>
      </c>
      <c r="M288" s="4">
        <v>9.3699999999999992E-2</v>
      </c>
      <c r="N288" s="6">
        <f t="shared" si="16"/>
        <v>9.3167171016999978E-2</v>
      </c>
      <c r="O288" s="6">
        <f t="shared" si="17"/>
        <v>4.0196273291925474E-2</v>
      </c>
      <c r="P288" s="21">
        <f t="shared" si="18"/>
        <v>2.666130487724917E-6</v>
      </c>
      <c r="Q288">
        <f t="shared" si="19"/>
        <v>1.7223934419831555</v>
      </c>
    </row>
    <row r="289" spans="1:17" x14ac:dyDescent="0.15">
      <c r="A289" s="3">
        <v>30621</v>
      </c>
      <c r="B289" s="4">
        <v>9.3399999999999997E-2</v>
      </c>
      <c r="C289" s="4">
        <v>9.4800000000000009E-2</v>
      </c>
      <c r="D289" s="4">
        <v>9.4499999999999987E-2</v>
      </c>
      <c r="E289" s="4">
        <v>9.5600000000000004E-2</v>
      </c>
      <c r="I289" s="3">
        <v>30621</v>
      </c>
      <c r="J289" s="4">
        <v>9.3399999999999997E-2</v>
      </c>
      <c r="K289" s="4">
        <v>9.4800000000000009E-2</v>
      </c>
      <c r="L289" s="4">
        <v>9.4499999999999987E-2</v>
      </c>
      <c r="M289" s="4">
        <v>9.5600000000000004E-2</v>
      </c>
      <c r="N289" s="6">
        <f t="shared" si="16"/>
        <v>9.4572967712000022E-2</v>
      </c>
      <c r="O289" s="6">
        <f t="shared" si="17"/>
        <v>3.8796273291925462E-2</v>
      </c>
      <c r="P289" s="21">
        <f t="shared" si="18"/>
        <v>1.3758532533945744E-6</v>
      </c>
      <c r="Q289">
        <f t="shared" si="19"/>
        <v>1.2558540813704768</v>
      </c>
    </row>
    <row r="290" spans="1:17" x14ac:dyDescent="0.15">
      <c r="A290" s="3">
        <v>30651</v>
      </c>
      <c r="B290" s="4">
        <v>9.4700000000000006E-2</v>
      </c>
      <c r="C290" s="4">
        <v>9.3399999999999997E-2</v>
      </c>
      <c r="D290" s="4">
        <v>9.4800000000000009E-2</v>
      </c>
      <c r="E290" s="4">
        <v>9.4499999999999987E-2</v>
      </c>
      <c r="I290" s="3">
        <v>30651</v>
      </c>
      <c r="J290" s="4">
        <v>9.4700000000000006E-2</v>
      </c>
      <c r="K290" s="4">
        <v>9.3399999999999997E-2</v>
      </c>
      <c r="L290" s="4">
        <v>9.4800000000000009E-2</v>
      </c>
      <c r="M290" s="4">
        <v>9.4499999999999987E-2</v>
      </c>
      <c r="N290" s="6">
        <f t="shared" si="16"/>
        <v>9.2197561058000005E-2</v>
      </c>
      <c r="O290" s="6">
        <f t="shared" si="17"/>
        <v>4.0096273291925472E-2</v>
      </c>
      <c r="P290" s="21">
        <f t="shared" si="18"/>
        <v>6.2622006584380867E-6</v>
      </c>
      <c r="Q290">
        <f t="shared" si="19"/>
        <v>2.6424909630411841</v>
      </c>
    </row>
    <row r="291" spans="1:17" x14ac:dyDescent="0.15">
      <c r="A291" s="3">
        <v>30682</v>
      </c>
      <c r="B291" s="4">
        <v>9.5600000000000004E-2</v>
      </c>
      <c r="C291" s="4">
        <v>9.4700000000000006E-2</v>
      </c>
      <c r="D291" s="4">
        <v>9.3399999999999997E-2</v>
      </c>
      <c r="E291" s="4">
        <v>9.4800000000000009E-2</v>
      </c>
      <c r="I291" s="3">
        <v>30682</v>
      </c>
      <c r="J291" s="4">
        <v>9.5600000000000004E-2</v>
      </c>
      <c r="K291" s="4">
        <v>9.4700000000000006E-2</v>
      </c>
      <c r="L291" s="4">
        <v>9.3399999999999997E-2</v>
      </c>
      <c r="M291" s="4">
        <v>9.4800000000000009E-2</v>
      </c>
      <c r="N291" s="6">
        <f t="shared" si="16"/>
        <v>9.4975401687000027E-2</v>
      </c>
      <c r="O291" s="6">
        <f t="shared" si="17"/>
        <v>4.099627329192547E-2</v>
      </c>
      <c r="P291" s="21">
        <f t="shared" si="18"/>
        <v>3.9012305260241741E-7</v>
      </c>
      <c r="Q291">
        <f t="shared" si="19"/>
        <v>0.6533455156903526</v>
      </c>
    </row>
    <row r="292" spans="1:17" x14ac:dyDescent="0.15">
      <c r="A292" s="3">
        <v>30713</v>
      </c>
      <c r="B292" s="4">
        <v>9.5899999999999999E-2</v>
      </c>
      <c r="C292" s="4">
        <v>9.5600000000000004E-2</v>
      </c>
      <c r="D292" s="4">
        <v>9.4700000000000006E-2</v>
      </c>
      <c r="E292" s="4">
        <v>9.3399999999999997E-2</v>
      </c>
      <c r="I292" s="3">
        <v>30713</v>
      </c>
      <c r="J292" s="4">
        <v>9.5899999999999999E-2</v>
      </c>
      <c r="K292" s="4">
        <v>9.5600000000000004E-2</v>
      </c>
      <c r="L292" s="4">
        <v>9.4700000000000006E-2</v>
      </c>
      <c r="M292" s="4">
        <v>9.3399999999999997E-2</v>
      </c>
      <c r="N292" s="6">
        <f t="shared" si="16"/>
        <v>9.5255961256000013E-2</v>
      </c>
      <c r="O292" s="6">
        <f t="shared" si="17"/>
        <v>4.1296273291925464E-2</v>
      </c>
      <c r="P292" s="21">
        <f t="shared" si="18"/>
        <v>4.147859037730797E-7</v>
      </c>
      <c r="Q292">
        <f t="shared" si="19"/>
        <v>0.67157324713241517</v>
      </c>
    </row>
    <row r="293" spans="1:17" x14ac:dyDescent="0.15">
      <c r="A293" s="3">
        <v>30742</v>
      </c>
      <c r="B293" s="4">
        <v>9.9100000000000008E-2</v>
      </c>
      <c r="C293" s="4">
        <v>9.5899999999999999E-2</v>
      </c>
      <c r="D293" s="4">
        <v>9.5600000000000004E-2</v>
      </c>
      <c r="E293" s="4">
        <v>9.4700000000000006E-2</v>
      </c>
      <c r="I293" s="3">
        <v>30742</v>
      </c>
      <c r="J293" s="4">
        <v>9.9100000000000008E-2</v>
      </c>
      <c r="K293" s="4">
        <v>9.5899999999999999E-2</v>
      </c>
      <c r="L293" s="4">
        <v>9.5600000000000004E-2</v>
      </c>
      <c r="M293" s="4">
        <v>9.4700000000000006E-2</v>
      </c>
      <c r="N293" s="6">
        <f t="shared" si="16"/>
        <v>9.5343215575000001E-2</v>
      </c>
      <c r="O293" s="6">
        <f t="shared" si="17"/>
        <v>4.4496273291925473E-2</v>
      </c>
      <c r="P293" s="21">
        <f t="shared" si="18"/>
        <v>1.4113429215922629E-5</v>
      </c>
      <c r="Q293">
        <f t="shared" si="19"/>
        <v>3.7909025479313887</v>
      </c>
    </row>
    <row r="294" spans="1:17" x14ac:dyDescent="0.15">
      <c r="A294" s="3">
        <v>30773</v>
      </c>
      <c r="B294" s="4">
        <v>0.10289999999999999</v>
      </c>
      <c r="C294" s="4">
        <v>9.9100000000000008E-2</v>
      </c>
      <c r="D294" s="4">
        <v>9.5899999999999999E-2</v>
      </c>
      <c r="E294" s="4">
        <v>9.5600000000000004E-2</v>
      </c>
      <c r="I294" s="3">
        <v>30773</v>
      </c>
      <c r="J294" s="4">
        <v>0.10289999999999999</v>
      </c>
      <c r="K294" s="4">
        <v>9.9100000000000008E-2</v>
      </c>
      <c r="L294" s="4">
        <v>9.5899999999999999E-2</v>
      </c>
      <c r="M294" s="4">
        <v>9.5600000000000004E-2</v>
      </c>
      <c r="N294" s="6">
        <f t="shared" si="16"/>
        <v>9.9914431663000028E-2</v>
      </c>
      <c r="O294" s="6">
        <f t="shared" si="17"/>
        <v>4.8296273291925457E-2</v>
      </c>
      <c r="P294" s="21">
        <f t="shared" si="18"/>
        <v>8.9136182948967277E-6</v>
      </c>
      <c r="Q294">
        <f t="shared" si="19"/>
        <v>2.901426955296369</v>
      </c>
    </row>
    <row r="295" spans="1:17" x14ac:dyDescent="0.15">
      <c r="A295" s="3">
        <v>30803</v>
      </c>
      <c r="B295" s="4">
        <v>0.1032</v>
      </c>
      <c r="C295" s="4">
        <v>0.10289999999999999</v>
      </c>
      <c r="D295" s="4">
        <v>9.9100000000000008E-2</v>
      </c>
      <c r="E295" s="4">
        <v>9.5899999999999999E-2</v>
      </c>
      <c r="I295" s="3">
        <v>30803</v>
      </c>
      <c r="J295" s="4">
        <v>0.1032</v>
      </c>
      <c r="K295" s="4">
        <v>0.10289999999999999</v>
      </c>
      <c r="L295" s="4">
        <v>9.9100000000000008E-2</v>
      </c>
      <c r="M295" s="4">
        <v>9.5899999999999999E-2</v>
      </c>
      <c r="N295" s="6">
        <f t="shared" si="16"/>
        <v>0.10348128581700002</v>
      </c>
      <c r="O295" s="6">
        <f t="shared" si="17"/>
        <v>4.8596273291925465E-2</v>
      </c>
      <c r="P295" s="21">
        <f t="shared" si="18"/>
        <v>7.9121710845366164E-8</v>
      </c>
      <c r="Q295">
        <f t="shared" si="19"/>
        <v>0.27256377616280564</v>
      </c>
    </row>
    <row r="296" spans="1:17" x14ac:dyDescent="0.15">
      <c r="A296" s="3">
        <v>30834</v>
      </c>
      <c r="B296" s="4">
        <v>0.1106</v>
      </c>
      <c r="C296" s="4">
        <v>0.1032</v>
      </c>
      <c r="D296" s="4">
        <v>0.10289999999999999</v>
      </c>
      <c r="E296" s="4">
        <v>9.9100000000000008E-2</v>
      </c>
      <c r="I296" s="3">
        <v>30834</v>
      </c>
      <c r="J296" s="4">
        <v>0.1106</v>
      </c>
      <c r="K296" s="4">
        <v>0.1032</v>
      </c>
      <c r="L296" s="4">
        <v>0.10289999999999999</v>
      </c>
      <c r="M296" s="4">
        <v>9.9100000000000008E-2</v>
      </c>
      <c r="N296" s="6">
        <f t="shared" si="16"/>
        <v>0.10209451856000003</v>
      </c>
      <c r="O296" s="6">
        <f t="shared" si="17"/>
        <v>5.5996273291925469E-2</v>
      </c>
      <c r="P296" s="21">
        <f t="shared" si="18"/>
        <v>7.234321452618407E-5</v>
      </c>
      <c r="Q296">
        <f t="shared" si="19"/>
        <v>7.6903087160940107</v>
      </c>
    </row>
    <row r="297" spans="1:17" x14ac:dyDescent="0.15">
      <c r="A297" s="3">
        <v>30864</v>
      </c>
      <c r="B297" s="4">
        <v>0.11230000000000001</v>
      </c>
      <c r="C297" s="4">
        <v>0.1106</v>
      </c>
      <c r="D297" s="4">
        <v>0.1032</v>
      </c>
      <c r="E297" s="4">
        <v>0.10289999999999999</v>
      </c>
      <c r="I297" s="3">
        <v>30864</v>
      </c>
      <c r="J297" s="4">
        <v>0.11230000000000001</v>
      </c>
      <c r="K297" s="4">
        <v>0.1106</v>
      </c>
      <c r="L297" s="4">
        <v>0.1032</v>
      </c>
      <c r="M297" s="4">
        <v>0.10289999999999999</v>
      </c>
      <c r="N297" s="6">
        <f t="shared" si="16"/>
        <v>0.11317806092600002</v>
      </c>
      <c r="O297" s="6">
        <f t="shared" si="17"/>
        <v>5.7696273291925476E-2</v>
      </c>
      <c r="P297" s="21">
        <f t="shared" si="18"/>
        <v>7.7099098976799983E-7</v>
      </c>
      <c r="Q297">
        <f t="shared" si="19"/>
        <v>0.78188862511132018</v>
      </c>
    </row>
    <row r="298" spans="1:17" x14ac:dyDescent="0.15">
      <c r="A298" s="3">
        <v>30895</v>
      </c>
      <c r="B298" s="4">
        <v>0.1164</v>
      </c>
      <c r="C298" s="4">
        <v>0.11230000000000001</v>
      </c>
      <c r="D298" s="4">
        <v>0.1106</v>
      </c>
      <c r="E298" s="4">
        <v>0.1032</v>
      </c>
      <c r="I298" s="3">
        <v>30895</v>
      </c>
      <c r="J298" s="4">
        <v>0.1164</v>
      </c>
      <c r="K298" s="4">
        <v>0.11230000000000001</v>
      </c>
      <c r="L298" s="4">
        <v>0.1106</v>
      </c>
      <c r="M298" s="4">
        <v>0.1032</v>
      </c>
      <c r="N298" s="6">
        <f t="shared" si="16"/>
        <v>0.11114819338300003</v>
      </c>
      <c r="O298" s="6">
        <f t="shared" si="17"/>
        <v>6.1796273291925469E-2</v>
      </c>
      <c r="P298" s="21">
        <f t="shared" si="18"/>
        <v>2.7581472742364741E-5</v>
      </c>
      <c r="Q298">
        <f t="shared" si="19"/>
        <v>4.5118613548109758</v>
      </c>
    </row>
    <row r="299" spans="1:17" x14ac:dyDescent="0.15">
      <c r="A299" s="3">
        <v>30926</v>
      </c>
      <c r="B299" s="4">
        <v>0.113</v>
      </c>
      <c r="C299" s="4">
        <v>0.1164</v>
      </c>
      <c r="D299" s="4">
        <v>0.11230000000000001</v>
      </c>
      <c r="E299" s="4">
        <v>0.1106</v>
      </c>
      <c r="I299" s="3">
        <v>30926</v>
      </c>
      <c r="J299" s="4">
        <v>0.113</v>
      </c>
      <c r="K299" s="4">
        <v>0.1164</v>
      </c>
      <c r="L299" s="4">
        <v>0.11230000000000001</v>
      </c>
      <c r="M299" s="4">
        <v>0.1106</v>
      </c>
      <c r="N299" s="6">
        <f t="shared" si="16"/>
        <v>0.11718756842400002</v>
      </c>
      <c r="O299" s="6">
        <f t="shared" si="17"/>
        <v>5.8396273291925468E-2</v>
      </c>
      <c r="P299" s="21">
        <f t="shared" si="18"/>
        <v>1.7535729305681998E-5</v>
      </c>
      <c r="Q299">
        <f t="shared" si="19"/>
        <v>3.7058127646017862</v>
      </c>
    </row>
    <row r="300" spans="1:17" x14ac:dyDescent="0.15">
      <c r="A300" s="3">
        <v>30956</v>
      </c>
      <c r="B300" s="4">
        <v>9.9900000000000003E-2</v>
      </c>
      <c r="C300" s="4">
        <v>0.113</v>
      </c>
      <c r="D300" s="4">
        <v>0.1164</v>
      </c>
      <c r="E300" s="4">
        <v>0.11230000000000001</v>
      </c>
      <c r="I300" s="3">
        <v>30956</v>
      </c>
      <c r="J300" s="4">
        <v>9.9900000000000003E-2</v>
      </c>
      <c r="K300" s="4">
        <v>0.113</v>
      </c>
      <c r="L300" s="4">
        <v>0.1164</v>
      </c>
      <c r="M300" s="4">
        <v>0.11230000000000001</v>
      </c>
      <c r="N300" s="6">
        <f t="shared" si="16"/>
        <v>0.11004692751800001</v>
      </c>
      <c r="O300" s="6">
        <f t="shared" si="17"/>
        <v>4.5296273291925468E-2</v>
      </c>
      <c r="P300" s="21">
        <f t="shared" si="18"/>
        <v>1.0296013805554572E-4</v>
      </c>
      <c r="Q300">
        <f t="shared" si="19"/>
        <v>10.157084602602605</v>
      </c>
    </row>
    <row r="301" spans="1:17" x14ac:dyDescent="0.15">
      <c r="A301" s="3">
        <v>30987</v>
      </c>
      <c r="B301" s="4">
        <v>9.4299999999999995E-2</v>
      </c>
      <c r="C301" s="4">
        <v>9.9900000000000003E-2</v>
      </c>
      <c r="D301" s="4">
        <v>0.113</v>
      </c>
      <c r="E301" s="4">
        <v>0.1164</v>
      </c>
      <c r="I301" s="3">
        <v>30987</v>
      </c>
      <c r="J301" s="4">
        <v>9.4299999999999995E-2</v>
      </c>
      <c r="K301" s="4">
        <v>9.9900000000000003E-2</v>
      </c>
      <c r="L301" s="4">
        <v>0.113</v>
      </c>
      <c r="M301" s="4">
        <v>0.1164</v>
      </c>
      <c r="N301" s="6">
        <f t="shared" si="16"/>
        <v>9.3892878187000026E-2</v>
      </c>
      <c r="O301" s="6">
        <f t="shared" si="17"/>
        <v>3.969627329192546E-2</v>
      </c>
      <c r="P301" s="21">
        <f t="shared" si="18"/>
        <v>1.6574817062038198E-7</v>
      </c>
      <c r="Q301">
        <f t="shared" si="19"/>
        <v>0.43173044856836618</v>
      </c>
    </row>
    <row r="302" spans="1:17" x14ac:dyDescent="0.15">
      <c r="A302" s="3">
        <v>31017</v>
      </c>
      <c r="B302" s="4">
        <v>8.3800000000000013E-2</v>
      </c>
      <c r="C302" s="4">
        <v>9.4299999999999995E-2</v>
      </c>
      <c r="D302" s="4">
        <v>9.9900000000000003E-2</v>
      </c>
      <c r="E302" s="4">
        <v>0.113</v>
      </c>
      <c r="I302" s="3">
        <v>31017</v>
      </c>
      <c r="J302" s="4">
        <v>8.3800000000000013E-2</v>
      </c>
      <c r="K302" s="4">
        <v>9.4299999999999995E-2</v>
      </c>
      <c r="L302" s="4">
        <v>9.9900000000000003E-2</v>
      </c>
      <c r="M302" s="4">
        <v>0.113</v>
      </c>
      <c r="N302" s="6">
        <f t="shared" si="16"/>
        <v>9.3298766231000002E-2</v>
      </c>
      <c r="O302" s="6">
        <f t="shared" si="17"/>
        <v>2.9196273291925479E-2</v>
      </c>
      <c r="P302" s="21">
        <f t="shared" si="18"/>
        <v>9.0226559911185734E-5</v>
      </c>
      <c r="Q302">
        <f t="shared" si="19"/>
        <v>11.335043235083516</v>
      </c>
    </row>
    <row r="303" spans="1:17" x14ac:dyDescent="0.15">
      <c r="A303" s="3">
        <v>31048</v>
      </c>
      <c r="B303" s="4">
        <v>8.3499999999999991E-2</v>
      </c>
      <c r="C303" s="4">
        <v>8.3800000000000013E-2</v>
      </c>
      <c r="D303" s="4">
        <v>9.4299999999999995E-2</v>
      </c>
      <c r="E303" s="4">
        <v>9.9900000000000003E-2</v>
      </c>
      <c r="I303" s="3">
        <v>31048</v>
      </c>
      <c r="J303" s="4">
        <v>8.3499999999999991E-2</v>
      </c>
      <c r="K303" s="4">
        <v>8.3800000000000013E-2</v>
      </c>
      <c r="L303" s="4">
        <v>9.4299999999999995E-2</v>
      </c>
      <c r="M303" s="4">
        <v>9.9900000000000003E-2</v>
      </c>
      <c r="N303" s="6">
        <f t="shared" si="16"/>
        <v>7.9519572270000019E-2</v>
      </c>
      <c r="O303" s="6">
        <f t="shared" si="17"/>
        <v>2.8896273291925456E-2</v>
      </c>
      <c r="P303" s="21">
        <f t="shared" si="18"/>
        <v>1.584380491375273E-5</v>
      </c>
      <c r="Q303">
        <f t="shared" si="19"/>
        <v>4.7669793173652364</v>
      </c>
    </row>
    <row r="304" spans="1:17" x14ac:dyDescent="0.15">
      <c r="A304" s="3">
        <v>31079</v>
      </c>
      <c r="B304" s="4">
        <v>8.5000000000000006E-2</v>
      </c>
      <c r="C304" s="4">
        <v>8.3499999999999991E-2</v>
      </c>
      <c r="D304" s="4">
        <v>8.3800000000000013E-2</v>
      </c>
      <c r="E304" s="4">
        <v>9.4299999999999995E-2</v>
      </c>
      <c r="I304" s="3">
        <v>31079</v>
      </c>
      <c r="J304" s="4">
        <v>8.5000000000000006E-2</v>
      </c>
      <c r="K304" s="4">
        <v>8.3499999999999991E-2</v>
      </c>
      <c r="L304" s="4">
        <v>8.3800000000000013E-2</v>
      </c>
      <c r="M304" s="4">
        <v>9.4299999999999995E-2</v>
      </c>
      <c r="N304" s="6">
        <f t="shared" si="16"/>
        <v>8.4626350322999977E-2</v>
      </c>
      <c r="O304" s="6">
        <f t="shared" si="17"/>
        <v>3.0396273291925471E-2</v>
      </c>
      <c r="P304" s="21">
        <f t="shared" si="18"/>
        <v>1.3961408112222611E-7</v>
      </c>
      <c r="Q304">
        <f t="shared" si="19"/>
        <v>0.43958785529415195</v>
      </c>
    </row>
    <row r="305" spans="1:17" x14ac:dyDescent="0.15">
      <c r="A305" s="3">
        <v>31107</v>
      </c>
      <c r="B305" s="4">
        <v>8.5800000000000001E-2</v>
      </c>
      <c r="C305" s="4">
        <v>8.5000000000000006E-2</v>
      </c>
      <c r="D305" s="4">
        <v>8.3499999999999991E-2</v>
      </c>
      <c r="E305" s="4">
        <v>8.3800000000000013E-2</v>
      </c>
      <c r="I305" s="3">
        <v>31107</v>
      </c>
      <c r="J305" s="4">
        <v>8.5800000000000001E-2</v>
      </c>
      <c r="K305" s="4">
        <v>8.5000000000000006E-2</v>
      </c>
      <c r="L305" s="4">
        <v>8.3499999999999991E-2</v>
      </c>
      <c r="M305" s="4">
        <v>8.3800000000000013E-2</v>
      </c>
      <c r="N305" s="6">
        <f t="shared" si="16"/>
        <v>8.5312239798000011E-2</v>
      </c>
      <c r="O305" s="6">
        <f t="shared" si="17"/>
        <v>3.1196273291925466E-2</v>
      </c>
      <c r="P305" s="21">
        <f t="shared" si="18"/>
        <v>2.3791001465507097E-7</v>
      </c>
      <c r="Q305">
        <f t="shared" si="19"/>
        <v>0.56848508391607222</v>
      </c>
    </row>
    <row r="306" spans="1:17" x14ac:dyDescent="0.15">
      <c r="A306" s="3">
        <v>31138</v>
      </c>
      <c r="B306" s="4">
        <v>8.2699999999999996E-2</v>
      </c>
      <c r="C306" s="4">
        <v>8.5800000000000001E-2</v>
      </c>
      <c r="D306" s="4">
        <v>8.5000000000000006E-2</v>
      </c>
      <c r="E306" s="4">
        <v>8.3499999999999991E-2</v>
      </c>
      <c r="I306" s="3">
        <v>31138</v>
      </c>
      <c r="J306" s="4">
        <v>8.2699999999999996E-2</v>
      </c>
      <c r="K306" s="4">
        <v>8.5800000000000001E-2</v>
      </c>
      <c r="L306" s="4">
        <v>8.5000000000000006E-2</v>
      </c>
      <c r="M306" s="4">
        <v>8.3499999999999991E-2</v>
      </c>
      <c r="N306" s="6">
        <f t="shared" si="16"/>
        <v>8.5500170166000006E-2</v>
      </c>
      <c r="O306" s="6">
        <f t="shared" si="17"/>
        <v>2.8096273291925461E-2</v>
      </c>
      <c r="P306" s="21">
        <f t="shared" si="18"/>
        <v>7.8409529585565242E-6</v>
      </c>
      <c r="Q306">
        <f t="shared" si="19"/>
        <v>3.3859373228537</v>
      </c>
    </row>
    <row r="307" spans="1:17" x14ac:dyDescent="0.15">
      <c r="A307" s="3">
        <v>31168</v>
      </c>
      <c r="B307" s="4">
        <v>7.9699999999999993E-2</v>
      </c>
      <c r="C307" s="4">
        <v>8.2699999999999996E-2</v>
      </c>
      <c r="D307" s="4">
        <v>8.5800000000000001E-2</v>
      </c>
      <c r="E307" s="4">
        <v>8.5000000000000006E-2</v>
      </c>
      <c r="I307" s="3">
        <v>31168</v>
      </c>
      <c r="J307" s="4">
        <v>7.9699999999999993E-2</v>
      </c>
      <c r="K307" s="4">
        <v>8.2699999999999996E-2</v>
      </c>
      <c r="L307" s="4">
        <v>8.5800000000000001E-2</v>
      </c>
      <c r="M307" s="4">
        <v>8.5000000000000006E-2</v>
      </c>
      <c r="N307" s="6">
        <f t="shared" si="16"/>
        <v>8.0779438438999998E-2</v>
      </c>
      <c r="O307" s="6">
        <f t="shared" si="17"/>
        <v>2.5096273291925458E-2</v>
      </c>
      <c r="P307" s="21">
        <f t="shared" si="18"/>
        <v>1.1651873435907676E-6</v>
      </c>
      <c r="Q307">
        <f t="shared" si="19"/>
        <v>1.3543769623588522</v>
      </c>
    </row>
    <row r="308" spans="1:17" x14ac:dyDescent="0.15">
      <c r="A308" s="3">
        <v>31199</v>
      </c>
      <c r="B308" s="4">
        <v>7.5300000000000006E-2</v>
      </c>
      <c r="C308" s="4">
        <v>7.9699999999999993E-2</v>
      </c>
      <c r="D308" s="4">
        <v>8.2699999999999996E-2</v>
      </c>
      <c r="E308" s="4">
        <v>8.5800000000000001E-2</v>
      </c>
      <c r="I308" s="3">
        <v>31199</v>
      </c>
      <c r="J308" s="4">
        <v>7.5300000000000006E-2</v>
      </c>
      <c r="K308" s="4">
        <v>7.9699999999999993E-2</v>
      </c>
      <c r="L308" s="4">
        <v>8.2699999999999996E-2</v>
      </c>
      <c r="M308" s="4">
        <v>8.5800000000000001E-2</v>
      </c>
      <c r="N308" s="6">
        <f t="shared" si="16"/>
        <v>7.8478406796999994E-2</v>
      </c>
      <c r="O308" s="6">
        <f t="shared" si="17"/>
        <v>2.0696273291925471E-2</v>
      </c>
      <c r="P308" s="21">
        <f t="shared" si="18"/>
        <v>1.0102269767215727E-5</v>
      </c>
      <c r="Q308">
        <f t="shared" si="19"/>
        <v>4.2209917622841813</v>
      </c>
    </row>
    <row r="309" spans="1:17" x14ac:dyDescent="0.15">
      <c r="A309" s="3">
        <v>31229</v>
      </c>
      <c r="B309" s="4">
        <v>7.8799999999999995E-2</v>
      </c>
      <c r="C309" s="4">
        <v>7.5300000000000006E-2</v>
      </c>
      <c r="D309" s="4">
        <v>7.9699999999999993E-2</v>
      </c>
      <c r="E309" s="4">
        <v>8.2699999999999996E-2</v>
      </c>
      <c r="I309" s="3">
        <v>31229</v>
      </c>
      <c r="J309" s="4">
        <v>7.8799999999999995E-2</v>
      </c>
      <c r="K309" s="4">
        <v>7.5300000000000006E-2</v>
      </c>
      <c r="L309" s="4">
        <v>7.9699999999999993E-2</v>
      </c>
      <c r="M309" s="4">
        <v>8.2699999999999996E-2</v>
      </c>
      <c r="N309" s="6">
        <f t="shared" si="16"/>
        <v>7.3481731213000015E-2</v>
      </c>
      <c r="O309" s="6">
        <f t="shared" si="17"/>
        <v>2.419627329192546E-2</v>
      </c>
      <c r="P309" s="21">
        <f t="shared" si="18"/>
        <v>2.8283982890778238E-5</v>
      </c>
      <c r="Q309">
        <f t="shared" si="19"/>
        <v>6.7490720647207878</v>
      </c>
    </row>
    <row r="310" spans="1:17" x14ac:dyDescent="0.15">
      <c r="A310" s="3">
        <v>31260</v>
      </c>
      <c r="B310" s="4">
        <v>7.9000000000000001E-2</v>
      </c>
      <c r="C310" s="4">
        <v>7.8799999999999995E-2</v>
      </c>
      <c r="D310" s="4">
        <v>7.5300000000000006E-2</v>
      </c>
      <c r="E310" s="4">
        <v>7.9699999999999993E-2</v>
      </c>
      <c r="I310" s="3">
        <v>31260</v>
      </c>
      <c r="J310" s="4">
        <v>7.9000000000000001E-2</v>
      </c>
      <c r="K310" s="4">
        <v>7.8799999999999995E-2</v>
      </c>
      <c r="L310" s="4">
        <v>7.5300000000000006E-2</v>
      </c>
      <c r="M310" s="4">
        <v>7.9699999999999993E-2</v>
      </c>
      <c r="N310" s="6">
        <f t="shared" si="16"/>
        <v>8.0744571427999984E-2</v>
      </c>
      <c r="O310" s="6">
        <f t="shared" si="17"/>
        <v>2.4396273291925466E-2</v>
      </c>
      <c r="P310" s="21">
        <f t="shared" si="18"/>
        <v>3.0435294673939E-6</v>
      </c>
      <c r="Q310">
        <f t="shared" si="19"/>
        <v>2.208318263291118</v>
      </c>
    </row>
    <row r="311" spans="1:17" x14ac:dyDescent="0.15">
      <c r="A311" s="3">
        <v>31291</v>
      </c>
      <c r="B311" s="4">
        <v>7.9199999999999993E-2</v>
      </c>
      <c r="C311" s="4">
        <v>7.9000000000000001E-2</v>
      </c>
      <c r="D311" s="4">
        <v>7.8799999999999995E-2</v>
      </c>
      <c r="E311" s="4">
        <v>7.5300000000000006E-2</v>
      </c>
      <c r="I311" s="3">
        <v>31291</v>
      </c>
      <c r="J311" s="4">
        <v>7.9199999999999993E-2</v>
      </c>
      <c r="K311" s="4">
        <v>7.9000000000000001E-2</v>
      </c>
      <c r="L311" s="4">
        <v>7.8799999999999995E-2</v>
      </c>
      <c r="M311" s="4">
        <v>7.5300000000000006E-2</v>
      </c>
      <c r="N311" s="6">
        <f t="shared" si="16"/>
        <v>7.8195856018000012E-2</v>
      </c>
      <c r="O311" s="6">
        <f t="shared" si="17"/>
        <v>2.4596273291925458E-2</v>
      </c>
      <c r="P311" s="21">
        <f t="shared" si="18"/>
        <v>1.0083051365867769E-6</v>
      </c>
      <c r="Q311">
        <f t="shared" si="19"/>
        <v>1.2678585631312884</v>
      </c>
    </row>
    <row r="312" spans="1:17" x14ac:dyDescent="0.15">
      <c r="A312" s="3">
        <v>31321</v>
      </c>
      <c r="B312" s="4">
        <v>7.9899999999999999E-2</v>
      </c>
      <c r="C312" s="4">
        <v>7.9199999999999993E-2</v>
      </c>
      <c r="D312" s="4">
        <v>7.9000000000000001E-2</v>
      </c>
      <c r="E312" s="4">
        <v>7.8799999999999995E-2</v>
      </c>
      <c r="I312" s="3">
        <v>31321</v>
      </c>
      <c r="J312" s="4">
        <v>7.9899999999999999E-2</v>
      </c>
      <c r="K312" s="4">
        <v>7.9199999999999993E-2</v>
      </c>
      <c r="L312" s="4">
        <v>7.9000000000000001E-2</v>
      </c>
      <c r="M312" s="4">
        <v>7.8799999999999995E-2</v>
      </c>
      <c r="N312" s="6">
        <f t="shared" si="16"/>
        <v>7.8915026592000004E-2</v>
      </c>
      <c r="O312" s="6">
        <f t="shared" si="17"/>
        <v>2.5296273291925464E-2</v>
      </c>
      <c r="P312" s="21">
        <f t="shared" si="18"/>
        <v>9.7017261446712471E-7</v>
      </c>
      <c r="Q312">
        <f t="shared" si="19"/>
        <v>1.2327577071339111</v>
      </c>
    </row>
    <row r="313" spans="1:17" x14ac:dyDescent="0.15">
      <c r="A313" s="3">
        <v>31352</v>
      </c>
      <c r="B313" s="4">
        <v>8.0500000000000002E-2</v>
      </c>
      <c r="C313" s="4">
        <v>7.9899999999999999E-2</v>
      </c>
      <c r="D313" s="4">
        <v>7.9199999999999993E-2</v>
      </c>
      <c r="E313" s="4">
        <v>7.9000000000000001E-2</v>
      </c>
      <c r="I313" s="3">
        <v>31352</v>
      </c>
      <c r="J313" s="4">
        <v>8.0500000000000002E-2</v>
      </c>
      <c r="K313" s="4">
        <v>7.9899999999999999E-2</v>
      </c>
      <c r="L313" s="4">
        <v>7.9199999999999993E-2</v>
      </c>
      <c r="M313" s="4">
        <v>7.9000000000000001E-2</v>
      </c>
      <c r="N313" s="6">
        <f t="shared" si="16"/>
        <v>7.9833256883000012E-2</v>
      </c>
      <c r="O313" s="6">
        <f t="shared" si="17"/>
        <v>2.5896273291925467E-2</v>
      </c>
      <c r="P313" s="21">
        <f t="shared" si="18"/>
        <v>4.4454638406686293E-7</v>
      </c>
      <c r="Q313">
        <f t="shared" si="19"/>
        <v>0.82825231925464649</v>
      </c>
    </row>
    <row r="314" spans="1:17" x14ac:dyDescent="0.15">
      <c r="A314" s="3">
        <v>31382</v>
      </c>
      <c r="B314" s="4">
        <v>8.2699999999999996E-2</v>
      </c>
      <c r="C314" s="4">
        <v>8.0500000000000002E-2</v>
      </c>
      <c r="D314" s="4">
        <v>7.9899999999999999E-2</v>
      </c>
      <c r="E314" s="4">
        <v>7.9199999999999993E-2</v>
      </c>
      <c r="I314" s="3">
        <v>31382</v>
      </c>
      <c r="J314" s="4">
        <v>8.2699999999999996E-2</v>
      </c>
      <c r="K314" s="4">
        <v>8.0500000000000002E-2</v>
      </c>
      <c r="L314" s="4">
        <v>7.9899999999999999E-2</v>
      </c>
      <c r="M314" s="4">
        <v>7.9199999999999993E-2</v>
      </c>
      <c r="N314" s="6">
        <f t="shared" si="16"/>
        <v>8.0301421917000015E-2</v>
      </c>
      <c r="O314" s="6">
        <f t="shared" si="17"/>
        <v>2.8096273291925461E-2</v>
      </c>
      <c r="P314" s="21">
        <f t="shared" si="18"/>
        <v>5.7531768202478601E-6</v>
      </c>
      <c r="Q314">
        <f t="shared" si="19"/>
        <v>2.9003362551390333</v>
      </c>
    </row>
    <row r="315" spans="1:17" x14ac:dyDescent="0.15">
      <c r="A315" s="3">
        <v>31413</v>
      </c>
      <c r="B315" s="4">
        <v>8.14E-2</v>
      </c>
      <c r="C315" s="4">
        <v>8.2699999999999996E-2</v>
      </c>
      <c r="D315" s="4">
        <v>8.0500000000000002E-2</v>
      </c>
      <c r="E315" s="4">
        <v>7.9899999999999999E-2</v>
      </c>
      <c r="I315" s="3">
        <v>31413</v>
      </c>
      <c r="J315" s="4">
        <v>8.14E-2</v>
      </c>
      <c r="K315" s="4">
        <v>8.2699999999999996E-2</v>
      </c>
      <c r="L315" s="4">
        <v>8.0500000000000002E-2</v>
      </c>
      <c r="M315" s="4">
        <v>7.9899999999999999E-2</v>
      </c>
      <c r="N315" s="6">
        <f t="shared" si="16"/>
        <v>8.3216060942999992E-2</v>
      </c>
      <c r="O315" s="6">
        <f t="shared" si="17"/>
        <v>2.6796273291925465E-2</v>
      </c>
      <c r="P315" s="21">
        <f t="shared" si="18"/>
        <v>3.2980773486900199E-6</v>
      </c>
      <c r="Q315">
        <f t="shared" si="19"/>
        <v>2.2310330995085894</v>
      </c>
    </row>
    <row r="316" spans="1:17" x14ac:dyDescent="0.15">
      <c r="A316" s="3">
        <v>31444</v>
      </c>
      <c r="B316" s="4">
        <v>7.8600000000000003E-2</v>
      </c>
      <c r="C316" s="4">
        <v>8.14E-2</v>
      </c>
      <c r="D316" s="4">
        <v>8.2699999999999996E-2</v>
      </c>
      <c r="E316" s="4">
        <v>8.0500000000000002E-2</v>
      </c>
      <c r="I316" s="3">
        <v>31444</v>
      </c>
      <c r="J316" s="4">
        <v>7.8600000000000003E-2</v>
      </c>
      <c r="K316" s="4">
        <v>8.14E-2</v>
      </c>
      <c r="L316" s="4">
        <v>8.2699999999999996E-2</v>
      </c>
      <c r="M316" s="4">
        <v>8.0500000000000002E-2</v>
      </c>
      <c r="N316" s="6">
        <f t="shared" si="16"/>
        <v>8.0091007678000009E-2</v>
      </c>
      <c r="O316" s="6">
        <f t="shared" si="17"/>
        <v>2.3996273291925468E-2</v>
      </c>
      <c r="P316" s="21">
        <f t="shared" si="18"/>
        <v>2.2231038958549694E-6</v>
      </c>
      <c r="Q316">
        <f t="shared" si="19"/>
        <v>1.8969563333333408</v>
      </c>
    </row>
    <row r="317" spans="1:17" x14ac:dyDescent="0.15">
      <c r="A317" s="3">
        <v>31472</v>
      </c>
      <c r="B317" s="4">
        <v>7.4800000000000005E-2</v>
      </c>
      <c r="C317" s="4">
        <v>7.8600000000000003E-2</v>
      </c>
      <c r="D317" s="4">
        <v>8.14E-2</v>
      </c>
      <c r="E317" s="4">
        <v>8.2699999999999996E-2</v>
      </c>
      <c r="I317" s="3">
        <v>31472</v>
      </c>
      <c r="J317" s="4">
        <v>7.4800000000000005E-2</v>
      </c>
      <c r="K317" s="4">
        <v>7.8600000000000003E-2</v>
      </c>
      <c r="L317" s="4">
        <v>8.14E-2</v>
      </c>
      <c r="M317" s="4">
        <v>8.2699999999999996E-2</v>
      </c>
      <c r="N317" s="6">
        <f t="shared" si="16"/>
        <v>7.7198232894000005E-2</v>
      </c>
      <c r="O317" s="6">
        <f t="shared" si="17"/>
        <v>2.0196273291925471E-2</v>
      </c>
      <c r="P317" s="21">
        <f t="shared" si="18"/>
        <v>5.7515210138636109E-6</v>
      </c>
      <c r="Q317">
        <f t="shared" si="19"/>
        <v>3.2061937085561487</v>
      </c>
    </row>
    <row r="318" spans="1:17" x14ac:dyDescent="0.15">
      <c r="A318" s="3">
        <v>31503</v>
      </c>
      <c r="B318" s="4">
        <v>6.9900000000000004E-2</v>
      </c>
      <c r="C318" s="4">
        <v>7.4800000000000005E-2</v>
      </c>
      <c r="D318" s="4">
        <v>7.8600000000000003E-2</v>
      </c>
      <c r="E318" s="4">
        <v>8.14E-2</v>
      </c>
      <c r="I318" s="3">
        <v>31503</v>
      </c>
      <c r="J318" s="4">
        <v>6.9900000000000004E-2</v>
      </c>
      <c r="K318" s="4">
        <v>7.4800000000000005E-2</v>
      </c>
      <c r="L318" s="4">
        <v>7.8600000000000003E-2</v>
      </c>
      <c r="M318" s="4">
        <v>8.14E-2</v>
      </c>
      <c r="N318" s="6">
        <f t="shared" si="16"/>
        <v>7.322856518000001E-2</v>
      </c>
      <c r="O318" s="6">
        <f t="shared" si="17"/>
        <v>1.5296273291925469E-2</v>
      </c>
      <c r="P318" s="21">
        <f t="shared" si="18"/>
        <v>1.1079346157508477E-5</v>
      </c>
      <c r="Q318">
        <f t="shared" si="19"/>
        <v>4.7618958226037291</v>
      </c>
    </row>
    <row r="319" spans="1:17" x14ac:dyDescent="0.15">
      <c r="A319" s="3">
        <v>31533</v>
      </c>
      <c r="B319" s="4">
        <v>6.8499999999999991E-2</v>
      </c>
      <c r="C319" s="4">
        <v>6.9900000000000004E-2</v>
      </c>
      <c r="D319" s="4">
        <v>7.4800000000000005E-2</v>
      </c>
      <c r="E319" s="4">
        <v>7.8600000000000003E-2</v>
      </c>
      <c r="I319" s="3">
        <v>31533</v>
      </c>
      <c r="J319" s="4">
        <v>6.8499999999999991E-2</v>
      </c>
      <c r="K319" s="4">
        <v>6.9900000000000004E-2</v>
      </c>
      <c r="L319" s="4">
        <v>7.4800000000000005E-2</v>
      </c>
      <c r="M319" s="4">
        <v>7.8600000000000003E-2</v>
      </c>
      <c r="N319" s="6">
        <f t="shared" si="16"/>
        <v>6.8048087199000004E-2</v>
      </c>
      <c r="O319" s="6">
        <f t="shared" si="17"/>
        <v>1.3896273291925457E-2</v>
      </c>
      <c r="P319" s="21">
        <f t="shared" si="18"/>
        <v>2.0422517970765413E-7</v>
      </c>
      <c r="Q319">
        <f t="shared" si="19"/>
        <v>0.65972671678830275</v>
      </c>
    </row>
    <row r="320" spans="1:17" x14ac:dyDescent="0.15">
      <c r="A320" s="3">
        <v>31564</v>
      </c>
      <c r="B320" s="4">
        <v>6.9199999999999998E-2</v>
      </c>
      <c r="C320" s="4">
        <v>6.8499999999999991E-2</v>
      </c>
      <c r="D320" s="4">
        <v>6.9900000000000004E-2</v>
      </c>
      <c r="E320" s="4">
        <v>7.4800000000000005E-2</v>
      </c>
      <c r="I320" s="3">
        <v>31564</v>
      </c>
      <c r="J320" s="4">
        <v>6.9199999999999998E-2</v>
      </c>
      <c r="K320" s="4">
        <v>6.8499999999999991E-2</v>
      </c>
      <c r="L320" s="4">
        <v>6.9900000000000004E-2</v>
      </c>
      <c r="M320" s="4">
        <v>7.4800000000000005E-2</v>
      </c>
      <c r="N320" s="6">
        <f t="shared" si="16"/>
        <v>6.8427495652999992E-2</v>
      </c>
      <c r="O320" s="6">
        <f t="shared" si="17"/>
        <v>1.4596273291925463E-2</v>
      </c>
      <c r="P320" s="21">
        <f t="shared" si="18"/>
        <v>5.9676296613390465E-7</v>
      </c>
      <c r="Q320">
        <f t="shared" si="19"/>
        <v>1.1163357615607015</v>
      </c>
    </row>
    <row r="321" spans="1:17" x14ac:dyDescent="0.15">
      <c r="A321" s="3">
        <v>31594</v>
      </c>
      <c r="B321" s="4">
        <v>6.5599999999999992E-2</v>
      </c>
      <c r="C321" s="4">
        <v>6.9199999999999998E-2</v>
      </c>
      <c r="D321" s="4">
        <v>6.8499999999999991E-2</v>
      </c>
      <c r="E321" s="4">
        <v>6.9900000000000004E-2</v>
      </c>
      <c r="I321" s="3">
        <v>31594</v>
      </c>
      <c r="J321" s="4">
        <v>6.5599999999999992E-2</v>
      </c>
      <c r="K321" s="4">
        <v>6.9199999999999998E-2</v>
      </c>
      <c r="L321" s="4">
        <v>6.8499999999999991E-2</v>
      </c>
      <c r="M321" s="4">
        <v>6.9900000000000004E-2</v>
      </c>
      <c r="N321" s="6">
        <f t="shared" si="16"/>
        <v>6.9518507148000008E-2</v>
      </c>
      <c r="O321" s="6">
        <f t="shared" si="17"/>
        <v>1.0996273291925457E-2</v>
      </c>
      <c r="P321" s="21">
        <f t="shared" si="18"/>
        <v>1.5354698268927223E-5</v>
      </c>
      <c r="Q321">
        <f t="shared" si="19"/>
        <v>5.9733340670731963</v>
      </c>
    </row>
    <row r="322" spans="1:17" x14ac:dyDescent="0.15">
      <c r="A322" s="3">
        <v>31625</v>
      </c>
      <c r="B322" s="4">
        <v>6.1699999999999998E-2</v>
      </c>
      <c r="C322" s="4">
        <v>6.5599999999999992E-2</v>
      </c>
      <c r="D322" s="4">
        <v>6.9199999999999998E-2</v>
      </c>
      <c r="E322" s="4">
        <v>6.8499999999999991E-2</v>
      </c>
      <c r="I322" s="3">
        <v>31625</v>
      </c>
      <c r="J322" s="4">
        <v>6.1699999999999998E-2</v>
      </c>
      <c r="K322" s="4">
        <v>6.5599999999999992E-2</v>
      </c>
      <c r="L322" s="4">
        <v>6.9199999999999998E-2</v>
      </c>
      <c r="M322" s="4">
        <v>6.8499999999999991E-2</v>
      </c>
      <c r="N322" s="6">
        <f t="shared" si="16"/>
        <v>6.3679842051999988E-2</v>
      </c>
      <c r="O322" s="6">
        <f t="shared" si="17"/>
        <v>7.0962732919254631E-3</v>
      </c>
      <c r="P322" s="21">
        <f t="shared" si="18"/>
        <v>3.9197745508675315E-6</v>
      </c>
      <c r="Q322">
        <f t="shared" si="19"/>
        <v>3.2088201815234849</v>
      </c>
    </row>
    <row r="323" spans="1:17" x14ac:dyDescent="0.15">
      <c r="A323" s="3">
        <v>31656</v>
      </c>
      <c r="B323" s="4">
        <v>5.8899999999999994E-2</v>
      </c>
      <c r="C323" s="4">
        <v>6.1699999999999998E-2</v>
      </c>
      <c r="D323" s="4">
        <v>6.5599999999999992E-2</v>
      </c>
      <c r="E323" s="4">
        <v>6.9199999999999998E-2</v>
      </c>
      <c r="I323" s="3">
        <v>31656</v>
      </c>
      <c r="J323" s="4">
        <v>5.8899999999999994E-2</v>
      </c>
      <c r="K323" s="4">
        <v>6.1699999999999998E-2</v>
      </c>
      <c r="L323" s="4">
        <v>6.5599999999999992E-2</v>
      </c>
      <c r="M323" s="4">
        <v>6.9199999999999998E-2</v>
      </c>
      <c r="N323" s="6">
        <f t="shared" si="16"/>
        <v>6.0371660701000002E-2</v>
      </c>
      <c r="O323" s="6">
        <f t="shared" si="17"/>
        <v>4.2962732919254593E-3</v>
      </c>
      <c r="P323" s="21">
        <f t="shared" si="18"/>
        <v>2.165785218867834E-6</v>
      </c>
      <c r="Q323">
        <f t="shared" si="19"/>
        <v>2.498575044142628</v>
      </c>
    </row>
    <row r="324" spans="1:17" x14ac:dyDescent="0.15">
      <c r="A324" s="3">
        <v>31686</v>
      </c>
      <c r="B324" s="4">
        <v>5.8499999999999996E-2</v>
      </c>
      <c r="C324" s="4">
        <v>5.8899999999999994E-2</v>
      </c>
      <c r="D324" s="4">
        <v>6.1699999999999998E-2</v>
      </c>
      <c r="E324" s="4">
        <v>6.5599999999999992E-2</v>
      </c>
      <c r="I324" s="3">
        <v>31686</v>
      </c>
      <c r="J324" s="4">
        <v>5.8499999999999996E-2</v>
      </c>
      <c r="K324" s="4">
        <v>5.8899999999999994E-2</v>
      </c>
      <c r="L324" s="4">
        <v>6.1699999999999998E-2</v>
      </c>
      <c r="M324" s="4">
        <v>6.5599999999999992E-2</v>
      </c>
      <c r="N324" s="6">
        <f t="shared" si="16"/>
        <v>5.8152864348999994E-2</v>
      </c>
      <c r="O324" s="6">
        <f t="shared" si="17"/>
        <v>3.8962732919254617E-3</v>
      </c>
      <c r="P324" s="21">
        <f t="shared" si="18"/>
        <v>1.2050316019519541E-7</v>
      </c>
      <c r="Q324">
        <f t="shared" si="19"/>
        <v>0.59339427521367927</v>
      </c>
    </row>
    <row r="325" spans="1:17" x14ac:dyDescent="0.15">
      <c r="A325" s="3">
        <v>31717</v>
      </c>
      <c r="B325" s="4">
        <v>6.0400000000000002E-2</v>
      </c>
      <c r="C325" s="4">
        <v>5.8499999999999996E-2</v>
      </c>
      <c r="D325" s="4">
        <v>5.8899999999999994E-2</v>
      </c>
      <c r="E325" s="4">
        <v>6.1699999999999998E-2</v>
      </c>
      <c r="I325" s="3">
        <v>31717</v>
      </c>
      <c r="J325" s="4">
        <v>6.0400000000000002E-2</v>
      </c>
      <c r="K325" s="4">
        <v>5.8499999999999996E-2</v>
      </c>
      <c r="L325" s="4">
        <v>5.8899999999999994E-2</v>
      </c>
      <c r="M325" s="4">
        <v>6.1699999999999998E-2</v>
      </c>
      <c r="N325" s="6">
        <f t="shared" si="16"/>
        <v>5.8672990076999998E-2</v>
      </c>
      <c r="O325" s="6">
        <f t="shared" si="17"/>
        <v>5.7962732919254675E-3</v>
      </c>
      <c r="P325" s="21">
        <f t="shared" si="18"/>
        <v>2.9825632741404813E-6</v>
      </c>
      <c r="Q325">
        <f t="shared" si="19"/>
        <v>2.8592879519867624</v>
      </c>
    </row>
    <row r="326" spans="1:17" x14ac:dyDescent="0.15">
      <c r="A326" s="3">
        <v>31747</v>
      </c>
      <c r="B326" s="4">
        <v>6.9099999999999995E-2</v>
      </c>
      <c r="C326" s="4">
        <v>6.0400000000000002E-2</v>
      </c>
      <c r="D326" s="4">
        <v>5.8499999999999996E-2</v>
      </c>
      <c r="E326" s="4">
        <v>5.8899999999999994E-2</v>
      </c>
      <c r="I326" s="3">
        <v>31747</v>
      </c>
      <c r="J326" s="4">
        <v>6.9099999999999995E-2</v>
      </c>
      <c r="K326" s="4">
        <v>6.0400000000000002E-2</v>
      </c>
      <c r="L326" s="4">
        <v>5.8499999999999996E-2</v>
      </c>
      <c r="M326" s="4">
        <v>5.8899999999999994E-2</v>
      </c>
      <c r="N326" s="6">
        <f t="shared" si="16"/>
        <v>6.1213796972000002E-2</v>
      </c>
      <c r="O326" s="6">
        <f t="shared" si="17"/>
        <v>1.449627329192546E-2</v>
      </c>
      <c r="P326" s="21">
        <f t="shared" si="18"/>
        <v>6.2192198198836253E-5</v>
      </c>
      <c r="Q326">
        <f t="shared" si="19"/>
        <v>11.412739548480454</v>
      </c>
    </row>
    <row r="327" spans="1:17" x14ac:dyDescent="0.15">
      <c r="A327" s="3">
        <v>31778</v>
      </c>
      <c r="B327" s="4">
        <v>6.4299999999999996E-2</v>
      </c>
      <c r="C327" s="4">
        <v>6.9099999999999995E-2</v>
      </c>
      <c r="D327" s="4">
        <v>6.0400000000000002E-2</v>
      </c>
      <c r="E327" s="4">
        <v>5.8499999999999996E-2</v>
      </c>
      <c r="I327" s="3">
        <v>31778</v>
      </c>
      <c r="J327" s="4">
        <v>6.4299999999999996E-2</v>
      </c>
      <c r="K327" s="4">
        <v>6.9099999999999995E-2</v>
      </c>
      <c r="L327" s="4">
        <v>6.0400000000000002E-2</v>
      </c>
      <c r="M327" s="4">
        <v>5.8499999999999996E-2</v>
      </c>
      <c r="N327" s="6">
        <f t="shared" ref="N327:N390" si="20" xml:space="preserve"> 0.00063539 + 1.44140757*K327 - 0.611849*L327 + 0.15807396*M327</f>
        <v>7.2528300146999986E-2</v>
      </c>
      <c r="O327" s="6">
        <f t="shared" ref="O327:O390" si="21">ABS(J327-$U$32)</f>
        <v>9.6962732919254613E-3</v>
      </c>
      <c r="P327" s="21">
        <f t="shared" ref="P327:P390" si="22">(N327-J327)^2</f>
        <v>6.7704923309120052E-5</v>
      </c>
      <c r="Q327">
        <f t="shared" ref="Q327:Q390" si="23">ABS(N327-J327)/J327*100</f>
        <v>12.796734287713827</v>
      </c>
    </row>
    <row r="328" spans="1:17" x14ac:dyDescent="0.15">
      <c r="A328" s="3">
        <v>31809</v>
      </c>
      <c r="B328" s="4">
        <v>6.0999999999999999E-2</v>
      </c>
      <c r="C328" s="4">
        <v>6.4299999999999996E-2</v>
      </c>
      <c r="D328" s="4">
        <v>6.9099999999999995E-2</v>
      </c>
      <c r="E328" s="4">
        <v>6.0400000000000002E-2</v>
      </c>
      <c r="I328" s="3">
        <v>31809</v>
      </c>
      <c r="J328" s="4">
        <v>6.0999999999999999E-2</v>
      </c>
      <c r="K328" s="4">
        <v>6.4299999999999996E-2</v>
      </c>
      <c r="L328" s="4">
        <v>6.9099999999999995E-2</v>
      </c>
      <c r="M328" s="4">
        <v>6.0400000000000002E-2</v>
      </c>
      <c r="N328" s="6">
        <f t="shared" si="20"/>
        <v>6.0586798035E-2</v>
      </c>
      <c r="O328" s="6">
        <f t="shared" si="21"/>
        <v>6.3962732919254639E-3</v>
      </c>
      <c r="P328" s="21">
        <f t="shared" si="22"/>
        <v>1.7073586387985998E-7</v>
      </c>
      <c r="Q328">
        <f t="shared" si="23"/>
        <v>0.67738027049180083</v>
      </c>
    </row>
    <row r="329" spans="1:17" x14ac:dyDescent="0.15">
      <c r="A329" s="3">
        <v>31837</v>
      </c>
      <c r="B329" s="4">
        <v>6.13E-2</v>
      </c>
      <c r="C329" s="4">
        <v>6.0999999999999999E-2</v>
      </c>
      <c r="D329" s="4">
        <v>6.4299999999999996E-2</v>
      </c>
      <c r="E329" s="4">
        <v>6.9099999999999995E-2</v>
      </c>
      <c r="I329" s="3">
        <v>31837</v>
      </c>
      <c r="J329" s="4">
        <v>6.13E-2</v>
      </c>
      <c r="K329" s="4">
        <v>6.0999999999999999E-2</v>
      </c>
      <c r="L329" s="4">
        <v>6.4299999999999996E-2</v>
      </c>
      <c r="M329" s="4">
        <v>6.9099999999999995E-2</v>
      </c>
      <c r="N329" s="6">
        <f t="shared" si="20"/>
        <v>6.0142271706000006E-2</v>
      </c>
      <c r="O329" s="6">
        <f t="shared" si="21"/>
        <v>6.6962732919254656E-3</v>
      </c>
      <c r="P329" s="21">
        <f t="shared" si="22"/>
        <v>1.3403348027281383E-6</v>
      </c>
      <c r="Q329">
        <f t="shared" si="23"/>
        <v>1.8886269070146733</v>
      </c>
    </row>
    <row r="330" spans="1:17" x14ac:dyDescent="0.15">
      <c r="A330" s="3">
        <v>31868</v>
      </c>
      <c r="B330" s="4">
        <v>6.3700000000000007E-2</v>
      </c>
      <c r="C330" s="4">
        <v>6.13E-2</v>
      </c>
      <c r="D330" s="4">
        <v>6.0999999999999999E-2</v>
      </c>
      <c r="E330" s="4">
        <v>6.4299999999999996E-2</v>
      </c>
      <c r="I330" s="3">
        <v>31868</v>
      </c>
      <c r="J330" s="4">
        <v>6.3700000000000007E-2</v>
      </c>
      <c r="K330" s="4">
        <v>6.13E-2</v>
      </c>
      <c r="L330" s="4">
        <v>6.0999999999999999E-2</v>
      </c>
      <c r="M330" s="4">
        <v>6.4299999999999996E-2</v>
      </c>
      <c r="N330" s="6">
        <f t="shared" si="20"/>
        <v>6.1835040669000009E-2</v>
      </c>
      <c r="O330" s="6">
        <f t="shared" si="21"/>
        <v>9.0962732919254718E-3</v>
      </c>
      <c r="P330" s="21">
        <f t="shared" si="22"/>
        <v>3.4780733062839586E-6</v>
      </c>
      <c r="Q330">
        <f t="shared" si="23"/>
        <v>2.9277226546310793</v>
      </c>
    </row>
    <row r="331" spans="1:17" x14ac:dyDescent="0.15">
      <c r="A331" s="3">
        <v>31898</v>
      </c>
      <c r="B331" s="4">
        <v>6.8499999999999991E-2</v>
      </c>
      <c r="C331" s="4">
        <v>6.3700000000000007E-2</v>
      </c>
      <c r="D331" s="4">
        <v>6.13E-2</v>
      </c>
      <c r="E331" s="4">
        <v>6.0999999999999999E-2</v>
      </c>
      <c r="I331" s="3">
        <v>31898</v>
      </c>
      <c r="J331" s="4">
        <v>6.8499999999999991E-2</v>
      </c>
      <c r="K331" s="4">
        <v>6.3700000000000007E-2</v>
      </c>
      <c r="L331" s="4">
        <v>6.13E-2</v>
      </c>
      <c r="M331" s="4">
        <v>6.0999999999999999E-2</v>
      </c>
      <c r="N331" s="6">
        <f t="shared" si="20"/>
        <v>6.4589220069000003E-2</v>
      </c>
      <c r="O331" s="6">
        <f t="shared" si="21"/>
        <v>1.3896273291925457E-2</v>
      </c>
      <c r="P331" s="21">
        <f t="shared" si="22"/>
        <v>1.5294199668712275E-5</v>
      </c>
      <c r="Q331">
        <f t="shared" si="23"/>
        <v>5.7091677824817362</v>
      </c>
    </row>
    <row r="332" spans="1:17" x14ac:dyDescent="0.15">
      <c r="A332" s="3">
        <v>31929</v>
      </c>
      <c r="B332" s="4">
        <v>6.7299999999999999E-2</v>
      </c>
      <c r="C332" s="4">
        <v>6.8499999999999991E-2</v>
      </c>
      <c r="D332" s="4">
        <v>6.3700000000000007E-2</v>
      </c>
      <c r="E332" s="4">
        <v>6.13E-2</v>
      </c>
      <c r="I332" s="3">
        <v>31929</v>
      </c>
      <c r="J332" s="4">
        <v>6.7299999999999999E-2</v>
      </c>
      <c r="K332" s="4">
        <v>6.8499999999999991E-2</v>
      </c>
      <c r="L332" s="4">
        <v>6.3700000000000007E-2</v>
      </c>
      <c r="M332" s="4">
        <v>6.13E-2</v>
      </c>
      <c r="N332" s="6">
        <f t="shared" si="20"/>
        <v>7.0086960992999978E-2</v>
      </c>
      <c r="O332" s="6">
        <f t="shared" si="21"/>
        <v>1.2696273291925464E-2</v>
      </c>
      <c r="P332" s="21">
        <f t="shared" si="22"/>
        <v>7.7671515765034277E-6</v>
      </c>
      <c r="Q332">
        <f t="shared" si="23"/>
        <v>4.1411010297176514</v>
      </c>
    </row>
    <row r="333" spans="1:17" x14ac:dyDescent="0.15">
      <c r="A333" s="3">
        <v>31959</v>
      </c>
      <c r="B333" s="4">
        <v>6.5799999999999997E-2</v>
      </c>
      <c r="C333" s="4">
        <v>6.7299999999999999E-2</v>
      </c>
      <c r="D333" s="4">
        <v>6.8499999999999991E-2</v>
      </c>
      <c r="E333" s="4">
        <v>6.3700000000000007E-2</v>
      </c>
      <c r="I333" s="3">
        <v>31959</v>
      </c>
      <c r="J333" s="4">
        <v>6.5799999999999997E-2</v>
      </c>
      <c r="K333" s="4">
        <v>6.7299999999999999E-2</v>
      </c>
      <c r="L333" s="4">
        <v>6.8499999999999991E-2</v>
      </c>
      <c r="M333" s="4">
        <v>6.3700000000000007E-2</v>
      </c>
      <c r="N333" s="6">
        <f t="shared" si="20"/>
        <v>6.5799774213000012E-2</v>
      </c>
      <c r="O333" s="6">
        <f t="shared" si="21"/>
        <v>1.1196273291925463E-2</v>
      </c>
      <c r="P333" s="21">
        <f t="shared" si="22"/>
        <v>5.0979769362472232E-14</v>
      </c>
      <c r="Q333">
        <f t="shared" si="23"/>
        <v>3.4314133736404928E-4</v>
      </c>
    </row>
    <row r="334" spans="1:17" x14ac:dyDescent="0.15">
      <c r="A334" s="3">
        <v>31990</v>
      </c>
      <c r="B334" s="4">
        <v>6.7299999999999999E-2</v>
      </c>
      <c r="C334" s="4">
        <v>6.5799999999999997E-2</v>
      </c>
      <c r="D334" s="4">
        <v>6.7299999999999999E-2</v>
      </c>
      <c r="E334" s="4">
        <v>6.8499999999999991E-2</v>
      </c>
      <c r="I334" s="3">
        <v>31990</v>
      </c>
      <c r="J334" s="4">
        <v>6.7299999999999999E-2</v>
      </c>
      <c r="K334" s="4">
        <v>6.5799999999999997E-2</v>
      </c>
      <c r="L334" s="4">
        <v>6.7299999999999999E-2</v>
      </c>
      <c r="M334" s="4">
        <v>6.8499999999999991E-2</v>
      </c>
      <c r="N334" s="6">
        <f t="shared" si="20"/>
        <v>6.5130636665999997E-2</v>
      </c>
      <c r="O334" s="6">
        <f t="shared" si="21"/>
        <v>1.2696273291925464E-2</v>
      </c>
      <c r="P334" s="21">
        <f t="shared" si="22"/>
        <v>4.7061372749036038E-6</v>
      </c>
      <c r="Q334">
        <f t="shared" si="23"/>
        <v>3.2234224873699882</v>
      </c>
    </row>
    <row r="335" spans="1:17" x14ac:dyDescent="0.15">
      <c r="A335" s="3">
        <v>32021</v>
      </c>
      <c r="B335" s="4">
        <v>7.22E-2</v>
      </c>
      <c r="C335" s="4">
        <v>6.7299999999999999E-2</v>
      </c>
      <c r="D335" s="4">
        <v>6.5799999999999997E-2</v>
      </c>
      <c r="E335" s="4">
        <v>6.7299999999999999E-2</v>
      </c>
      <c r="I335" s="3">
        <v>32021</v>
      </c>
      <c r="J335" s="4">
        <v>7.22E-2</v>
      </c>
      <c r="K335" s="4">
        <v>6.7299999999999999E-2</v>
      </c>
      <c r="L335" s="4">
        <v>6.5799999999999997E-2</v>
      </c>
      <c r="M335" s="4">
        <v>6.7299999999999999E-2</v>
      </c>
      <c r="N335" s="6">
        <f t="shared" si="20"/>
        <v>6.8020832769000006E-2</v>
      </c>
      <c r="O335" s="6">
        <f t="shared" si="21"/>
        <v>1.7596273291925466E-2</v>
      </c>
      <c r="P335" s="21">
        <f t="shared" si="22"/>
        <v>1.7465438744664162E-5</v>
      </c>
      <c r="Q335">
        <f t="shared" si="23"/>
        <v>5.7883202645429286</v>
      </c>
    </row>
    <row r="336" spans="1:17" x14ac:dyDescent="0.15">
      <c r="A336" s="3">
        <v>32051</v>
      </c>
      <c r="B336" s="4">
        <v>7.2900000000000006E-2</v>
      </c>
      <c r="C336" s="4">
        <v>7.22E-2</v>
      </c>
      <c r="D336" s="4">
        <v>6.7299999999999999E-2</v>
      </c>
      <c r="E336" s="4">
        <v>6.5799999999999997E-2</v>
      </c>
      <c r="I336" s="3">
        <v>32051</v>
      </c>
      <c r="J336" s="4">
        <v>7.2900000000000006E-2</v>
      </c>
      <c r="K336" s="4">
        <v>7.22E-2</v>
      </c>
      <c r="L336" s="4">
        <v>6.7299999999999999E-2</v>
      </c>
      <c r="M336" s="4">
        <v>6.5799999999999997E-2</v>
      </c>
      <c r="N336" s="6">
        <f t="shared" si="20"/>
        <v>7.3928845421999997E-2</v>
      </c>
      <c r="O336" s="6">
        <f t="shared" si="21"/>
        <v>1.8296273291925472E-2</v>
      </c>
      <c r="P336" s="21">
        <f t="shared" si="22"/>
        <v>1.0585229023703395E-6</v>
      </c>
      <c r="Q336">
        <f t="shared" si="23"/>
        <v>1.41131059259258</v>
      </c>
    </row>
    <row r="337" spans="1:17" x14ac:dyDescent="0.15">
      <c r="A337" s="3">
        <v>32082</v>
      </c>
      <c r="B337" s="4">
        <v>6.6900000000000001E-2</v>
      </c>
      <c r="C337" s="4">
        <v>7.2900000000000006E-2</v>
      </c>
      <c r="D337" s="4">
        <v>7.22E-2</v>
      </c>
      <c r="E337" s="4">
        <v>6.7299999999999999E-2</v>
      </c>
      <c r="I337" s="3">
        <v>32082</v>
      </c>
      <c r="J337" s="4">
        <v>6.6900000000000001E-2</v>
      </c>
      <c r="K337" s="4">
        <v>7.2900000000000006E-2</v>
      </c>
      <c r="L337" s="4">
        <v>7.22E-2</v>
      </c>
      <c r="M337" s="4">
        <v>6.7299999999999999E-2</v>
      </c>
      <c r="N337" s="6">
        <f t="shared" si="20"/>
        <v>7.2176881561000009E-2</v>
      </c>
      <c r="O337" s="6">
        <f t="shared" si="21"/>
        <v>1.2296273291925466E-2</v>
      </c>
      <c r="P337" s="21">
        <f t="shared" si="22"/>
        <v>2.7845479008821877E-5</v>
      </c>
      <c r="Q337">
        <f t="shared" si="23"/>
        <v>7.8877153378176494</v>
      </c>
    </row>
    <row r="338" spans="1:17" x14ac:dyDescent="0.15">
      <c r="A338" s="3">
        <v>32112</v>
      </c>
      <c r="B338" s="4">
        <v>6.7699999999999996E-2</v>
      </c>
      <c r="C338" s="4">
        <v>6.6900000000000001E-2</v>
      </c>
      <c r="D338" s="4">
        <v>7.2900000000000006E-2</v>
      </c>
      <c r="E338" s="4">
        <v>7.22E-2</v>
      </c>
      <c r="I338" s="3">
        <v>32112</v>
      </c>
      <c r="J338" s="4">
        <v>6.7699999999999996E-2</v>
      </c>
      <c r="K338" s="4">
        <v>6.6900000000000001E-2</v>
      </c>
      <c r="L338" s="4">
        <v>7.2900000000000006E-2</v>
      </c>
      <c r="M338" s="4">
        <v>7.22E-2</v>
      </c>
      <c r="N338" s="6">
        <f t="shared" si="20"/>
        <v>6.3874704244999997E-2</v>
      </c>
      <c r="O338" s="6">
        <f t="shared" si="21"/>
        <v>1.3096273291925462E-2</v>
      </c>
      <c r="P338" s="21">
        <f t="shared" si="22"/>
        <v>1.4632887613221016E-5</v>
      </c>
      <c r="Q338">
        <f t="shared" si="23"/>
        <v>5.6503630059084191</v>
      </c>
    </row>
    <row r="339" spans="1:17" x14ac:dyDescent="0.15">
      <c r="A339" s="3">
        <v>32143</v>
      </c>
      <c r="B339" s="4">
        <v>6.83E-2</v>
      </c>
      <c r="C339" s="4">
        <v>6.7699999999999996E-2</v>
      </c>
      <c r="D339" s="4">
        <v>6.6900000000000001E-2</v>
      </c>
      <c r="E339" s="4">
        <v>7.2900000000000006E-2</v>
      </c>
      <c r="I339" s="3">
        <v>32143</v>
      </c>
      <c r="J339" s="4">
        <v>6.83E-2</v>
      </c>
      <c r="K339" s="4">
        <v>6.7699999999999996E-2</v>
      </c>
      <c r="L339" s="4">
        <v>6.6900000000000001E-2</v>
      </c>
      <c r="M339" s="4">
        <v>7.2900000000000006E-2</v>
      </c>
      <c r="N339" s="6">
        <f t="shared" si="20"/>
        <v>6.8809576073000006E-2</v>
      </c>
      <c r="O339" s="6">
        <f t="shared" si="21"/>
        <v>1.3696273291925465E-2</v>
      </c>
      <c r="P339" s="21">
        <f t="shared" si="22"/>
        <v>2.5966777417410796E-7</v>
      </c>
      <c r="Q339">
        <f t="shared" si="23"/>
        <v>0.74608502635432872</v>
      </c>
    </row>
    <row r="340" spans="1:17" x14ac:dyDescent="0.15">
      <c r="A340" s="3">
        <v>32174</v>
      </c>
      <c r="B340" s="4">
        <v>6.5799999999999997E-2</v>
      </c>
      <c r="C340" s="4">
        <v>6.83E-2</v>
      </c>
      <c r="D340" s="4">
        <v>6.7699999999999996E-2</v>
      </c>
      <c r="E340" s="4">
        <v>6.6900000000000001E-2</v>
      </c>
      <c r="I340" s="3">
        <v>32174</v>
      </c>
      <c r="J340" s="4">
        <v>6.5799999999999997E-2</v>
      </c>
      <c r="K340" s="4">
        <v>6.83E-2</v>
      </c>
      <c r="L340" s="4">
        <v>6.7699999999999996E-2</v>
      </c>
      <c r="M340" s="4">
        <v>6.6900000000000001E-2</v>
      </c>
      <c r="N340" s="6">
        <f t="shared" si="20"/>
        <v>6.8236497655000006E-2</v>
      </c>
      <c r="O340" s="6">
        <f t="shared" si="21"/>
        <v>1.1196273291925463E-2</v>
      </c>
      <c r="P340" s="21">
        <f t="shared" si="22"/>
        <v>5.9365208228205396E-6</v>
      </c>
      <c r="Q340">
        <f t="shared" si="23"/>
        <v>3.7028839741641466</v>
      </c>
    </row>
    <row r="341" spans="1:17" x14ac:dyDescent="0.15">
      <c r="A341" s="3">
        <v>32203</v>
      </c>
      <c r="B341" s="4">
        <v>6.5799999999999997E-2</v>
      </c>
      <c r="C341" s="4">
        <v>6.5799999999999997E-2</v>
      </c>
      <c r="D341" s="4">
        <v>6.83E-2</v>
      </c>
      <c r="E341" s="4">
        <v>6.7699999999999996E-2</v>
      </c>
      <c r="I341" s="3">
        <v>32203</v>
      </c>
      <c r="J341" s="4">
        <v>6.5799999999999997E-2</v>
      </c>
      <c r="K341" s="4">
        <v>6.5799999999999997E-2</v>
      </c>
      <c r="L341" s="4">
        <v>6.83E-2</v>
      </c>
      <c r="M341" s="4">
        <v>6.7699999999999996E-2</v>
      </c>
      <c r="N341" s="6">
        <f t="shared" si="20"/>
        <v>6.4392328498000001E-2</v>
      </c>
      <c r="O341" s="6">
        <f t="shared" si="21"/>
        <v>1.1196273291925463E-2</v>
      </c>
      <c r="P341" s="21">
        <f t="shared" si="22"/>
        <v>1.9815390575429258E-6</v>
      </c>
      <c r="Q341">
        <f t="shared" si="23"/>
        <v>2.1393183920972589</v>
      </c>
    </row>
    <row r="342" spans="1:17" x14ac:dyDescent="0.15">
      <c r="A342" s="3">
        <v>32234</v>
      </c>
      <c r="B342" s="4">
        <v>6.8699999999999997E-2</v>
      </c>
      <c r="C342" s="4">
        <v>6.5799999999999997E-2</v>
      </c>
      <c r="D342" s="4">
        <v>6.5799999999999997E-2</v>
      </c>
      <c r="E342" s="4">
        <v>6.83E-2</v>
      </c>
      <c r="I342" s="3">
        <v>32234</v>
      </c>
      <c r="J342" s="4">
        <v>6.8699999999999997E-2</v>
      </c>
      <c r="K342" s="4">
        <v>6.5799999999999997E-2</v>
      </c>
      <c r="L342" s="4">
        <v>6.5799999999999997E-2</v>
      </c>
      <c r="M342" s="4">
        <v>6.83E-2</v>
      </c>
      <c r="N342" s="6">
        <f t="shared" si="20"/>
        <v>6.6016795374000001E-2</v>
      </c>
      <c r="O342" s="6">
        <f t="shared" si="21"/>
        <v>1.4096273291925462E-2</v>
      </c>
      <c r="P342" s="21">
        <f t="shared" si="22"/>
        <v>7.1995870649877803E-6</v>
      </c>
      <c r="Q342">
        <f t="shared" si="23"/>
        <v>3.9056835895196458</v>
      </c>
    </row>
    <row r="343" spans="1:17" x14ac:dyDescent="0.15">
      <c r="A343" s="3">
        <v>32264</v>
      </c>
      <c r="B343" s="4">
        <v>7.0900000000000005E-2</v>
      </c>
      <c r="C343" s="4">
        <v>6.8699999999999997E-2</v>
      </c>
      <c r="D343" s="4">
        <v>6.5799999999999997E-2</v>
      </c>
      <c r="E343" s="4">
        <v>6.5799999999999997E-2</v>
      </c>
      <c r="I343" s="3">
        <v>32264</v>
      </c>
      <c r="J343" s="4">
        <v>7.0900000000000005E-2</v>
      </c>
      <c r="K343" s="4">
        <v>6.8699999999999997E-2</v>
      </c>
      <c r="L343" s="4">
        <v>6.5799999999999997E-2</v>
      </c>
      <c r="M343" s="4">
        <v>6.5799999999999997E-2</v>
      </c>
      <c r="N343" s="6">
        <f t="shared" si="20"/>
        <v>6.9801692426999989E-2</v>
      </c>
      <c r="O343" s="6">
        <f t="shared" si="21"/>
        <v>1.629627329192547E-2</v>
      </c>
      <c r="P343" s="21">
        <f t="shared" si="22"/>
        <v>1.2062795249091838E-6</v>
      </c>
      <c r="Q343">
        <f t="shared" si="23"/>
        <v>1.5490938970381032</v>
      </c>
    </row>
    <row r="344" spans="1:17" x14ac:dyDescent="0.15">
      <c r="A344" s="3">
        <v>32295</v>
      </c>
      <c r="B344" s="4">
        <v>7.51E-2</v>
      </c>
      <c r="C344" s="4">
        <v>7.0900000000000005E-2</v>
      </c>
      <c r="D344" s="4">
        <v>6.8699999999999997E-2</v>
      </c>
      <c r="E344" s="4">
        <v>6.5799999999999997E-2</v>
      </c>
      <c r="I344" s="3">
        <v>32295</v>
      </c>
      <c r="J344" s="4">
        <v>7.51E-2</v>
      </c>
      <c r="K344" s="4">
        <v>7.0900000000000005E-2</v>
      </c>
      <c r="L344" s="4">
        <v>6.8699999999999997E-2</v>
      </c>
      <c r="M344" s="4">
        <v>6.5799999999999997E-2</v>
      </c>
      <c r="N344" s="6">
        <f t="shared" si="20"/>
        <v>7.1198426980999999E-2</v>
      </c>
      <c r="O344" s="6">
        <f t="shared" si="21"/>
        <v>2.0496273291925465E-2</v>
      </c>
      <c r="P344" s="21">
        <f t="shared" si="22"/>
        <v>1.5222272022588785E-5</v>
      </c>
      <c r="Q344">
        <f t="shared" si="23"/>
        <v>5.1951704647137174</v>
      </c>
    </row>
    <row r="345" spans="1:17" x14ac:dyDescent="0.15">
      <c r="A345" s="3">
        <v>32325</v>
      </c>
      <c r="B345" s="4">
        <v>7.7499999999999999E-2</v>
      </c>
      <c r="C345" s="4">
        <v>7.51E-2</v>
      </c>
      <c r="D345" s="4">
        <v>7.0900000000000005E-2</v>
      </c>
      <c r="E345" s="4">
        <v>6.8699999999999997E-2</v>
      </c>
      <c r="I345" s="3">
        <v>32325</v>
      </c>
      <c r="J345" s="4">
        <v>7.7499999999999999E-2</v>
      </c>
      <c r="K345" s="4">
        <v>7.51E-2</v>
      </c>
      <c r="L345" s="4">
        <v>7.0900000000000005E-2</v>
      </c>
      <c r="M345" s="4">
        <v>6.8699999999999997E-2</v>
      </c>
      <c r="N345" s="6">
        <f t="shared" si="20"/>
        <v>7.6364685458999992E-2</v>
      </c>
      <c r="O345" s="6">
        <f t="shared" si="21"/>
        <v>2.2896273291925465E-2</v>
      </c>
      <c r="P345" s="21">
        <f t="shared" si="22"/>
        <v>1.2889391070060566E-6</v>
      </c>
      <c r="Q345">
        <f t="shared" si="23"/>
        <v>1.4649219883871059</v>
      </c>
    </row>
    <row r="346" spans="1:17" x14ac:dyDescent="0.15">
      <c r="A346" s="3">
        <v>32356</v>
      </c>
      <c r="B346" s="4">
        <v>8.0100000000000005E-2</v>
      </c>
      <c r="C346" s="4">
        <v>7.7499999999999999E-2</v>
      </c>
      <c r="D346" s="4">
        <v>7.51E-2</v>
      </c>
      <c r="E346" s="4">
        <v>7.0900000000000005E-2</v>
      </c>
      <c r="I346" s="3">
        <v>32356</v>
      </c>
      <c r="J346" s="4">
        <v>8.0100000000000005E-2</v>
      </c>
      <c r="K346" s="4">
        <v>7.7499999999999999E-2</v>
      </c>
      <c r="L346" s="4">
        <v>7.51E-2</v>
      </c>
      <c r="M346" s="4">
        <v>7.0900000000000005E-2</v>
      </c>
      <c r="N346" s="6">
        <f t="shared" si="20"/>
        <v>7.7602060538999998E-2</v>
      </c>
      <c r="O346" s="6">
        <f t="shared" si="21"/>
        <v>2.549627329192547E-2</v>
      </c>
      <c r="P346" s="21">
        <f t="shared" si="22"/>
        <v>6.2397015508210033E-6</v>
      </c>
      <c r="Q346">
        <f t="shared" si="23"/>
        <v>3.1185261685393337</v>
      </c>
    </row>
    <row r="347" spans="1:17" x14ac:dyDescent="0.15">
      <c r="A347" s="3">
        <v>32387</v>
      </c>
      <c r="B347" s="4">
        <v>8.1900000000000001E-2</v>
      </c>
      <c r="C347" s="4">
        <v>8.0100000000000005E-2</v>
      </c>
      <c r="D347" s="4">
        <v>7.7499999999999999E-2</v>
      </c>
      <c r="E347" s="4">
        <v>7.51E-2</v>
      </c>
      <c r="I347" s="3">
        <v>32387</v>
      </c>
      <c r="J347" s="4">
        <v>8.1900000000000001E-2</v>
      </c>
      <c r="K347" s="4">
        <v>8.0100000000000005E-2</v>
      </c>
      <c r="L347" s="4">
        <v>7.7499999999999999E-2</v>
      </c>
      <c r="M347" s="4">
        <v>7.51E-2</v>
      </c>
      <c r="N347" s="6">
        <f t="shared" si="20"/>
        <v>8.0545193252999997E-2</v>
      </c>
      <c r="O347" s="6">
        <f t="shared" si="21"/>
        <v>2.7296273291925466E-2</v>
      </c>
      <c r="P347" s="21">
        <f t="shared" si="22"/>
        <v>1.8355013217167318E-6</v>
      </c>
      <c r="Q347">
        <f t="shared" si="23"/>
        <v>1.6542206923076965</v>
      </c>
    </row>
    <row r="348" spans="1:17" x14ac:dyDescent="0.15">
      <c r="A348" s="3">
        <v>32417</v>
      </c>
      <c r="B348" s="4">
        <v>8.3000000000000004E-2</v>
      </c>
      <c r="C348" s="4">
        <v>8.1900000000000001E-2</v>
      </c>
      <c r="D348" s="4">
        <v>8.0100000000000005E-2</v>
      </c>
      <c r="E348" s="4">
        <v>7.7499999999999999E-2</v>
      </c>
      <c r="I348" s="3">
        <v>32417</v>
      </c>
      <c r="J348" s="4">
        <v>8.3000000000000004E-2</v>
      </c>
      <c r="K348" s="4">
        <v>8.1900000000000001E-2</v>
      </c>
      <c r="L348" s="4">
        <v>8.0100000000000005E-2</v>
      </c>
      <c r="M348" s="4">
        <v>7.7499999999999999E-2</v>
      </c>
      <c r="N348" s="6">
        <f t="shared" si="20"/>
        <v>8.1928296982999999E-2</v>
      </c>
      <c r="O348" s="6">
        <f t="shared" si="21"/>
        <v>2.839627329192547E-2</v>
      </c>
      <c r="P348" s="21">
        <f t="shared" si="22"/>
        <v>1.1485473566469148E-6</v>
      </c>
      <c r="Q348">
        <f t="shared" si="23"/>
        <v>1.2912084542168745</v>
      </c>
    </row>
    <row r="349" spans="1:17" x14ac:dyDescent="0.15">
      <c r="A349" s="3">
        <v>32448</v>
      </c>
      <c r="B349" s="4">
        <v>8.3499999999999991E-2</v>
      </c>
      <c r="C349" s="4">
        <v>8.3000000000000004E-2</v>
      </c>
      <c r="D349" s="4">
        <v>8.1900000000000001E-2</v>
      </c>
      <c r="E349" s="4">
        <v>8.0100000000000005E-2</v>
      </c>
      <c r="I349" s="3">
        <v>32448</v>
      </c>
      <c r="J349" s="4">
        <v>8.3499999999999991E-2</v>
      </c>
      <c r="K349" s="4">
        <v>8.3000000000000004E-2</v>
      </c>
      <c r="L349" s="4">
        <v>8.1900000000000001E-2</v>
      </c>
      <c r="M349" s="4">
        <v>8.0100000000000005E-2</v>
      </c>
      <c r="N349" s="6">
        <f t="shared" si="20"/>
        <v>8.2823509406000001E-2</v>
      </c>
      <c r="O349" s="6">
        <f t="shared" si="21"/>
        <v>2.8896273291925456E-2</v>
      </c>
      <c r="P349" s="21">
        <f t="shared" si="22"/>
        <v>4.5763952377045919E-7</v>
      </c>
      <c r="Q349">
        <f t="shared" si="23"/>
        <v>0.81016837604789216</v>
      </c>
    </row>
    <row r="350" spans="1:17" x14ac:dyDescent="0.15">
      <c r="A350" s="3">
        <v>32478</v>
      </c>
      <c r="B350" s="4">
        <v>8.7599999999999997E-2</v>
      </c>
      <c r="C350" s="4">
        <v>8.3499999999999991E-2</v>
      </c>
      <c r="D350" s="4">
        <v>8.3000000000000004E-2</v>
      </c>
      <c r="E350" s="4">
        <v>8.1900000000000001E-2</v>
      </c>
      <c r="I350" s="3">
        <v>32478</v>
      </c>
      <c r="J350" s="4">
        <v>8.7599999999999997E-2</v>
      </c>
      <c r="K350" s="4">
        <v>8.3499999999999991E-2</v>
      </c>
      <c r="L350" s="4">
        <v>8.3000000000000004E-2</v>
      </c>
      <c r="M350" s="4">
        <v>8.1900000000000001E-2</v>
      </c>
      <c r="N350" s="6">
        <f t="shared" si="20"/>
        <v>8.315571241899998E-2</v>
      </c>
      <c r="O350" s="6">
        <f t="shared" si="21"/>
        <v>3.2996273291925463E-2</v>
      </c>
      <c r="P350" s="21">
        <f t="shared" si="22"/>
        <v>1.9751692102630985E-5</v>
      </c>
      <c r="Q350">
        <f t="shared" si="23"/>
        <v>5.0733876495433989</v>
      </c>
    </row>
    <row r="351" spans="1:17" x14ac:dyDescent="0.15">
      <c r="A351" s="3">
        <v>32509</v>
      </c>
      <c r="B351" s="4">
        <v>9.1199999999999989E-2</v>
      </c>
      <c r="C351" s="4">
        <v>8.7599999999999997E-2</v>
      </c>
      <c r="D351" s="4">
        <v>8.3499999999999991E-2</v>
      </c>
      <c r="E351" s="4">
        <v>8.3000000000000004E-2</v>
      </c>
      <c r="I351" s="3">
        <v>32509</v>
      </c>
      <c r="J351" s="4">
        <v>9.1199999999999989E-2</v>
      </c>
      <c r="K351" s="4">
        <v>8.7599999999999997E-2</v>
      </c>
      <c r="L351" s="4">
        <v>8.3499999999999991E-2</v>
      </c>
      <c r="M351" s="4">
        <v>8.3000000000000004E-2</v>
      </c>
      <c r="N351" s="6">
        <f t="shared" si="20"/>
        <v>8.8933440312000012E-2</v>
      </c>
      <c r="O351" s="6">
        <f t="shared" si="21"/>
        <v>3.6596273291925455E-2</v>
      </c>
      <c r="P351" s="21">
        <f t="shared" si="22"/>
        <v>5.1372928192665564E-6</v>
      </c>
      <c r="Q351">
        <f t="shared" si="23"/>
        <v>2.4852628157894494</v>
      </c>
    </row>
    <row r="352" spans="1:17" x14ac:dyDescent="0.15">
      <c r="A352" s="3">
        <v>32540</v>
      </c>
      <c r="B352" s="4">
        <v>9.3599999999999989E-2</v>
      </c>
      <c r="C352" s="4">
        <v>9.1199999999999989E-2</v>
      </c>
      <c r="D352" s="4">
        <v>8.7599999999999997E-2</v>
      </c>
      <c r="E352" s="4">
        <v>8.3499999999999991E-2</v>
      </c>
      <c r="I352" s="3">
        <v>32540</v>
      </c>
      <c r="J352" s="4">
        <v>9.3599999999999989E-2</v>
      </c>
      <c r="K352" s="4">
        <v>9.1199999999999989E-2</v>
      </c>
      <c r="L352" s="4">
        <v>8.7599999999999997E-2</v>
      </c>
      <c r="M352" s="4">
        <v>8.3499999999999991E-2</v>
      </c>
      <c r="N352" s="6">
        <f t="shared" si="20"/>
        <v>9.1692963644000008E-2</v>
      </c>
      <c r="O352" s="6">
        <f t="shared" si="21"/>
        <v>3.8996273291925454E-2</v>
      </c>
      <c r="P352" s="21">
        <f t="shared" si="22"/>
        <v>3.6367876631056838E-6</v>
      </c>
      <c r="Q352">
        <f t="shared" si="23"/>
        <v>2.0374320042734833</v>
      </c>
    </row>
    <row r="353" spans="1:17" x14ac:dyDescent="0.15">
      <c r="A353" s="3">
        <v>32568</v>
      </c>
      <c r="B353" s="4">
        <v>9.849999999999999E-2</v>
      </c>
      <c r="C353" s="4">
        <v>9.3599999999999989E-2</v>
      </c>
      <c r="D353" s="4">
        <v>9.1199999999999989E-2</v>
      </c>
      <c r="E353" s="4">
        <v>8.7599999999999997E-2</v>
      </c>
      <c r="I353" s="3">
        <v>32568</v>
      </c>
      <c r="J353" s="4">
        <v>9.849999999999999E-2</v>
      </c>
      <c r="K353" s="4">
        <v>9.3599999999999989E-2</v>
      </c>
      <c r="L353" s="4">
        <v>9.1199999999999989E-2</v>
      </c>
      <c r="M353" s="4">
        <v>8.7599999999999997E-2</v>
      </c>
      <c r="N353" s="6">
        <f t="shared" si="20"/>
        <v>9.3597788647999988E-2</v>
      </c>
      <c r="O353" s="6">
        <f t="shared" si="21"/>
        <v>4.3896273291925456E-2</v>
      </c>
      <c r="P353" s="21">
        <f t="shared" si="22"/>
        <v>2.4031676139677688E-5</v>
      </c>
      <c r="Q353">
        <f t="shared" si="23"/>
        <v>4.9768643167512723</v>
      </c>
    </row>
    <row r="354" spans="1:17" x14ac:dyDescent="0.15">
      <c r="A354" s="3">
        <v>32599</v>
      </c>
      <c r="B354" s="4">
        <v>9.8400000000000001E-2</v>
      </c>
      <c r="C354" s="4">
        <v>9.849999999999999E-2</v>
      </c>
      <c r="D354" s="4">
        <v>9.3599999999999989E-2</v>
      </c>
      <c r="E354" s="4">
        <v>9.1199999999999989E-2</v>
      </c>
      <c r="I354" s="3">
        <v>32599</v>
      </c>
      <c r="J354" s="4">
        <v>9.8400000000000001E-2</v>
      </c>
      <c r="K354" s="4">
        <v>9.849999999999999E-2</v>
      </c>
      <c r="L354" s="4">
        <v>9.3599999999999989E-2</v>
      </c>
      <c r="M354" s="4">
        <v>9.1199999999999989E-2</v>
      </c>
      <c r="N354" s="6">
        <f t="shared" si="20"/>
        <v>9.9761314397000006E-2</v>
      </c>
      <c r="O354" s="6">
        <f t="shared" si="21"/>
        <v>4.3796273291925467E-2</v>
      </c>
      <c r="P354" s="21">
        <f t="shared" si="22"/>
        <v>1.8531768874794863E-6</v>
      </c>
      <c r="Q354">
        <f t="shared" si="23"/>
        <v>1.3834495904471591</v>
      </c>
    </row>
    <row r="355" spans="1:17" x14ac:dyDescent="0.15">
      <c r="A355" s="3">
        <v>32629</v>
      </c>
      <c r="B355" s="4">
        <v>9.8100000000000007E-2</v>
      </c>
      <c r="C355" s="4">
        <v>9.8400000000000001E-2</v>
      </c>
      <c r="D355" s="4">
        <v>9.849999999999999E-2</v>
      </c>
      <c r="E355" s="4">
        <v>9.3599999999999989E-2</v>
      </c>
      <c r="I355" s="3">
        <v>32629</v>
      </c>
      <c r="J355" s="4">
        <v>9.8100000000000007E-2</v>
      </c>
      <c r="K355" s="4">
        <v>9.8400000000000001E-2</v>
      </c>
      <c r="L355" s="4">
        <v>9.849999999999999E-2</v>
      </c>
      <c r="M355" s="4">
        <v>9.3599999999999989E-2</v>
      </c>
      <c r="N355" s="6">
        <f t="shared" si="20"/>
        <v>9.6998491044000032E-2</v>
      </c>
      <c r="O355" s="6">
        <f t="shared" si="21"/>
        <v>4.3496273291925472E-2</v>
      </c>
      <c r="P355" s="21">
        <f t="shared" si="22"/>
        <v>1.2133219801481541E-6</v>
      </c>
      <c r="Q355">
        <f t="shared" si="23"/>
        <v>1.1228429724770383</v>
      </c>
    </row>
    <row r="356" spans="1:17" x14ac:dyDescent="0.15">
      <c r="A356" s="3">
        <v>32660</v>
      </c>
      <c r="B356" s="4">
        <v>9.5299999999999996E-2</v>
      </c>
      <c r="C356" s="4">
        <v>9.8100000000000007E-2</v>
      </c>
      <c r="D356" s="4">
        <v>9.8400000000000001E-2</v>
      </c>
      <c r="E356" s="4">
        <v>9.849999999999999E-2</v>
      </c>
      <c r="I356" s="3">
        <v>32660</v>
      </c>
      <c r="J356" s="4">
        <v>9.5299999999999996E-2</v>
      </c>
      <c r="K356" s="4">
        <v>9.8100000000000007E-2</v>
      </c>
      <c r="L356" s="4">
        <v>9.8400000000000001E-2</v>
      </c>
      <c r="M356" s="4">
        <v>9.849999999999999E-2</v>
      </c>
      <c r="N356" s="6">
        <f t="shared" si="20"/>
        <v>9.740181607700002E-2</v>
      </c>
      <c r="O356" s="6">
        <f t="shared" si="21"/>
        <v>4.0696273291925461E-2</v>
      </c>
      <c r="P356" s="21">
        <f t="shared" si="22"/>
        <v>4.4176308215357701E-6</v>
      </c>
      <c r="Q356">
        <f t="shared" si="23"/>
        <v>2.2054733231899517</v>
      </c>
    </row>
    <row r="357" spans="1:17" x14ac:dyDescent="0.15">
      <c r="A357" s="3">
        <v>32690</v>
      </c>
      <c r="B357" s="4">
        <v>9.2399999999999996E-2</v>
      </c>
      <c r="C357" s="4">
        <v>9.5299999999999996E-2</v>
      </c>
      <c r="D357" s="4">
        <v>9.8100000000000007E-2</v>
      </c>
      <c r="E357" s="4">
        <v>9.8400000000000001E-2</v>
      </c>
      <c r="I357" s="3">
        <v>32690</v>
      </c>
      <c r="J357" s="4">
        <v>9.2399999999999996E-2</v>
      </c>
      <c r="K357" s="4">
        <v>9.5299999999999996E-2</v>
      </c>
      <c r="L357" s="4">
        <v>9.8100000000000007E-2</v>
      </c>
      <c r="M357" s="4">
        <v>9.8400000000000001E-2</v>
      </c>
      <c r="N357" s="6">
        <f t="shared" si="20"/>
        <v>9.3533622184999998E-2</v>
      </c>
      <c r="O357" s="6">
        <f t="shared" si="21"/>
        <v>3.7796273291925461E-2</v>
      </c>
      <c r="P357" s="21">
        <f t="shared" si="22"/>
        <v>1.2850992583241793E-6</v>
      </c>
      <c r="Q357">
        <f t="shared" si="23"/>
        <v>1.226863836580089</v>
      </c>
    </row>
    <row r="358" spans="1:17" x14ac:dyDescent="0.15">
      <c r="A358" s="3">
        <v>32721</v>
      </c>
      <c r="B358" s="4">
        <v>8.9900000000000008E-2</v>
      </c>
      <c r="C358" s="4">
        <v>9.2399999999999996E-2</v>
      </c>
      <c r="D358" s="4">
        <v>9.5299999999999996E-2</v>
      </c>
      <c r="E358" s="4">
        <v>9.8100000000000007E-2</v>
      </c>
      <c r="I358" s="3">
        <v>32721</v>
      </c>
      <c r="J358" s="4">
        <v>8.9900000000000008E-2</v>
      </c>
      <c r="K358" s="4">
        <v>9.2399999999999996E-2</v>
      </c>
      <c r="L358" s="4">
        <v>9.5299999999999996E-2</v>
      </c>
      <c r="M358" s="4">
        <v>9.8100000000000007E-2</v>
      </c>
      <c r="N358" s="6">
        <f t="shared" si="20"/>
        <v>9.1019295244000015E-2</v>
      </c>
      <c r="O358" s="6">
        <f t="shared" si="21"/>
        <v>3.5296273291925473E-2</v>
      </c>
      <c r="P358" s="21">
        <f t="shared" si="22"/>
        <v>1.2528218432410353E-6</v>
      </c>
      <c r="Q358">
        <f t="shared" si="23"/>
        <v>1.2450447652947796</v>
      </c>
    </row>
    <row r="359" spans="1:17" x14ac:dyDescent="0.15">
      <c r="A359" s="3">
        <v>32752</v>
      </c>
      <c r="B359" s="4">
        <v>9.0200000000000002E-2</v>
      </c>
      <c r="C359" s="4">
        <v>8.9900000000000008E-2</v>
      </c>
      <c r="D359" s="4">
        <v>9.2399999999999996E-2</v>
      </c>
      <c r="E359" s="4">
        <v>9.5299999999999996E-2</v>
      </c>
      <c r="I359" s="3">
        <v>32752</v>
      </c>
      <c r="J359" s="4">
        <v>9.0200000000000002E-2</v>
      </c>
      <c r="K359" s="4">
        <v>8.9900000000000008E-2</v>
      </c>
      <c r="L359" s="4">
        <v>9.2399999999999996E-2</v>
      </c>
      <c r="M359" s="4">
        <v>9.5299999999999996E-2</v>
      </c>
      <c r="N359" s="6">
        <f t="shared" si="20"/>
        <v>8.8747531331000024E-2</v>
      </c>
      <c r="O359" s="6">
        <f t="shared" si="21"/>
        <v>3.5596273291925468E-2</v>
      </c>
      <c r="P359" s="21">
        <f t="shared" si="22"/>
        <v>2.1096652344265702E-6</v>
      </c>
      <c r="Q359">
        <f t="shared" si="23"/>
        <v>1.6102756862527483</v>
      </c>
    </row>
    <row r="360" spans="1:17" x14ac:dyDescent="0.15">
      <c r="A360" s="3">
        <v>32782</v>
      </c>
      <c r="B360" s="4">
        <v>8.8399999999999992E-2</v>
      </c>
      <c r="C360" s="4">
        <v>9.0200000000000002E-2</v>
      </c>
      <c r="D360" s="4">
        <v>8.9900000000000008E-2</v>
      </c>
      <c r="E360" s="4">
        <v>9.2399999999999996E-2</v>
      </c>
      <c r="I360" s="3">
        <v>32782</v>
      </c>
      <c r="J360" s="4">
        <v>8.8399999999999992E-2</v>
      </c>
      <c r="K360" s="4">
        <v>9.0200000000000002E-2</v>
      </c>
      <c r="L360" s="4">
        <v>8.9900000000000008E-2</v>
      </c>
      <c r="M360" s="4">
        <v>9.2399999999999996E-2</v>
      </c>
      <c r="N360" s="6">
        <f t="shared" si="20"/>
        <v>9.0251161618000009E-2</v>
      </c>
      <c r="O360" s="6">
        <f t="shared" si="21"/>
        <v>3.3796273291925458E-2</v>
      </c>
      <c r="P360" s="21">
        <f t="shared" si="22"/>
        <v>3.426799335956438E-6</v>
      </c>
      <c r="Q360">
        <f t="shared" si="23"/>
        <v>2.0940742285068059</v>
      </c>
    </row>
    <row r="361" spans="1:17" x14ac:dyDescent="0.15">
      <c r="A361" s="3">
        <v>32813</v>
      </c>
      <c r="B361" s="4">
        <v>8.5500000000000007E-2</v>
      </c>
      <c r="C361" s="4">
        <v>8.8399999999999992E-2</v>
      </c>
      <c r="D361" s="4">
        <v>9.0200000000000002E-2</v>
      </c>
      <c r="E361" s="4">
        <v>8.9900000000000008E-2</v>
      </c>
      <c r="I361" s="3">
        <v>32813</v>
      </c>
      <c r="J361" s="4">
        <v>8.5500000000000007E-2</v>
      </c>
      <c r="K361" s="4">
        <v>8.8399999999999992E-2</v>
      </c>
      <c r="L361" s="4">
        <v>9.0200000000000002E-2</v>
      </c>
      <c r="M361" s="4">
        <v>8.9900000000000008E-2</v>
      </c>
      <c r="N361" s="6">
        <f t="shared" si="20"/>
        <v>8.7077888391999994E-2</v>
      </c>
      <c r="O361" s="6">
        <f t="shared" si="21"/>
        <v>3.0896273291925472E-2</v>
      </c>
      <c r="P361" s="21">
        <f t="shared" si="22"/>
        <v>2.4897317776083065E-6</v>
      </c>
      <c r="Q361">
        <f t="shared" si="23"/>
        <v>1.8454834994151899</v>
      </c>
    </row>
    <row r="362" spans="1:17" x14ac:dyDescent="0.15">
      <c r="A362" s="3">
        <v>32843</v>
      </c>
      <c r="B362" s="4">
        <v>8.4499999999999992E-2</v>
      </c>
      <c r="C362" s="4">
        <v>8.5500000000000007E-2</v>
      </c>
      <c r="D362" s="4">
        <v>8.8399999999999992E-2</v>
      </c>
      <c r="E362" s="4">
        <v>9.0200000000000002E-2</v>
      </c>
      <c r="I362" s="3">
        <v>32843</v>
      </c>
      <c r="J362" s="4">
        <v>8.4499999999999992E-2</v>
      </c>
      <c r="K362" s="4">
        <v>8.5500000000000007E-2</v>
      </c>
      <c r="L362" s="4">
        <v>8.8399999999999992E-2</v>
      </c>
      <c r="M362" s="4">
        <v>9.0200000000000002E-2</v>
      </c>
      <c r="N362" s="6">
        <f t="shared" si="20"/>
        <v>8.4046556827000005E-2</v>
      </c>
      <c r="O362" s="6">
        <f t="shared" si="21"/>
        <v>2.9896273291925457E-2</v>
      </c>
      <c r="P362" s="21">
        <f t="shared" si="22"/>
        <v>2.0561071114029628E-7</v>
      </c>
      <c r="Q362">
        <f t="shared" si="23"/>
        <v>0.53661913964495533</v>
      </c>
    </row>
    <row r="363" spans="1:17" x14ac:dyDescent="0.15">
      <c r="A363" s="3">
        <v>32874</v>
      </c>
      <c r="B363" s="4">
        <v>8.2299999999999998E-2</v>
      </c>
      <c r="C363" s="4">
        <v>8.4499999999999992E-2</v>
      </c>
      <c r="D363" s="4">
        <v>8.5500000000000007E-2</v>
      </c>
      <c r="E363" s="4">
        <v>8.8399999999999992E-2</v>
      </c>
      <c r="I363" s="3">
        <v>32874</v>
      </c>
      <c r="J363" s="4">
        <v>8.2299999999999998E-2</v>
      </c>
      <c r="K363" s="4">
        <v>8.4499999999999992E-2</v>
      </c>
      <c r="L363" s="4">
        <v>8.5500000000000007E-2</v>
      </c>
      <c r="M363" s="4">
        <v>8.8399999999999992E-2</v>
      </c>
      <c r="N363" s="6">
        <f t="shared" si="20"/>
        <v>8.4094978228999986E-2</v>
      </c>
      <c r="O363" s="6">
        <f t="shared" si="21"/>
        <v>2.7696273291925463E-2</v>
      </c>
      <c r="P363" s="21">
        <f t="shared" si="22"/>
        <v>3.2219468425839342E-6</v>
      </c>
      <c r="Q363">
        <f t="shared" si="23"/>
        <v>2.1810185042527195</v>
      </c>
    </row>
    <row r="364" spans="1:17" x14ac:dyDescent="0.15">
      <c r="A364" s="3">
        <v>32905</v>
      </c>
      <c r="B364" s="4">
        <v>8.2400000000000001E-2</v>
      </c>
      <c r="C364" s="4">
        <v>8.2299999999999998E-2</v>
      </c>
      <c r="D364" s="4">
        <v>8.4499999999999992E-2</v>
      </c>
      <c r="E364" s="4">
        <v>8.5500000000000007E-2</v>
      </c>
      <c r="I364" s="3">
        <v>32905</v>
      </c>
      <c r="J364" s="4">
        <v>8.2400000000000001E-2</v>
      </c>
      <c r="K364" s="4">
        <v>8.2299999999999998E-2</v>
      </c>
      <c r="L364" s="4">
        <v>8.4499999999999992E-2</v>
      </c>
      <c r="M364" s="4">
        <v>8.5500000000000007E-2</v>
      </c>
      <c r="N364" s="6">
        <f t="shared" si="20"/>
        <v>8.1077316090999996E-2</v>
      </c>
      <c r="O364" s="6">
        <f t="shared" si="21"/>
        <v>2.7796273291925466E-2</v>
      </c>
      <c r="P364" s="21">
        <f t="shared" si="22"/>
        <v>1.7494927231275343E-6</v>
      </c>
      <c r="Q364">
        <f t="shared" si="23"/>
        <v>1.6051989186893267</v>
      </c>
    </row>
    <row r="365" spans="1:17" x14ac:dyDescent="0.15">
      <c r="A365" s="3">
        <v>32933</v>
      </c>
      <c r="B365" s="4">
        <v>8.2799999999999999E-2</v>
      </c>
      <c r="C365" s="4">
        <v>8.2400000000000001E-2</v>
      </c>
      <c r="D365" s="4">
        <v>8.2299999999999998E-2</v>
      </c>
      <c r="E365" s="4">
        <v>8.4499999999999992E-2</v>
      </c>
      <c r="I365" s="3">
        <v>32933</v>
      </c>
      <c r="J365" s="4">
        <v>8.2799999999999999E-2</v>
      </c>
      <c r="K365" s="4">
        <v>8.2400000000000001E-2</v>
      </c>
      <c r="L365" s="4">
        <v>8.2299999999999998E-2</v>
      </c>
      <c r="M365" s="4">
        <v>8.4499999999999992E-2</v>
      </c>
      <c r="N365" s="6">
        <f t="shared" si="20"/>
        <v>8.2409450687999999E-2</v>
      </c>
      <c r="O365" s="6">
        <f t="shared" si="21"/>
        <v>2.8196273291925464E-2</v>
      </c>
      <c r="P365" s="21">
        <f t="shared" si="22"/>
        <v>1.5252876510367273E-7</v>
      </c>
      <c r="Q365">
        <f t="shared" si="23"/>
        <v>0.47167791304347734</v>
      </c>
    </row>
    <row r="366" spans="1:17" x14ac:dyDescent="0.15">
      <c r="A366" s="3">
        <v>32964</v>
      </c>
      <c r="B366" s="4">
        <v>8.2599999999999993E-2</v>
      </c>
      <c r="C366" s="4">
        <v>8.2799999999999999E-2</v>
      </c>
      <c r="D366" s="4">
        <v>8.2400000000000001E-2</v>
      </c>
      <c r="E366" s="4">
        <v>8.2299999999999998E-2</v>
      </c>
      <c r="I366" s="3">
        <v>32964</v>
      </c>
      <c r="J366" s="4">
        <v>8.2599999999999993E-2</v>
      </c>
      <c r="K366" s="4">
        <v>8.2799999999999999E-2</v>
      </c>
      <c r="L366" s="4">
        <v>8.2400000000000001E-2</v>
      </c>
      <c r="M366" s="4">
        <v>8.2299999999999998E-2</v>
      </c>
      <c r="N366" s="6">
        <f t="shared" si="20"/>
        <v>8.2577066104000008E-2</v>
      </c>
      <c r="O366" s="6">
        <f t="shared" si="21"/>
        <v>2.7996273291925458E-2</v>
      </c>
      <c r="P366" s="21">
        <f t="shared" si="22"/>
        <v>5.2596358573814171E-10</v>
      </c>
      <c r="Q366">
        <f t="shared" si="23"/>
        <v>2.7765007263904722E-2</v>
      </c>
    </row>
    <row r="367" spans="1:17" x14ac:dyDescent="0.15">
      <c r="A367" s="3">
        <v>32994</v>
      </c>
      <c r="B367" s="4">
        <v>8.1799999999999998E-2</v>
      </c>
      <c r="C367" s="4">
        <v>8.2599999999999993E-2</v>
      </c>
      <c r="D367" s="4">
        <v>8.2799999999999999E-2</v>
      </c>
      <c r="E367" s="4">
        <v>8.2400000000000001E-2</v>
      </c>
      <c r="I367" s="3">
        <v>32994</v>
      </c>
      <c r="J367" s="4">
        <v>8.1799999999999998E-2</v>
      </c>
      <c r="K367" s="4">
        <v>8.2599999999999993E-2</v>
      </c>
      <c r="L367" s="4">
        <v>8.2799999999999999E-2</v>
      </c>
      <c r="M367" s="4">
        <v>8.2400000000000001E-2</v>
      </c>
      <c r="N367" s="6">
        <f t="shared" si="20"/>
        <v>8.2059852385999985E-2</v>
      </c>
      <c r="O367" s="6">
        <f t="shared" si="21"/>
        <v>2.7196273291925463E-2</v>
      </c>
      <c r="P367" s="21">
        <f t="shared" si="22"/>
        <v>6.7523262509886159E-8</v>
      </c>
      <c r="Q367">
        <f t="shared" si="23"/>
        <v>0.31766795354521615</v>
      </c>
    </row>
    <row r="368" spans="1:17" x14ac:dyDescent="0.15">
      <c r="A368" s="3">
        <v>33025</v>
      </c>
      <c r="B368" s="4">
        <v>8.2899999999999988E-2</v>
      </c>
      <c r="C368" s="4">
        <v>8.1799999999999998E-2</v>
      </c>
      <c r="D368" s="4">
        <v>8.2599999999999993E-2</v>
      </c>
      <c r="E368" s="4">
        <v>8.2799999999999999E-2</v>
      </c>
      <c r="I368" s="3">
        <v>33025</v>
      </c>
      <c r="J368" s="4">
        <v>8.2899999999999988E-2</v>
      </c>
      <c r="K368" s="4">
        <v>8.1799999999999998E-2</v>
      </c>
      <c r="L368" s="4">
        <v>8.2599999999999993E-2</v>
      </c>
      <c r="M368" s="4">
        <v>8.2799999999999999E-2</v>
      </c>
      <c r="N368" s="6">
        <f t="shared" si="20"/>
        <v>8.1092325713999991E-2</v>
      </c>
      <c r="O368" s="6">
        <f t="shared" si="21"/>
        <v>2.8296273291925453E-2</v>
      </c>
      <c r="P368" s="21">
        <f t="shared" si="22"/>
        <v>3.2676863242655978E-6</v>
      </c>
      <c r="Q368">
        <f t="shared" si="23"/>
        <v>2.1805479927623606</v>
      </c>
    </row>
    <row r="369" spans="1:17" x14ac:dyDescent="0.15">
      <c r="A369" s="3">
        <v>33055</v>
      </c>
      <c r="B369" s="4">
        <v>8.1500000000000003E-2</v>
      </c>
      <c r="C369" s="4">
        <v>8.2899999999999988E-2</v>
      </c>
      <c r="D369" s="4">
        <v>8.1799999999999998E-2</v>
      </c>
      <c r="E369" s="4">
        <v>8.2599999999999993E-2</v>
      </c>
      <c r="I369" s="3">
        <v>33055</v>
      </c>
      <c r="J369" s="4">
        <v>8.1500000000000003E-2</v>
      </c>
      <c r="K369" s="4">
        <v>8.2899999999999988E-2</v>
      </c>
      <c r="L369" s="4">
        <v>8.1799999999999998E-2</v>
      </c>
      <c r="M369" s="4">
        <v>8.2599999999999993E-2</v>
      </c>
      <c r="N369" s="6">
        <f t="shared" si="20"/>
        <v>8.3135738448999991E-2</v>
      </c>
      <c r="O369" s="6">
        <f t="shared" si="21"/>
        <v>2.6896273291925468E-2</v>
      </c>
      <c r="P369" s="21">
        <f t="shared" si="22"/>
        <v>2.6756402735368852E-6</v>
      </c>
      <c r="Q369">
        <f t="shared" si="23"/>
        <v>2.007041041717776</v>
      </c>
    </row>
    <row r="370" spans="1:17" x14ac:dyDescent="0.15">
      <c r="A370" s="3">
        <v>33086</v>
      </c>
      <c r="B370" s="4">
        <v>8.1300000000000011E-2</v>
      </c>
      <c r="C370" s="4">
        <v>8.1500000000000003E-2</v>
      </c>
      <c r="D370" s="4">
        <v>8.2899999999999988E-2</v>
      </c>
      <c r="E370" s="4">
        <v>8.1799999999999998E-2</v>
      </c>
      <c r="I370" s="3">
        <v>33086</v>
      </c>
      <c r="J370" s="4">
        <v>8.1300000000000011E-2</v>
      </c>
      <c r="K370" s="4">
        <v>8.1500000000000003E-2</v>
      </c>
      <c r="L370" s="4">
        <v>8.2899999999999988E-2</v>
      </c>
      <c r="M370" s="4">
        <v>8.1799999999999998E-2</v>
      </c>
      <c r="N370" s="6">
        <f t="shared" si="20"/>
        <v>8.0318274783000021E-2</v>
      </c>
      <c r="O370" s="6">
        <f t="shared" si="21"/>
        <v>2.6696273291925476E-2</v>
      </c>
      <c r="P370" s="21">
        <f t="shared" si="22"/>
        <v>9.6378440169367768E-7</v>
      </c>
      <c r="Q370">
        <f t="shared" si="23"/>
        <v>1.2075340922509104</v>
      </c>
    </row>
    <row r="371" spans="1:17" x14ac:dyDescent="0.15">
      <c r="A371" s="3">
        <v>33117</v>
      </c>
      <c r="B371" s="4">
        <v>8.199999999999999E-2</v>
      </c>
      <c r="C371" s="4">
        <v>8.1300000000000011E-2</v>
      </c>
      <c r="D371" s="4">
        <v>8.1500000000000003E-2</v>
      </c>
      <c r="E371" s="4">
        <v>8.2899999999999988E-2</v>
      </c>
      <c r="I371" s="3">
        <v>33117</v>
      </c>
      <c r="J371" s="4">
        <v>8.199999999999999E-2</v>
      </c>
      <c r="K371" s="4">
        <v>8.1300000000000011E-2</v>
      </c>
      <c r="L371" s="4">
        <v>8.1500000000000003E-2</v>
      </c>
      <c r="M371" s="4">
        <v>8.2899999999999988E-2</v>
      </c>
      <c r="N371" s="6">
        <f t="shared" si="20"/>
        <v>8.1060463225000018E-2</v>
      </c>
      <c r="O371" s="6">
        <f t="shared" si="21"/>
        <v>2.7396273291925455E-2</v>
      </c>
      <c r="P371" s="21">
        <f t="shared" si="22"/>
        <v>8.8272935157734739E-7</v>
      </c>
      <c r="Q371">
        <f t="shared" si="23"/>
        <v>1.1457765548780146</v>
      </c>
    </row>
    <row r="372" spans="1:17" x14ac:dyDescent="0.15">
      <c r="A372" s="3">
        <v>33147</v>
      </c>
      <c r="B372" s="4">
        <v>8.1099999999999992E-2</v>
      </c>
      <c r="C372" s="4">
        <v>8.199999999999999E-2</v>
      </c>
      <c r="D372" s="4">
        <v>8.1300000000000011E-2</v>
      </c>
      <c r="E372" s="4">
        <v>8.1500000000000003E-2</v>
      </c>
      <c r="I372" s="3">
        <v>33147</v>
      </c>
      <c r="J372" s="4">
        <v>8.1099999999999992E-2</v>
      </c>
      <c r="K372" s="4">
        <v>8.199999999999999E-2</v>
      </c>
      <c r="L372" s="4">
        <v>8.1300000000000011E-2</v>
      </c>
      <c r="M372" s="4">
        <v>8.1500000000000003E-2</v>
      </c>
      <c r="N372" s="6">
        <f t="shared" si="20"/>
        <v>8.1970514779999976E-2</v>
      </c>
      <c r="O372" s="6">
        <f t="shared" si="21"/>
        <v>2.6496273291925457E-2</v>
      </c>
      <c r="P372" s="21">
        <f t="shared" si="22"/>
        <v>7.5779598219842065E-7</v>
      </c>
      <c r="Q372">
        <f t="shared" si="23"/>
        <v>1.073384438964222</v>
      </c>
    </row>
    <row r="373" spans="1:17" x14ac:dyDescent="0.15">
      <c r="A373" s="3">
        <v>33178</v>
      </c>
      <c r="B373" s="4">
        <v>7.8100000000000003E-2</v>
      </c>
      <c r="C373" s="4">
        <v>8.1099999999999992E-2</v>
      </c>
      <c r="D373" s="4">
        <v>8.199999999999999E-2</v>
      </c>
      <c r="E373" s="4">
        <v>8.1300000000000011E-2</v>
      </c>
      <c r="I373" s="3">
        <v>33178</v>
      </c>
      <c r="J373" s="4">
        <v>7.8100000000000003E-2</v>
      </c>
      <c r="K373" s="4">
        <v>8.1099999999999992E-2</v>
      </c>
      <c r="L373" s="4">
        <v>8.199999999999999E-2</v>
      </c>
      <c r="M373" s="4">
        <v>8.1300000000000011E-2</v>
      </c>
      <c r="N373" s="6">
        <f t="shared" si="20"/>
        <v>8.0213338874999998E-2</v>
      </c>
      <c r="O373" s="6">
        <f t="shared" si="21"/>
        <v>2.3496273291925468E-2</v>
      </c>
      <c r="P373" s="21">
        <f t="shared" si="22"/>
        <v>4.4662012005862466E-6</v>
      </c>
      <c r="Q373">
        <f t="shared" si="23"/>
        <v>2.7059396606914152</v>
      </c>
    </row>
    <row r="374" spans="1:17" x14ac:dyDescent="0.15">
      <c r="A374" s="3">
        <v>33208</v>
      </c>
      <c r="B374" s="4">
        <v>7.3099999999999998E-2</v>
      </c>
      <c r="C374" s="4">
        <v>7.8100000000000003E-2</v>
      </c>
      <c r="D374" s="4">
        <v>8.1099999999999992E-2</v>
      </c>
      <c r="E374" s="4">
        <v>8.199999999999999E-2</v>
      </c>
      <c r="I374" s="3">
        <v>33208</v>
      </c>
      <c r="J374" s="4">
        <v>7.3099999999999998E-2</v>
      </c>
      <c r="K374" s="4">
        <v>7.8100000000000003E-2</v>
      </c>
      <c r="L374" s="4">
        <v>8.1099999999999992E-2</v>
      </c>
      <c r="M374" s="4">
        <v>8.199999999999999E-2</v>
      </c>
      <c r="N374" s="6">
        <f t="shared" si="20"/>
        <v>7.6550432037000016E-2</v>
      </c>
      <c r="O374" s="6">
        <f t="shared" si="21"/>
        <v>1.8496273291925464E-2</v>
      </c>
      <c r="P374" s="21">
        <f t="shared" si="22"/>
        <v>1.1905481241956089E-5</v>
      </c>
      <c r="Q374">
        <f t="shared" si="23"/>
        <v>4.720153265389901</v>
      </c>
    </row>
    <row r="375" spans="1:17" x14ac:dyDescent="0.15">
      <c r="A375" s="3">
        <v>33239</v>
      </c>
      <c r="B375" s="4">
        <v>6.9099999999999995E-2</v>
      </c>
      <c r="C375" s="4">
        <v>7.3099999999999998E-2</v>
      </c>
      <c r="D375" s="4">
        <v>7.8100000000000003E-2</v>
      </c>
      <c r="E375" s="4">
        <v>8.1099999999999992E-2</v>
      </c>
      <c r="I375" s="3">
        <v>33239</v>
      </c>
      <c r="J375" s="4">
        <v>6.9099999999999995E-2</v>
      </c>
      <c r="K375" s="4">
        <v>7.3099999999999998E-2</v>
      </c>
      <c r="L375" s="4">
        <v>7.8100000000000003E-2</v>
      </c>
      <c r="M375" s="4">
        <v>8.1099999999999992E-2</v>
      </c>
      <c r="N375" s="6">
        <f t="shared" si="20"/>
        <v>7.1036674622999993E-2</v>
      </c>
      <c r="O375" s="6">
        <f t="shared" si="21"/>
        <v>1.449627329192546E-2</v>
      </c>
      <c r="P375" s="21">
        <f t="shared" si="22"/>
        <v>3.7507085953721849E-6</v>
      </c>
      <c r="Q375">
        <f t="shared" si="23"/>
        <v>2.8027129131693176</v>
      </c>
    </row>
    <row r="376" spans="1:17" x14ac:dyDescent="0.15">
      <c r="A376" s="3">
        <v>33270</v>
      </c>
      <c r="B376" s="4">
        <v>6.25E-2</v>
      </c>
      <c r="C376" s="4">
        <v>6.9099999999999995E-2</v>
      </c>
      <c r="D376" s="4">
        <v>7.3099999999999998E-2</v>
      </c>
      <c r="E376" s="4">
        <v>7.8100000000000003E-2</v>
      </c>
      <c r="I376" s="3">
        <v>33270</v>
      </c>
      <c r="J376" s="4">
        <v>6.25E-2</v>
      </c>
      <c r="K376" s="4">
        <v>6.9099999999999995E-2</v>
      </c>
      <c r="L376" s="4">
        <v>7.3099999999999998E-2</v>
      </c>
      <c r="M376" s="4">
        <v>7.8100000000000003E-2</v>
      </c>
      <c r="N376" s="6">
        <f t="shared" si="20"/>
        <v>6.7856067462999992E-2</v>
      </c>
      <c r="O376" s="6">
        <f t="shared" si="21"/>
        <v>7.8962732919254652E-3</v>
      </c>
      <c r="P376" s="21">
        <f t="shared" si="22"/>
        <v>2.8687458668207166E-5</v>
      </c>
      <c r="Q376">
        <f t="shared" si="23"/>
        <v>8.5697079407999865</v>
      </c>
    </row>
    <row r="377" spans="1:17" x14ac:dyDescent="0.15">
      <c r="A377" s="3">
        <v>33298</v>
      </c>
      <c r="B377" s="4">
        <v>6.1200000000000004E-2</v>
      </c>
      <c r="C377" s="4">
        <v>6.25E-2</v>
      </c>
      <c r="D377" s="4">
        <v>6.9099999999999995E-2</v>
      </c>
      <c r="E377" s="4">
        <v>7.3099999999999998E-2</v>
      </c>
      <c r="I377" s="3">
        <v>33298</v>
      </c>
      <c r="J377" s="4">
        <v>6.1200000000000004E-2</v>
      </c>
      <c r="K377" s="4">
        <v>6.25E-2</v>
      </c>
      <c r="L377" s="4">
        <v>6.9099999999999995E-2</v>
      </c>
      <c r="M377" s="4">
        <v>7.3099999999999998E-2</v>
      </c>
      <c r="N377" s="6">
        <f t="shared" si="20"/>
        <v>5.9999803701000005E-2</v>
      </c>
      <c r="O377" s="6">
        <f t="shared" si="21"/>
        <v>6.5962732919254696E-3</v>
      </c>
      <c r="P377" s="21">
        <f t="shared" si="22"/>
        <v>1.440471156133295E-6</v>
      </c>
      <c r="Q377">
        <f t="shared" si="23"/>
        <v>1.9611050637254883</v>
      </c>
    </row>
    <row r="378" spans="1:17" x14ac:dyDescent="0.15">
      <c r="A378" s="3">
        <v>33329</v>
      </c>
      <c r="B378" s="4">
        <v>5.91E-2</v>
      </c>
      <c r="C378" s="4">
        <v>6.1200000000000004E-2</v>
      </c>
      <c r="D378" s="4">
        <v>6.25E-2</v>
      </c>
      <c r="E378" s="4">
        <v>6.9099999999999995E-2</v>
      </c>
      <c r="I378" s="3">
        <v>33329</v>
      </c>
      <c r="J378" s="4">
        <v>5.91E-2</v>
      </c>
      <c r="K378" s="4">
        <v>6.1200000000000004E-2</v>
      </c>
      <c r="L378" s="4">
        <v>6.25E-2</v>
      </c>
      <c r="M378" s="4">
        <v>6.9099999999999995E-2</v>
      </c>
      <c r="N378" s="6">
        <f t="shared" si="20"/>
        <v>6.1531881420000004E-2</v>
      </c>
      <c r="O378" s="6">
        <f t="shared" si="21"/>
        <v>4.496273291925465E-3</v>
      </c>
      <c r="P378" s="21">
        <f t="shared" si="22"/>
        <v>5.9140472409412348E-6</v>
      </c>
      <c r="Q378">
        <f t="shared" si="23"/>
        <v>4.1148585786802094</v>
      </c>
    </row>
    <row r="379" spans="1:17" x14ac:dyDescent="0.15">
      <c r="A379" s="3">
        <v>33359</v>
      </c>
      <c r="B379" s="4">
        <v>5.7800000000000004E-2</v>
      </c>
      <c r="C379" s="4">
        <v>5.91E-2</v>
      </c>
      <c r="D379" s="4">
        <v>6.1200000000000004E-2</v>
      </c>
      <c r="E379" s="4">
        <v>6.25E-2</v>
      </c>
      <c r="I379" s="3">
        <v>33359</v>
      </c>
      <c r="J379" s="4">
        <v>5.7800000000000004E-2</v>
      </c>
      <c r="K379" s="4">
        <v>5.91E-2</v>
      </c>
      <c r="L379" s="4">
        <v>6.1200000000000004E-2</v>
      </c>
      <c r="M379" s="4">
        <v>6.25E-2</v>
      </c>
      <c r="N379" s="6">
        <f t="shared" si="20"/>
        <v>5.8257041087E-2</v>
      </c>
      <c r="O379" s="6">
        <f t="shared" si="21"/>
        <v>3.1962732919254694E-3</v>
      </c>
      <c r="P379" s="21">
        <f t="shared" si="22"/>
        <v>2.0888655520613773E-7</v>
      </c>
      <c r="Q379">
        <f t="shared" si="23"/>
        <v>0.79072852422144602</v>
      </c>
    </row>
    <row r="380" spans="1:17" x14ac:dyDescent="0.15">
      <c r="A380" s="3">
        <v>33390</v>
      </c>
      <c r="B380" s="4">
        <v>5.9000000000000004E-2</v>
      </c>
      <c r="C380" s="4">
        <v>5.7800000000000004E-2</v>
      </c>
      <c r="D380" s="4">
        <v>5.91E-2</v>
      </c>
      <c r="E380" s="4">
        <v>6.1200000000000004E-2</v>
      </c>
      <c r="I380" s="3">
        <v>33390</v>
      </c>
      <c r="J380" s="4">
        <v>5.9000000000000004E-2</v>
      </c>
      <c r="K380" s="4">
        <v>5.7800000000000004E-2</v>
      </c>
      <c r="L380" s="4">
        <v>5.91E-2</v>
      </c>
      <c r="M380" s="4">
        <v>6.1200000000000004E-2</v>
      </c>
      <c r="N380" s="6">
        <f t="shared" si="20"/>
        <v>5.7462597998000006E-2</v>
      </c>
      <c r="O380" s="6">
        <f t="shared" si="21"/>
        <v>4.3962732919254691E-3</v>
      </c>
      <c r="P380" s="21">
        <f t="shared" si="22"/>
        <v>2.3636049157536008E-6</v>
      </c>
      <c r="Q380">
        <f t="shared" si="23"/>
        <v>2.6057661050847414</v>
      </c>
    </row>
    <row r="381" spans="1:17" x14ac:dyDescent="0.15">
      <c r="A381" s="3">
        <v>33420</v>
      </c>
      <c r="B381" s="4">
        <v>5.8200000000000002E-2</v>
      </c>
      <c r="C381" s="4">
        <v>5.9000000000000004E-2</v>
      </c>
      <c r="D381" s="4">
        <v>5.7800000000000004E-2</v>
      </c>
      <c r="E381" s="4">
        <v>5.91E-2</v>
      </c>
      <c r="I381" s="3">
        <v>33420</v>
      </c>
      <c r="J381" s="4">
        <v>5.8200000000000002E-2</v>
      </c>
      <c r="K381" s="4">
        <v>5.9000000000000004E-2</v>
      </c>
      <c r="L381" s="4">
        <v>5.7800000000000004E-2</v>
      </c>
      <c r="M381" s="4">
        <v>5.91E-2</v>
      </c>
      <c r="N381" s="6">
        <f t="shared" si="20"/>
        <v>5.9655735466000004E-2</v>
      </c>
      <c r="O381" s="6">
        <f t="shared" si="21"/>
        <v>3.596273291925467E-3</v>
      </c>
      <c r="P381" s="21">
        <f t="shared" si="22"/>
        <v>2.1191657469702432E-6</v>
      </c>
      <c r="Q381">
        <f t="shared" si="23"/>
        <v>2.5012636872852272</v>
      </c>
    </row>
    <row r="382" spans="1:17" x14ac:dyDescent="0.15">
      <c r="A382" s="3">
        <v>33451</v>
      </c>
      <c r="B382" s="4">
        <v>5.6600000000000004E-2</v>
      </c>
      <c r="C382" s="4">
        <v>5.8200000000000002E-2</v>
      </c>
      <c r="D382" s="4">
        <v>5.9000000000000004E-2</v>
      </c>
      <c r="E382" s="4">
        <v>5.7800000000000004E-2</v>
      </c>
      <c r="I382" s="3">
        <v>33451</v>
      </c>
      <c r="J382" s="4">
        <v>5.6600000000000004E-2</v>
      </c>
      <c r="K382" s="4">
        <v>5.8200000000000002E-2</v>
      </c>
      <c r="L382" s="4">
        <v>5.9000000000000004E-2</v>
      </c>
      <c r="M382" s="4">
        <v>5.7800000000000004E-2</v>
      </c>
      <c r="N382" s="6">
        <f t="shared" si="20"/>
        <v>5.7562894462000011E-2</v>
      </c>
      <c r="O382" s="6">
        <f t="shared" si="21"/>
        <v>1.9962732919254697E-3</v>
      </c>
      <c r="P382" s="21">
        <f t="shared" si="22"/>
        <v>9.2716574495028206E-7</v>
      </c>
      <c r="Q382">
        <f t="shared" si="23"/>
        <v>1.7012269646643225</v>
      </c>
    </row>
    <row r="383" spans="1:17" x14ac:dyDescent="0.15">
      <c r="A383" s="3">
        <v>33482</v>
      </c>
      <c r="B383" s="4">
        <v>5.45E-2</v>
      </c>
      <c r="C383" s="4">
        <v>5.6600000000000004E-2</v>
      </c>
      <c r="D383" s="4">
        <v>5.8200000000000002E-2</v>
      </c>
      <c r="E383" s="4">
        <v>5.9000000000000004E-2</v>
      </c>
      <c r="I383" s="3">
        <v>33482</v>
      </c>
      <c r="J383" s="4">
        <v>5.45E-2</v>
      </c>
      <c r="K383" s="4">
        <v>5.6600000000000004E-2</v>
      </c>
      <c r="L383" s="4">
        <v>5.8200000000000002E-2</v>
      </c>
      <c r="M383" s="4">
        <v>5.9000000000000004E-2</v>
      </c>
      <c r="N383" s="6">
        <f t="shared" si="20"/>
        <v>5.5935810302000004E-2</v>
      </c>
      <c r="O383" s="6">
        <f t="shared" si="21"/>
        <v>1.0372670807453493E-4</v>
      </c>
      <c r="P383" s="21">
        <f t="shared" si="22"/>
        <v>2.0615512233293426E-6</v>
      </c>
      <c r="Q383">
        <f t="shared" si="23"/>
        <v>2.6345143155963378</v>
      </c>
    </row>
    <row r="384" spans="1:17" x14ac:dyDescent="0.15">
      <c r="A384" s="3">
        <v>33512</v>
      </c>
      <c r="B384" s="4">
        <v>5.21E-2</v>
      </c>
      <c r="C384" s="4">
        <v>5.45E-2</v>
      </c>
      <c r="D384" s="4">
        <v>5.6600000000000004E-2</v>
      </c>
      <c r="E384" s="4">
        <v>5.8200000000000002E-2</v>
      </c>
      <c r="I384" s="3">
        <v>33512</v>
      </c>
      <c r="J384" s="4">
        <v>5.21E-2</v>
      </c>
      <c r="K384" s="4">
        <v>5.45E-2</v>
      </c>
      <c r="L384" s="4">
        <v>5.6600000000000004E-2</v>
      </c>
      <c r="M384" s="4">
        <v>5.8200000000000002E-2</v>
      </c>
      <c r="N384" s="6">
        <f t="shared" si="20"/>
        <v>5.3761353636999992E-2</v>
      </c>
      <c r="O384" s="6">
        <f t="shared" si="21"/>
        <v>2.5037267080745343E-3</v>
      </c>
      <c r="P384" s="21">
        <f t="shared" si="22"/>
        <v>2.7600959071731006E-6</v>
      </c>
      <c r="Q384">
        <f t="shared" si="23"/>
        <v>3.1887785738963372</v>
      </c>
    </row>
    <row r="385" spans="1:17" x14ac:dyDescent="0.15">
      <c r="A385" s="3">
        <v>33543</v>
      </c>
      <c r="B385" s="4">
        <v>4.8099999999999997E-2</v>
      </c>
      <c r="C385" s="4">
        <v>5.21E-2</v>
      </c>
      <c r="D385" s="4">
        <v>5.45E-2</v>
      </c>
      <c r="E385" s="4">
        <v>5.6600000000000004E-2</v>
      </c>
      <c r="I385" s="3">
        <v>33543</v>
      </c>
      <c r="J385" s="4">
        <v>4.8099999999999997E-2</v>
      </c>
      <c r="K385" s="4">
        <v>5.21E-2</v>
      </c>
      <c r="L385" s="4">
        <v>5.45E-2</v>
      </c>
      <c r="M385" s="4">
        <v>5.6600000000000004E-2</v>
      </c>
      <c r="N385" s="6">
        <f t="shared" si="20"/>
        <v>5.1333940033000007E-2</v>
      </c>
      <c r="O385" s="6">
        <f t="shared" si="21"/>
        <v>6.5037267080745378E-3</v>
      </c>
      <c r="P385" s="21">
        <f t="shared" si="22"/>
        <v>1.0458368137040106E-5</v>
      </c>
      <c r="Q385">
        <f t="shared" si="23"/>
        <v>6.7233680519750729</v>
      </c>
    </row>
    <row r="386" spans="1:17" x14ac:dyDescent="0.15">
      <c r="A386" s="3">
        <v>33573</v>
      </c>
      <c r="B386" s="4">
        <v>4.4299999999999999E-2</v>
      </c>
      <c r="C386" s="4">
        <v>4.8099999999999997E-2</v>
      </c>
      <c r="D386" s="4">
        <v>5.21E-2</v>
      </c>
      <c r="E386" s="4">
        <v>5.45E-2</v>
      </c>
      <c r="I386" s="3">
        <v>33573</v>
      </c>
      <c r="J386" s="4">
        <v>4.4299999999999999E-2</v>
      </c>
      <c r="K386" s="4">
        <v>4.8099999999999997E-2</v>
      </c>
      <c r="L386" s="4">
        <v>5.21E-2</v>
      </c>
      <c r="M386" s="4">
        <v>5.45E-2</v>
      </c>
      <c r="N386" s="6">
        <f t="shared" si="20"/>
        <v>4.6704792037000002E-2</v>
      </c>
      <c r="O386" s="6">
        <f t="shared" si="21"/>
        <v>1.0303726708074536E-2</v>
      </c>
      <c r="P386" s="21">
        <f t="shared" si="22"/>
        <v>5.7830247412186245E-6</v>
      </c>
      <c r="Q386">
        <f t="shared" si="23"/>
        <v>5.4284244627539575</v>
      </c>
    </row>
    <row r="387" spans="1:17" x14ac:dyDescent="0.15">
      <c r="A387" s="3">
        <v>33604</v>
      </c>
      <c r="B387" s="4">
        <v>4.0300000000000002E-2</v>
      </c>
      <c r="C387" s="4">
        <v>4.4299999999999999E-2</v>
      </c>
      <c r="D387" s="4">
        <v>4.8099999999999997E-2</v>
      </c>
      <c r="E387" s="4">
        <v>5.21E-2</v>
      </c>
      <c r="I387" s="3">
        <v>33604</v>
      </c>
      <c r="J387" s="4">
        <v>4.0300000000000002E-2</v>
      </c>
      <c r="K387" s="4">
        <v>4.4299999999999999E-2</v>
      </c>
      <c r="L387" s="4">
        <v>4.8099999999999997E-2</v>
      </c>
      <c r="M387" s="4">
        <v>5.21E-2</v>
      </c>
      <c r="N387" s="6">
        <f t="shared" si="20"/>
        <v>4.3295461766999999E-2</v>
      </c>
      <c r="O387" s="6">
        <f t="shared" si="21"/>
        <v>1.4303726708074532E-2</v>
      </c>
      <c r="P387" s="21">
        <f t="shared" si="22"/>
        <v>8.9727911975587394E-6</v>
      </c>
      <c r="Q387">
        <f t="shared" si="23"/>
        <v>7.432907610421827</v>
      </c>
    </row>
    <row r="388" spans="1:17" x14ac:dyDescent="0.15">
      <c r="A388" s="3">
        <v>33635</v>
      </c>
      <c r="B388" s="4">
        <v>4.0599999999999997E-2</v>
      </c>
      <c r="C388" s="4">
        <v>4.0300000000000002E-2</v>
      </c>
      <c r="D388" s="4">
        <v>4.4299999999999999E-2</v>
      </c>
      <c r="E388" s="4">
        <v>4.8099999999999997E-2</v>
      </c>
      <c r="I388" s="3">
        <v>33635</v>
      </c>
      <c r="J388" s="4">
        <v>4.0599999999999997E-2</v>
      </c>
      <c r="K388" s="4">
        <v>4.0300000000000002E-2</v>
      </c>
      <c r="L388" s="4">
        <v>4.4299999999999999E-2</v>
      </c>
      <c r="M388" s="4">
        <v>4.8099999999999997E-2</v>
      </c>
      <c r="N388" s="6">
        <f t="shared" si="20"/>
        <v>3.9222561847000008E-2</v>
      </c>
      <c r="O388" s="6">
        <f t="shared" si="21"/>
        <v>1.4003726708074538E-2</v>
      </c>
      <c r="P388" s="21">
        <f t="shared" si="22"/>
        <v>1.8973358653400221E-6</v>
      </c>
      <c r="Q388">
        <f t="shared" si="23"/>
        <v>3.3927048103448016</v>
      </c>
    </row>
    <row r="389" spans="1:17" x14ac:dyDescent="0.15">
      <c r="A389" s="3">
        <v>33664</v>
      </c>
      <c r="B389" s="4">
        <v>3.9800000000000002E-2</v>
      </c>
      <c r="C389" s="4">
        <v>4.0599999999999997E-2</v>
      </c>
      <c r="D389" s="4">
        <v>4.0300000000000002E-2</v>
      </c>
      <c r="E389" s="4">
        <v>4.4299999999999999E-2</v>
      </c>
      <c r="I389" s="3">
        <v>33664</v>
      </c>
      <c r="J389" s="4">
        <v>3.9800000000000002E-2</v>
      </c>
      <c r="K389" s="4">
        <v>4.0599999999999997E-2</v>
      </c>
      <c r="L389" s="4">
        <v>4.0300000000000002E-2</v>
      </c>
      <c r="M389" s="4">
        <v>4.4299999999999999E-2</v>
      </c>
      <c r="N389" s="6">
        <f t="shared" si="20"/>
        <v>4.1501699069999995E-2</v>
      </c>
      <c r="O389" s="6">
        <f t="shared" si="21"/>
        <v>1.4803726708074533E-2</v>
      </c>
      <c r="P389" s="21">
        <f t="shared" si="22"/>
        <v>2.8957797248388405E-6</v>
      </c>
      <c r="Q389">
        <f t="shared" si="23"/>
        <v>4.2756258040200823</v>
      </c>
    </row>
    <row r="390" spans="1:17" x14ac:dyDescent="0.15">
      <c r="A390" s="3">
        <v>33695</v>
      </c>
      <c r="B390" s="4">
        <v>3.73E-2</v>
      </c>
      <c r="C390" s="4">
        <v>3.9800000000000002E-2</v>
      </c>
      <c r="D390" s="4">
        <v>4.0599999999999997E-2</v>
      </c>
      <c r="E390" s="4">
        <v>4.0300000000000002E-2</v>
      </c>
      <c r="I390" s="3">
        <v>33695</v>
      </c>
      <c r="J390" s="4">
        <v>3.73E-2</v>
      </c>
      <c r="K390" s="4">
        <v>3.9800000000000002E-2</v>
      </c>
      <c r="L390" s="4">
        <v>4.0599999999999997E-2</v>
      </c>
      <c r="M390" s="4">
        <v>4.0300000000000002E-2</v>
      </c>
      <c r="N390" s="6">
        <f t="shared" si="20"/>
        <v>3.9532722473999998E-2</v>
      </c>
      <c r="O390" s="6">
        <f t="shared" si="21"/>
        <v>1.7303726708074535E-2</v>
      </c>
      <c r="P390" s="21">
        <f t="shared" si="22"/>
        <v>4.9850496459046737E-6</v>
      </c>
      <c r="Q390">
        <f t="shared" si="23"/>
        <v>5.9858511367292184</v>
      </c>
    </row>
    <row r="391" spans="1:17" x14ac:dyDescent="0.15">
      <c r="A391" s="3">
        <v>33725</v>
      </c>
      <c r="B391" s="4">
        <v>3.8199999999999998E-2</v>
      </c>
      <c r="C391" s="4">
        <v>3.73E-2</v>
      </c>
      <c r="D391" s="4">
        <v>3.9800000000000002E-2</v>
      </c>
      <c r="E391" s="4">
        <v>4.0599999999999997E-2</v>
      </c>
      <c r="I391" s="3">
        <v>33725</v>
      </c>
      <c r="J391" s="4">
        <v>3.8199999999999998E-2</v>
      </c>
      <c r="K391" s="4">
        <v>3.73E-2</v>
      </c>
      <c r="L391" s="4">
        <v>3.9800000000000002E-2</v>
      </c>
      <c r="M391" s="4">
        <v>4.0599999999999997E-2</v>
      </c>
      <c r="N391" s="6">
        <f t="shared" ref="N391:N454" si="24" xml:space="preserve"> 0.00063539 + 1.44140757*K391 - 0.611849*L391 + 0.15807396*M391</f>
        <v>3.6466104936999998E-2</v>
      </c>
      <c r="O391" s="6">
        <f t="shared" ref="O391:O454" si="25">ABS(J391-$U$32)</f>
        <v>1.6403726708074537E-2</v>
      </c>
      <c r="P391" s="21">
        <f t="shared" ref="P391:P454" si="26">(N391-J391)^2</f>
        <v>3.0063920894957749E-6</v>
      </c>
      <c r="Q391">
        <f t="shared" ref="Q391:Q454" si="27">ABS(N391-J391)/J391*100</f>
        <v>4.5389923115183262</v>
      </c>
    </row>
    <row r="392" spans="1:17" x14ac:dyDescent="0.15">
      <c r="A392" s="3">
        <v>33756</v>
      </c>
      <c r="B392" s="4">
        <v>3.7599999999999995E-2</v>
      </c>
      <c r="C392" s="4">
        <v>3.8199999999999998E-2</v>
      </c>
      <c r="D392" s="4">
        <v>3.73E-2</v>
      </c>
      <c r="E392" s="4">
        <v>3.9800000000000002E-2</v>
      </c>
      <c r="I392" s="3">
        <v>33756</v>
      </c>
      <c r="J392" s="4">
        <v>3.7599999999999995E-2</v>
      </c>
      <c r="K392" s="4">
        <v>3.8199999999999998E-2</v>
      </c>
      <c r="L392" s="4">
        <v>3.73E-2</v>
      </c>
      <c r="M392" s="4">
        <v>3.9800000000000002E-2</v>
      </c>
      <c r="N392" s="6">
        <f t="shared" si="24"/>
        <v>3.9166535082000006E-2</v>
      </c>
      <c r="O392" s="6">
        <f t="shared" si="25"/>
        <v>1.700372670807454E-2</v>
      </c>
      <c r="P392" s="21">
        <f t="shared" si="26"/>
        <v>2.4540321631367836E-6</v>
      </c>
      <c r="Q392">
        <f t="shared" si="27"/>
        <v>4.1663167074468408</v>
      </c>
    </row>
    <row r="393" spans="1:17" x14ac:dyDescent="0.15">
      <c r="A393" s="3">
        <v>33786</v>
      </c>
      <c r="B393" s="4">
        <v>3.2500000000000001E-2</v>
      </c>
      <c r="C393" s="4">
        <v>3.7599999999999995E-2</v>
      </c>
      <c r="D393" s="4">
        <v>3.8199999999999998E-2</v>
      </c>
      <c r="E393" s="4">
        <v>3.73E-2</v>
      </c>
      <c r="I393" s="3">
        <v>33786</v>
      </c>
      <c r="J393" s="4">
        <v>3.2500000000000001E-2</v>
      </c>
      <c r="K393" s="4">
        <v>3.7599999999999995E-2</v>
      </c>
      <c r="L393" s="4">
        <v>3.8199999999999998E-2</v>
      </c>
      <c r="M393" s="4">
        <v>3.73E-2</v>
      </c>
      <c r="N393" s="6">
        <f t="shared" si="24"/>
        <v>3.7355841539999997E-2</v>
      </c>
      <c r="O393" s="6">
        <f t="shared" si="25"/>
        <v>2.2103726708074534E-2</v>
      </c>
      <c r="P393" s="21">
        <f t="shared" si="26"/>
        <v>2.3579197061589529E-5</v>
      </c>
      <c r="Q393">
        <f t="shared" si="27"/>
        <v>14.941050892307677</v>
      </c>
    </row>
    <row r="394" spans="1:17" x14ac:dyDescent="0.15">
      <c r="A394" s="3">
        <v>33817</v>
      </c>
      <c r="B394" s="4">
        <v>3.3000000000000002E-2</v>
      </c>
      <c r="C394" s="4">
        <v>3.2500000000000001E-2</v>
      </c>
      <c r="D394" s="4">
        <v>3.7599999999999995E-2</v>
      </c>
      <c r="E394" s="4">
        <v>3.8199999999999998E-2</v>
      </c>
      <c r="I394" s="3">
        <v>33817</v>
      </c>
      <c r="J394" s="4">
        <v>3.3000000000000002E-2</v>
      </c>
      <c r="K394" s="4">
        <v>3.2500000000000001E-2</v>
      </c>
      <c r="L394" s="4">
        <v>3.7599999999999995E-2</v>
      </c>
      <c r="M394" s="4">
        <v>3.8199999999999998E-2</v>
      </c>
      <c r="N394" s="6">
        <f t="shared" si="24"/>
        <v>3.0514038897000006E-2</v>
      </c>
      <c r="O394" s="6">
        <f t="shared" si="25"/>
        <v>2.1603726708074533E-2</v>
      </c>
      <c r="P394" s="21">
        <f t="shared" si="26"/>
        <v>6.1800026056289551E-6</v>
      </c>
      <c r="Q394">
        <f t="shared" si="27"/>
        <v>7.53321546363635</v>
      </c>
    </row>
    <row r="395" spans="1:17" x14ac:dyDescent="0.15">
      <c r="A395" s="3">
        <v>33848</v>
      </c>
      <c r="B395" s="4">
        <v>3.2199999999999999E-2</v>
      </c>
      <c r="C395" s="4">
        <v>3.3000000000000002E-2</v>
      </c>
      <c r="D395" s="4">
        <v>3.2500000000000001E-2</v>
      </c>
      <c r="E395" s="4">
        <v>3.7599999999999995E-2</v>
      </c>
      <c r="I395" s="3">
        <v>33848</v>
      </c>
      <c r="J395" s="4">
        <v>3.2199999999999999E-2</v>
      </c>
      <c r="K395" s="4">
        <v>3.3000000000000002E-2</v>
      </c>
      <c r="L395" s="4">
        <v>3.2500000000000001E-2</v>
      </c>
      <c r="M395" s="4">
        <v>3.7599999999999995E-2</v>
      </c>
      <c r="N395" s="6">
        <f t="shared" si="24"/>
        <v>3.4260328206000001E-2</v>
      </c>
      <c r="O395" s="6">
        <f t="shared" si="25"/>
        <v>2.2403726708074535E-2</v>
      </c>
      <c r="P395" s="21">
        <f t="shared" si="26"/>
        <v>4.2449523164391868E-6</v>
      </c>
      <c r="Q395">
        <f t="shared" si="27"/>
        <v>6.3985348012422421</v>
      </c>
    </row>
    <row r="396" spans="1:17" x14ac:dyDescent="0.15">
      <c r="A396" s="3">
        <v>33878</v>
      </c>
      <c r="B396" s="4">
        <v>3.1E-2</v>
      </c>
      <c r="C396" s="4">
        <v>3.2199999999999999E-2</v>
      </c>
      <c r="D396" s="4">
        <v>3.3000000000000002E-2</v>
      </c>
      <c r="E396" s="4">
        <v>3.2500000000000001E-2</v>
      </c>
      <c r="I396" s="3">
        <v>33878</v>
      </c>
      <c r="J396" s="4">
        <v>3.1E-2</v>
      </c>
      <c r="K396" s="4">
        <v>3.2199999999999999E-2</v>
      </c>
      <c r="L396" s="4">
        <v>3.3000000000000002E-2</v>
      </c>
      <c r="M396" s="4">
        <v>3.2500000000000001E-2</v>
      </c>
      <c r="N396" s="6">
        <f t="shared" si="24"/>
        <v>3.1995100454000003E-2</v>
      </c>
      <c r="O396" s="6">
        <f t="shared" si="25"/>
        <v>2.3603726708074535E-2</v>
      </c>
      <c r="P396" s="21">
        <f t="shared" si="26"/>
        <v>9.9022491355101221E-7</v>
      </c>
      <c r="Q396">
        <f t="shared" si="27"/>
        <v>3.2100014645161385</v>
      </c>
    </row>
    <row r="397" spans="1:17" x14ac:dyDescent="0.15">
      <c r="A397" s="3">
        <v>33909</v>
      </c>
      <c r="B397" s="4">
        <v>3.0899999999999997E-2</v>
      </c>
      <c r="C397" s="4">
        <v>3.1E-2</v>
      </c>
      <c r="D397" s="4">
        <v>3.2199999999999999E-2</v>
      </c>
      <c r="E397" s="4">
        <v>3.3000000000000002E-2</v>
      </c>
      <c r="I397" s="3">
        <v>33909</v>
      </c>
      <c r="J397" s="4">
        <v>3.0899999999999997E-2</v>
      </c>
      <c r="K397" s="4">
        <v>3.1E-2</v>
      </c>
      <c r="L397" s="4">
        <v>3.2199999999999999E-2</v>
      </c>
      <c r="M397" s="4">
        <v>3.3000000000000002E-2</v>
      </c>
      <c r="N397" s="6">
        <f t="shared" si="24"/>
        <v>3.0833927550000001E-2</v>
      </c>
      <c r="O397" s="6">
        <f t="shared" si="25"/>
        <v>2.3703726708074538E-2</v>
      </c>
      <c r="P397" s="21">
        <f t="shared" si="26"/>
        <v>4.3655686490019651E-9</v>
      </c>
      <c r="Q397">
        <f t="shared" si="27"/>
        <v>0.21382669902911314</v>
      </c>
    </row>
    <row r="398" spans="1:17" x14ac:dyDescent="0.15">
      <c r="A398" s="3">
        <v>33939</v>
      </c>
      <c r="B398" s="4">
        <v>2.92E-2</v>
      </c>
      <c r="C398" s="4">
        <v>3.0899999999999997E-2</v>
      </c>
      <c r="D398" s="4">
        <v>3.1E-2</v>
      </c>
      <c r="E398" s="4">
        <v>3.2199999999999999E-2</v>
      </c>
      <c r="I398" s="3">
        <v>33939</v>
      </c>
      <c r="J398" s="4">
        <v>2.92E-2</v>
      </c>
      <c r="K398" s="4">
        <v>3.0899999999999997E-2</v>
      </c>
      <c r="L398" s="4">
        <v>3.1E-2</v>
      </c>
      <c r="M398" s="4">
        <v>3.2199999999999999E-2</v>
      </c>
      <c r="N398" s="6">
        <f t="shared" si="24"/>
        <v>3.1297546424999996E-2</v>
      </c>
      <c r="O398" s="6">
        <f t="shared" si="25"/>
        <v>2.5403726708074535E-2</v>
      </c>
      <c r="P398" s="21">
        <f t="shared" si="26"/>
        <v>4.3997010050302625E-6</v>
      </c>
      <c r="Q398">
        <f t="shared" si="27"/>
        <v>7.1833781678082049</v>
      </c>
    </row>
    <row r="399" spans="1:17" x14ac:dyDescent="0.15">
      <c r="A399" s="3">
        <v>33970</v>
      </c>
      <c r="B399" s="4">
        <v>3.0200000000000001E-2</v>
      </c>
      <c r="C399" s="4">
        <v>2.92E-2</v>
      </c>
      <c r="D399" s="4">
        <v>3.0899999999999997E-2</v>
      </c>
      <c r="E399" s="4">
        <v>3.1E-2</v>
      </c>
      <c r="I399" s="3">
        <v>33970</v>
      </c>
      <c r="J399" s="4">
        <v>3.0200000000000001E-2</v>
      </c>
      <c r="K399" s="4">
        <v>2.92E-2</v>
      </c>
      <c r="L399" s="4">
        <v>3.0899999999999997E-2</v>
      </c>
      <c r="M399" s="4">
        <v>3.1E-2</v>
      </c>
      <c r="N399" s="6">
        <f t="shared" si="24"/>
        <v>2.8718649704000006E-2</v>
      </c>
      <c r="O399" s="6">
        <f t="shared" si="25"/>
        <v>2.4403726708074534E-2</v>
      </c>
      <c r="P399" s="21">
        <f t="shared" si="26"/>
        <v>2.194398699459272E-6</v>
      </c>
      <c r="Q399">
        <f t="shared" si="27"/>
        <v>4.9051334304635583</v>
      </c>
    </row>
    <row r="400" spans="1:17" x14ac:dyDescent="0.15">
      <c r="A400" s="3">
        <v>34001</v>
      </c>
      <c r="B400" s="4">
        <v>3.0299999999999997E-2</v>
      </c>
      <c r="C400" s="4">
        <v>3.0200000000000001E-2</v>
      </c>
      <c r="D400" s="4">
        <v>2.92E-2</v>
      </c>
      <c r="E400" s="4">
        <v>3.0899999999999997E-2</v>
      </c>
      <c r="I400" s="3">
        <v>34001</v>
      </c>
      <c r="J400" s="4">
        <v>3.0299999999999997E-2</v>
      </c>
      <c r="K400" s="4">
        <v>3.0200000000000001E-2</v>
      </c>
      <c r="L400" s="4">
        <v>2.92E-2</v>
      </c>
      <c r="M400" s="4">
        <v>3.0899999999999997E-2</v>
      </c>
      <c r="N400" s="6">
        <f t="shared" si="24"/>
        <v>3.1184393178000001E-2</v>
      </c>
      <c r="O400" s="6">
        <f t="shared" si="25"/>
        <v>2.4303726708074538E-2</v>
      </c>
      <c r="P400" s="21">
        <f t="shared" si="26"/>
        <v>7.8215129329294733E-7</v>
      </c>
      <c r="Q400">
        <f t="shared" si="27"/>
        <v>2.9187893663366484</v>
      </c>
    </row>
    <row r="401" spans="1:17" x14ac:dyDescent="0.15">
      <c r="A401" s="3">
        <v>34029</v>
      </c>
      <c r="B401" s="4">
        <v>3.0699999999999998E-2</v>
      </c>
      <c r="C401" s="4">
        <v>3.0299999999999997E-2</v>
      </c>
      <c r="D401" s="4">
        <v>3.0200000000000001E-2</v>
      </c>
      <c r="E401" s="4">
        <v>2.92E-2</v>
      </c>
      <c r="I401" s="3">
        <v>34029</v>
      </c>
      <c r="J401" s="4">
        <v>3.0699999999999998E-2</v>
      </c>
      <c r="K401" s="4">
        <v>3.0299999999999997E-2</v>
      </c>
      <c r="L401" s="4">
        <v>3.0200000000000001E-2</v>
      </c>
      <c r="M401" s="4">
        <v>2.92E-2</v>
      </c>
      <c r="N401" s="6">
        <f t="shared" si="24"/>
        <v>3.0447959202999999E-2</v>
      </c>
      <c r="O401" s="6">
        <f t="shared" si="25"/>
        <v>2.3903726708074537E-2</v>
      </c>
      <c r="P401" s="21">
        <f t="shared" si="26"/>
        <v>6.3524563352394821E-8</v>
      </c>
      <c r="Q401">
        <f t="shared" si="27"/>
        <v>0.8209797947882711</v>
      </c>
    </row>
    <row r="402" spans="1:17" x14ac:dyDescent="0.15">
      <c r="A402" s="3">
        <v>34060</v>
      </c>
      <c r="B402" s="4">
        <v>2.9600000000000001E-2</v>
      </c>
      <c r="C402" s="4">
        <v>3.0699999999999998E-2</v>
      </c>
      <c r="D402" s="4">
        <v>3.0299999999999997E-2</v>
      </c>
      <c r="E402" s="4">
        <v>3.0200000000000001E-2</v>
      </c>
      <c r="I402" s="3">
        <v>34060</v>
      </c>
      <c r="J402" s="4">
        <v>2.9600000000000001E-2</v>
      </c>
      <c r="K402" s="4">
        <v>3.0699999999999998E-2</v>
      </c>
      <c r="L402" s="4">
        <v>3.0299999999999997E-2</v>
      </c>
      <c r="M402" s="4">
        <v>3.0200000000000001E-2</v>
      </c>
      <c r="N402" s="6">
        <f t="shared" si="24"/>
        <v>3.1121411291000003E-2</v>
      </c>
      <c r="O402" s="6">
        <f t="shared" si="25"/>
        <v>2.5003726708074533E-2</v>
      </c>
      <c r="P402" s="21">
        <f t="shared" si="26"/>
        <v>2.3146923163822932E-6</v>
      </c>
      <c r="Q402">
        <f t="shared" si="27"/>
        <v>5.1399030101351428</v>
      </c>
    </row>
    <row r="403" spans="1:17" x14ac:dyDescent="0.15">
      <c r="A403" s="3">
        <v>34090</v>
      </c>
      <c r="B403" s="4">
        <v>0.03</v>
      </c>
      <c r="C403" s="4">
        <v>2.9600000000000001E-2</v>
      </c>
      <c r="D403" s="4">
        <v>3.0699999999999998E-2</v>
      </c>
      <c r="E403" s="4">
        <v>3.0299999999999997E-2</v>
      </c>
      <c r="I403" s="3">
        <v>34090</v>
      </c>
      <c r="J403" s="4">
        <v>0.03</v>
      </c>
      <c r="K403" s="4">
        <v>2.9600000000000001E-2</v>
      </c>
      <c r="L403" s="4">
        <v>3.0699999999999998E-2</v>
      </c>
      <c r="M403" s="4">
        <v>3.0299999999999997E-2</v>
      </c>
      <c r="N403" s="6">
        <f t="shared" si="24"/>
        <v>2.9306930760000002E-2</v>
      </c>
      <c r="O403" s="6">
        <f t="shared" si="25"/>
        <v>2.4603726708074536E-2</v>
      </c>
      <c r="P403" s="21">
        <f t="shared" si="26"/>
        <v>4.8034497143417284E-7</v>
      </c>
      <c r="Q403">
        <f t="shared" si="27"/>
        <v>2.3102307999999887</v>
      </c>
    </row>
    <row r="404" spans="1:17" x14ac:dyDescent="0.15">
      <c r="A404" s="3">
        <v>34121</v>
      </c>
      <c r="B404" s="4">
        <v>3.04E-2</v>
      </c>
      <c r="C404" s="4">
        <v>0.03</v>
      </c>
      <c r="D404" s="4">
        <v>2.9600000000000001E-2</v>
      </c>
      <c r="E404" s="4">
        <v>3.0699999999999998E-2</v>
      </c>
      <c r="I404" s="3">
        <v>34121</v>
      </c>
      <c r="J404" s="4">
        <v>3.04E-2</v>
      </c>
      <c r="K404" s="4">
        <v>0.03</v>
      </c>
      <c r="L404" s="4">
        <v>2.9600000000000001E-2</v>
      </c>
      <c r="M404" s="4">
        <v>3.0699999999999998E-2</v>
      </c>
      <c r="N404" s="6">
        <f t="shared" si="24"/>
        <v>3.0619757271999996E-2</v>
      </c>
      <c r="O404" s="6">
        <f t="shared" si="25"/>
        <v>2.4203726708074535E-2</v>
      </c>
      <c r="P404" s="21">
        <f t="shared" si="26"/>
        <v>4.8293258596880412E-8</v>
      </c>
      <c r="Q404">
        <f t="shared" si="27"/>
        <v>0.722885763157883</v>
      </c>
    </row>
    <row r="405" spans="1:17" x14ac:dyDescent="0.15">
      <c r="A405" s="3">
        <v>34151</v>
      </c>
      <c r="B405" s="4">
        <v>3.0600000000000002E-2</v>
      </c>
      <c r="C405" s="4">
        <v>3.04E-2</v>
      </c>
      <c r="D405" s="4">
        <v>0.03</v>
      </c>
      <c r="E405" s="4">
        <v>2.9600000000000001E-2</v>
      </c>
      <c r="I405" s="3">
        <v>34151</v>
      </c>
      <c r="J405" s="4">
        <v>3.0600000000000002E-2</v>
      </c>
      <c r="K405" s="4">
        <v>3.04E-2</v>
      </c>
      <c r="L405" s="4">
        <v>0.03</v>
      </c>
      <c r="M405" s="4">
        <v>2.9600000000000001E-2</v>
      </c>
      <c r="N405" s="6">
        <f t="shared" si="24"/>
        <v>3.0777699343999997E-2</v>
      </c>
      <c r="O405" s="6">
        <f t="shared" si="25"/>
        <v>2.4003726708074533E-2</v>
      </c>
      <c r="P405" s="21">
        <f t="shared" si="26"/>
        <v>3.1577056858028583E-8</v>
      </c>
      <c r="Q405">
        <f t="shared" si="27"/>
        <v>0.58071681045750023</v>
      </c>
    </row>
    <row r="406" spans="1:17" x14ac:dyDescent="0.15">
      <c r="A406" s="3">
        <v>34182</v>
      </c>
      <c r="B406" s="4">
        <v>3.0299999999999997E-2</v>
      </c>
      <c r="C406" s="4">
        <v>3.0600000000000002E-2</v>
      </c>
      <c r="D406" s="4">
        <v>3.04E-2</v>
      </c>
      <c r="E406" s="4">
        <v>0.03</v>
      </c>
      <c r="I406" s="3">
        <v>34182</v>
      </c>
      <c r="J406" s="4">
        <v>3.0299999999999997E-2</v>
      </c>
      <c r="K406" s="4">
        <v>3.0600000000000002E-2</v>
      </c>
      <c r="L406" s="4">
        <v>3.04E-2</v>
      </c>
      <c r="M406" s="4">
        <v>0.03</v>
      </c>
      <c r="N406" s="6">
        <f t="shared" si="24"/>
        <v>3.0884470841999998E-2</v>
      </c>
      <c r="O406" s="6">
        <f t="shared" si="25"/>
        <v>2.4303726708074538E-2</v>
      </c>
      <c r="P406" s="21">
        <f t="shared" si="26"/>
        <v>3.4160616514819023E-7</v>
      </c>
      <c r="Q406">
        <f t="shared" si="27"/>
        <v>1.9289466732673306</v>
      </c>
    </row>
    <row r="407" spans="1:17" x14ac:dyDescent="0.15">
      <c r="A407" s="3">
        <v>34213</v>
      </c>
      <c r="B407" s="4">
        <v>3.0899999999999997E-2</v>
      </c>
      <c r="C407" s="4">
        <v>3.0299999999999997E-2</v>
      </c>
      <c r="D407" s="4">
        <v>3.0600000000000002E-2</v>
      </c>
      <c r="E407" s="4">
        <v>3.04E-2</v>
      </c>
      <c r="I407" s="3">
        <v>34213</v>
      </c>
      <c r="J407" s="4">
        <v>3.0899999999999997E-2</v>
      </c>
      <c r="K407" s="4">
        <v>3.0299999999999997E-2</v>
      </c>
      <c r="L407" s="4">
        <v>3.0600000000000002E-2</v>
      </c>
      <c r="M407" s="4">
        <v>3.04E-2</v>
      </c>
      <c r="N407" s="6">
        <f t="shared" si="24"/>
        <v>3.0392908354999998E-2</v>
      </c>
      <c r="O407" s="6">
        <f t="shared" si="25"/>
        <v>2.3703726708074538E-2</v>
      </c>
      <c r="P407" s="21">
        <f t="shared" si="26"/>
        <v>2.5714193642880505E-7</v>
      </c>
      <c r="Q407">
        <f t="shared" si="27"/>
        <v>1.641073284789641</v>
      </c>
    </row>
    <row r="408" spans="1:17" x14ac:dyDescent="0.15">
      <c r="A408" s="3">
        <v>34243</v>
      </c>
      <c r="B408" s="4">
        <v>2.9900000000000003E-2</v>
      </c>
      <c r="C408" s="4">
        <v>3.0899999999999997E-2</v>
      </c>
      <c r="D408" s="4">
        <v>3.0299999999999997E-2</v>
      </c>
      <c r="E408" s="4">
        <v>3.0600000000000002E-2</v>
      </c>
      <c r="I408" s="3">
        <v>34243</v>
      </c>
      <c r="J408" s="4">
        <v>2.9900000000000003E-2</v>
      </c>
      <c r="K408" s="4">
        <v>3.0899999999999997E-2</v>
      </c>
      <c r="L408" s="4">
        <v>3.0299999999999997E-2</v>
      </c>
      <c r="M408" s="4">
        <v>3.0600000000000002E-2</v>
      </c>
      <c r="N408" s="6">
        <f t="shared" si="24"/>
        <v>3.1472922388999999E-2</v>
      </c>
      <c r="O408" s="6">
        <f t="shared" si="25"/>
        <v>2.4703726708074532E-2</v>
      </c>
      <c r="P408" s="21">
        <f t="shared" si="26"/>
        <v>2.4740848418174555E-6</v>
      </c>
      <c r="Q408">
        <f t="shared" si="27"/>
        <v>5.2606099966555053</v>
      </c>
    </row>
    <row r="409" spans="1:17" x14ac:dyDescent="0.15">
      <c r="A409" s="3">
        <v>34274</v>
      </c>
      <c r="B409" s="4">
        <v>3.0200000000000001E-2</v>
      </c>
      <c r="C409" s="4">
        <v>2.9900000000000003E-2</v>
      </c>
      <c r="D409" s="4">
        <v>3.0899999999999997E-2</v>
      </c>
      <c r="E409" s="4">
        <v>3.0299999999999997E-2</v>
      </c>
      <c r="I409" s="3">
        <v>34274</v>
      </c>
      <c r="J409" s="4">
        <v>3.0200000000000001E-2</v>
      </c>
      <c r="K409" s="4">
        <v>2.9900000000000003E-2</v>
      </c>
      <c r="L409" s="4">
        <v>3.0899999999999997E-2</v>
      </c>
      <c r="M409" s="4">
        <v>3.0299999999999997E-2</v>
      </c>
      <c r="N409" s="6">
        <f t="shared" si="24"/>
        <v>2.9616983231000007E-2</v>
      </c>
      <c r="O409" s="6">
        <f t="shared" si="25"/>
        <v>2.4403726708074534E-2</v>
      </c>
      <c r="P409" s="21">
        <f t="shared" si="26"/>
        <v>3.3990855293519274E-7</v>
      </c>
      <c r="Q409">
        <f t="shared" si="27"/>
        <v>1.9305191026489879</v>
      </c>
    </row>
    <row r="410" spans="1:17" x14ac:dyDescent="0.15">
      <c r="A410" s="3">
        <v>34304</v>
      </c>
      <c r="B410" s="4">
        <v>2.9600000000000001E-2</v>
      </c>
      <c r="C410" s="4">
        <v>3.0200000000000001E-2</v>
      </c>
      <c r="D410" s="4">
        <v>2.9900000000000003E-2</v>
      </c>
      <c r="E410" s="4">
        <v>3.0899999999999997E-2</v>
      </c>
      <c r="I410" s="3">
        <v>34304</v>
      </c>
      <c r="J410" s="4">
        <v>2.9600000000000001E-2</v>
      </c>
      <c r="K410" s="4">
        <v>3.0200000000000001E-2</v>
      </c>
      <c r="L410" s="4">
        <v>2.9900000000000003E-2</v>
      </c>
      <c r="M410" s="4">
        <v>3.0899999999999997E-2</v>
      </c>
      <c r="N410" s="6">
        <f t="shared" si="24"/>
        <v>3.0756098877999998E-2</v>
      </c>
      <c r="O410" s="6">
        <f t="shared" si="25"/>
        <v>2.5003726708074533E-2</v>
      </c>
      <c r="P410" s="21">
        <f t="shared" si="26"/>
        <v>1.3365646157128516E-6</v>
      </c>
      <c r="Q410">
        <f t="shared" si="27"/>
        <v>3.9057394527026918</v>
      </c>
    </row>
    <row r="411" spans="1:17" x14ac:dyDescent="0.15">
      <c r="A411" s="3">
        <v>34335</v>
      </c>
      <c r="B411" s="4">
        <v>3.0499999999999999E-2</v>
      </c>
      <c r="C411" s="4">
        <v>2.9600000000000001E-2</v>
      </c>
      <c r="D411" s="4">
        <v>3.0200000000000001E-2</v>
      </c>
      <c r="E411" s="4">
        <v>2.9900000000000003E-2</v>
      </c>
      <c r="I411" s="3">
        <v>34335</v>
      </c>
      <c r="J411" s="4">
        <v>3.0499999999999999E-2</v>
      </c>
      <c r="K411" s="4">
        <v>2.9600000000000001E-2</v>
      </c>
      <c r="L411" s="4">
        <v>3.0200000000000001E-2</v>
      </c>
      <c r="M411" s="4">
        <v>2.9900000000000003E-2</v>
      </c>
      <c r="N411" s="6">
        <f t="shared" si="24"/>
        <v>2.9549625676000002E-2</v>
      </c>
      <c r="O411" s="6">
        <f t="shared" si="25"/>
        <v>2.4103726708074535E-2</v>
      </c>
      <c r="P411" s="21">
        <f t="shared" si="26"/>
        <v>9.0321135571845185E-7</v>
      </c>
      <c r="Q411">
        <f t="shared" si="27"/>
        <v>3.1159813901639257</v>
      </c>
    </row>
    <row r="412" spans="1:17" x14ac:dyDescent="0.15">
      <c r="A412" s="3">
        <v>34366</v>
      </c>
      <c r="B412" s="4">
        <v>3.2500000000000001E-2</v>
      </c>
      <c r="C412" s="4">
        <v>3.0499999999999999E-2</v>
      </c>
      <c r="D412" s="4">
        <v>2.9600000000000001E-2</v>
      </c>
      <c r="E412" s="4">
        <v>3.0200000000000001E-2</v>
      </c>
      <c r="I412" s="3">
        <v>34366</v>
      </c>
      <c r="J412" s="4">
        <v>3.2500000000000001E-2</v>
      </c>
      <c r="K412" s="4">
        <v>3.0499999999999999E-2</v>
      </c>
      <c r="L412" s="4">
        <v>2.9600000000000001E-2</v>
      </c>
      <c r="M412" s="4">
        <v>3.0200000000000001E-2</v>
      </c>
      <c r="N412" s="6">
        <f t="shared" si="24"/>
        <v>3.1261424077E-2</v>
      </c>
      <c r="O412" s="6">
        <f t="shared" si="25"/>
        <v>2.2103726708074534E-2</v>
      </c>
      <c r="P412" s="21">
        <f t="shared" si="26"/>
        <v>1.5340703170353057E-6</v>
      </c>
      <c r="Q412">
        <f t="shared" si="27"/>
        <v>3.8110028400000044</v>
      </c>
    </row>
    <row r="413" spans="1:17" x14ac:dyDescent="0.15">
      <c r="A413" s="3">
        <v>34394</v>
      </c>
      <c r="B413" s="4">
        <v>3.3399999999999999E-2</v>
      </c>
      <c r="C413" s="4">
        <v>3.2500000000000001E-2</v>
      </c>
      <c r="D413" s="4">
        <v>3.0499999999999999E-2</v>
      </c>
      <c r="E413" s="4">
        <v>2.9600000000000001E-2</v>
      </c>
      <c r="I413" s="3">
        <v>34394</v>
      </c>
      <c r="J413" s="4">
        <v>3.3399999999999999E-2</v>
      </c>
      <c r="K413" s="4">
        <v>3.2500000000000001E-2</v>
      </c>
      <c r="L413" s="4">
        <v>3.0499999999999999E-2</v>
      </c>
      <c r="M413" s="4">
        <v>2.9600000000000001E-2</v>
      </c>
      <c r="N413" s="6">
        <f t="shared" si="24"/>
        <v>3.3498730741000002E-2</v>
      </c>
      <c r="O413" s="6">
        <f t="shared" si="25"/>
        <v>2.1203726708074536E-2</v>
      </c>
      <c r="P413" s="21">
        <f t="shared" si="26"/>
        <v>9.7477592184096093E-9</v>
      </c>
      <c r="Q413">
        <f t="shared" si="27"/>
        <v>0.29560102095809182</v>
      </c>
    </row>
    <row r="414" spans="1:17" x14ac:dyDescent="0.15">
      <c r="A414" s="3">
        <v>34425</v>
      </c>
      <c r="B414" s="4">
        <v>3.56E-2</v>
      </c>
      <c r="C414" s="4">
        <v>3.3399999999999999E-2</v>
      </c>
      <c r="D414" s="4">
        <v>3.2500000000000001E-2</v>
      </c>
      <c r="E414" s="4">
        <v>3.0499999999999999E-2</v>
      </c>
      <c r="I414" s="3">
        <v>34425</v>
      </c>
      <c r="J414" s="4">
        <v>3.56E-2</v>
      </c>
      <c r="K414" s="4">
        <v>3.3399999999999999E-2</v>
      </c>
      <c r="L414" s="4">
        <v>3.2500000000000001E-2</v>
      </c>
      <c r="M414" s="4">
        <v>3.0499999999999999E-2</v>
      </c>
      <c r="N414" s="6">
        <f t="shared" si="24"/>
        <v>3.3714566117999993E-2</v>
      </c>
      <c r="O414" s="6">
        <f t="shared" si="25"/>
        <v>1.9003726708074535E-2</v>
      </c>
      <c r="P414" s="21">
        <f t="shared" si="26"/>
        <v>3.5548609233936148E-6</v>
      </c>
      <c r="Q414">
        <f t="shared" si="27"/>
        <v>5.2961625898876585</v>
      </c>
    </row>
    <row r="415" spans="1:17" x14ac:dyDescent="0.15">
      <c r="A415" s="3">
        <v>34455</v>
      </c>
      <c r="B415" s="4">
        <v>4.0099999999999997E-2</v>
      </c>
      <c r="C415" s="4">
        <v>3.56E-2</v>
      </c>
      <c r="D415" s="4">
        <v>3.3399999999999999E-2</v>
      </c>
      <c r="E415" s="4">
        <v>3.2500000000000001E-2</v>
      </c>
      <c r="I415" s="3">
        <v>34455</v>
      </c>
      <c r="J415" s="4">
        <v>4.0099999999999997E-2</v>
      </c>
      <c r="K415" s="4">
        <v>3.56E-2</v>
      </c>
      <c r="L415" s="4">
        <v>3.3399999999999999E-2</v>
      </c>
      <c r="M415" s="4">
        <v>3.2500000000000001E-2</v>
      </c>
      <c r="N415" s="6">
        <f t="shared" si="24"/>
        <v>3.6651146592E-2</v>
      </c>
      <c r="O415" s="6">
        <f t="shared" si="25"/>
        <v>1.4503726708074538E-2</v>
      </c>
      <c r="P415" s="21">
        <f t="shared" si="26"/>
        <v>1.1894589829873191E-5</v>
      </c>
      <c r="Q415">
        <f t="shared" si="27"/>
        <v>8.6006319401496185</v>
      </c>
    </row>
    <row r="416" spans="1:17" x14ac:dyDescent="0.15">
      <c r="A416" s="3">
        <v>34486</v>
      </c>
      <c r="B416" s="4">
        <v>4.2500000000000003E-2</v>
      </c>
      <c r="C416" s="4">
        <v>4.0099999999999997E-2</v>
      </c>
      <c r="D416" s="4">
        <v>3.56E-2</v>
      </c>
      <c r="E416" s="4">
        <v>3.3399999999999999E-2</v>
      </c>
      <c r="I416" s="3">
        <v>34486</v>
      </c>
      <c r="J416" s="4">
        <v>4.2500000000000003E-2</v>
      </c>
      <c r="K416" s="4">
        <v>4.0099999999999997E-2</v>
      </c>
      <c r="L416" s="4">
        <v>3.56E-2</v>
      </c>
      <c r="M416" s="4">
        <v>3.3399999999999999E-2</v>
      </c>
      <c r="N416" s="6">
        <f t="shared" si="24"/>
        <v>4.1933679421E-2</v>
      </c>
      <c r="O416" s="6">
        <f t="shared" si="25"/>
        <v>1.2103726708074532E-2</v>
      </c>
      <c r="P416" s="21">
        <f t="shared" si="26"/>
        <v>3.2071899819889842E-7</v>
      </c>
      <c r="Q416">
        <f t="shared" si="27"/>
        <v>1.3325190094117711</v>
      </c>
    </row>
    <row r="417" spans="1:17" x14ac:dyDescent="0.15">
      <c r="A417" s="3">
        <v>34516</v>
      </c>
      <c r="B417" s="4">
        <v>4.2599999999999999E-2</v>
      </c>
      <c r="C417" s="4">
        <v>4.2500000000000003E-2</v>
      </c>
      <c r="D417" s="4">
        <v>4.0099999999999997E-2</v>
      </c>
      <c r="E417" s="4">
        <v>3.56E-2</v>
      </c>
      <c r="I417" s="3">
        <v>34516</v>
      </c>
      <c r="J417" s="4">
        <v>4.2599999999999999E-2</v>
      </c>
      <c r="K417" s="4">
        <v>4.2500000000000003E-2</v>
      </c>
      <c r="L417" s="4">
        <v>4.0099999999999997E-2</v>
      </c>
      <c r="M417" s="4">
        <v>3.56E-2</v>
      </c>
      <c r="N417" s="6">
        <f t="shared" si="24"/>
        <v>4.2987499801000008E-2</v>
      </c>
      <c r="O417" s="6">
        <f t="shared" si="25"/>
        <v>1.2003726708074536E-2</v>
      </c>
      <c r="P417" s="21">
        <f t="shared" si="26"/>
        <v>1.5015609577504646E-7</v>
      </c>
      <c r="Q417">
        <f t="shared" si="27"/>
        <v>0.90962394600941043</v>
      </c>
    </row>
    <row r="418" spans="1:17" x14ac:dyDescent="0.15">
      <c r="A418" s="3">
        <v>34547</v>
      </c>
      <c r="B418" s="4">
        <v>4.4699999999999997E-2</v>
      </c>
      <c r="C418" s="4">
        <v>4.2599999999999999E-2</v>
      </c>
      <c r="D418" s="4">
        <v>4.2500000000000003E-2</v>
      </c>
      <c r="E418" s="4">
        <v>4.0099999999999997E-2</v>
      </c>
      <c r="I418" s="3">
        <v>34547</v>
      </c>
      <c r="J418" s="4">
        <v>4.4699999999999997E-2</v>
      </c>
      <c r="K418" s="4">
        <v>4.2599999999999999E-2</v>
      </c>
      <c r="L418" s="4">
        <v>4.2500000000000003E-2</v>
      </c>
      <c r="M418" s="4">
        <v>4.0099999999999997E-2</v>
      </c>
      <c r="N418" s="6">
        <f t="shared" si="24"/>
        <v>4.2374535777999989E-2</v>
      </c>
      <c r="O418" s="6">
        <f t="shared" si="25"/>
        <v>9.9037267080745381E-3</v>
      </c>
      <c r="P418" s="21">
        <f t="shared" si="26"/>
        <v>5.4077838478021026E-6</v>
      </c>
      <c r="Q418">
        <f t="shared" si="27"/>
        <v>5.2023808098434188</v>
      </c>
    </row>
    <row r="419" spans="1:17" x14ac:dyDescent="0.15">
      <c r="A419" s="3">
        <v>34578</v>
      </c>
      <c r="B419" s="4">
        <v>4.7300000000000002E-2</v>
      </c>
      <c r="C419" s="4">
        <v>4.4699999999999997E-2</v>
      </c>
      <c r="D419" s="4">
        <v>4.2599999999999999E-2</v>
      </c>
      <c r="E419" s="4">
        <v>4.2500000000000003E-2</v>
      </c>
      <c r="I419" s="3">
        <v>34578</v>
      </c>
      <c r="J419" s="4">
        <v>4.7300000000000002E-2</v>
      </c>
      <c r="K419" s="4">
        <v>4.4699999999999997E-2</v>
      </c>
      <c r="L419" s="4">
        <v>4.2599999999999999E-2</v>
      </c>
      <c r="M419" s="4">
        <v>4.2500000000000003E-2</v>
      </c>
      <c r="N419" s="6">
        <f t="shared" si="24"/>
        <v>4.5719684278999993E-2</v>
      </c>
      <c r="O419" s="6">
        <f t="shared" si="25"/>
        <v>7.303726708074533E-3</v>
      </c>
      <c r="P419" s="21">
        <f t="shared" si="26"/>
        <v>2.4973977780397769E-6</v>
      </c>
      <c r="Q419">
        <f t="shared" si="27"/>
        <v>3.3410480359408212</v>
      </c>
    </row>
    <row r="420" spans="1:17" x14ac:dyDescent="0.15">
      <c r="A420" s="3">
        <v>34608</v>
      </c>
      <c r="B420" s="4">
        <v>4.7599999999999996E-2</v>
      </c>
      <c r="C420" s="4">
        <v>4.7300000000000002E-2</v>
      </c>
      <c r="D420" s="4">
        <v>4.4699999999999997E-2</v>
      </c>
      <c r="E420" s="4">
        <v>4.2599999999999999E-2</v>
      </c>
      <c r="I420" s="3">
        <v>34608</v>
      </c>
      <c r="J420" s="4">
        <v>4.7599999999999996E-2</v>
      </c>
      <c r="K420" s="4">
        <v>4.7300000000000002E-2</v>
      </c>
      <c r="L420" s="4">
        <v>4.4699999999999997E-2</v>
      </c>
      <c r="M420" s="4">
        <v>4.2599999999999999E-2</v>
      </c>
      <c r="N420" s="6">
        <f t="shared" si="24"/>
        <v>4.8198268457000003E-2</v>
      </c>
      <c r="O420" s="6">
        <f t="shared" si="25"/>
        <v>7.0037267080745383E-3</v>
      </c>
      <c r="P420" s="21">
        <f t="shared" si="26"/>
        <v>3.5792514664116842E-7</v>
      </c>
      <c r="Q420">
        <f t="shared" si="27"/>
        <v>1.2568665063025344</v>
      </c>
    </row>
    <row r="421" spans="1:17" x14ac:dyDescent="0.15">
      <c r="A421" s="3">
        <v>34639</v>
      </c>
      <c r="B421" s="4">
        <v>5.2900000000000003E-2</v>
      </c>
      <c r="C421" s="4">
        <v>4.7599999999999996E-2</v>
      </c>
      <c r="D421" s="4">
        <v>4.7300000000000002E-2</v>
      </c>
      <c r="E421" s="4">
        <v>4.4699999999999997E-2</v>
      </c>
      <c r="I421" s="3">
        <v>34639</v>
      </c>
      <c r="J421" s="4">
        <v>5.2900000000000003E-2</v>
      </c>
      <c r="K421" s="4">
        <v>4.7599999999999996E-2</v>
      </c>
      <c r="L421" s="4">
        <v>4.7300000000000002E-2</v>
      </c>
      <c r="M421" s="4">
        <v>4.4699999999999997E-2</v>
      </c>
      <c r="N421" s="6">
        <f t="shared" si="24"/>
        <v>4.7371838643999992E-2</v>
      </c>
      <c r="O421" s="6">
        <f t="shared" si="25"/>
        <v>1.7037267080745322E-3</v>
      </c>
      <c r="P421" s="21">
        <f t="shared" si="26"/>
        <v>3.0560567977971877E-5</v>
      </c>
      <c r="Q421">
        <f t="shared" si="27"/>
        <v>10.45021050283556</v>
      </c>
    </row>
    <row r="422" spans="1:17" x14ac:dyDescent="0.15">
      <c r="A422" s="3">
        <v>34669</v>
      </c>
      <c r="B422" s="4">
        <v>5.45E-2</v>
      </c>
      <c r="C422" s="4">
        <v>5.2900000000000003E-2</v>
      </c>
      <c r="D422" s="4">
        <v>4.7599999999999996E-2</v>
      </c>
      <c r="E422" s="4">
        <v>4.7300000000000002E-2</v>
      </c>
      <c r="I422" s="3">
        <v>34669</v>
      </c>
      <c r="J422" s="4">
        <v>5.45E-2</v>
      </c>
      <c r="K422" s="4">
        <v>5.2900000000000003E-2</v>
      </c>
      <c r="L422" s="4">
        <v>4.7599999999999996E-2</v>
      </c>
      <c r="M422" s="4">
        <v>4.7300000000000002E-2</v>
      </c>
      <c r="N422" s="6">
        <f t="shared" si="24"/>
        <v>5.5238736361000011E-2</v>
      </c>
      <c r="O422" s="6">
        <f t="shared" si="25"/>
        <v>1.0372670807453493E-4</v>
      </c>
      <c r="P422" s="21">
        <f t="shared" si="26"/>
        <v>5.4573141106353916E-7</v>
      </c>
      <c r="Q422">
        <f t="shared" si="27"/>
        <v>1.3554795614679107</v>
      </c>
    </row>
    <row r="423" spans="1:17" x14ac:dyDescent="0.15">
      <c r="A423" s="3">
        <v>34700</v>
      </c>
      <c r="B423" s="4">
        <v>5.5300000000000002E-2</v>
      </c>
      <c r="C423" s="4">
        <v>5.45E-2</v>
      </c>
      <c r="D423" s="4">
        <v>5.2900000000000003E-2</v>
      </c>
      <c r="E423" s="4">
        <v>4.7599999999999996E-2</v>
      </c>
      <c r="I423" s="3">
        <v>34700</v>
      </c>
      <c r="J423" s="4">
        <v>5.5300000000000002E-2</v>
      </c>
      <c r="K423" s="4">
        <v>5.45E-2</v>
      </c>
      <c r="L423" s="4">
        <v>5.2900000000000003E-2</v>
      </c>
      <c r="M423" s="4">
        <v>4.7599999999999996E-2</v>
      </c>
      <c r="N423" s="6">
        <f t="shared" si="24"/>
        <v>5.4349610960999988E-2</v>
      </c>
      <c r="O423" s="6">
        <f t="shared" si="25"/>
        <v>6.9627329192546716E-4</v>
      </c>
      <c r="P423" s="21">
        <f t="shared" si="26"/>
        <v>9.0323932545137096E-7</v>
      </c>
      <c r="Q423">
        <f t="shared" si="27"/>
        <v>1.7186058571428833</v>
      </c>
    </row>
    <row r="424" spans="1:17" x14ac:dyDescent="0.15">
      <c r="A424" s="3">
        <v>34731</v>
      </c>
      <c r="B424" s="4">
        <v>5.9200000000000003E-2</v>
      </c>
      <c r="C424" s="4">
        <v>5.5300000000000002E-2</v>
      </c>
      <c r="D424" s="4">
        <v>5.45E-2</v>
      </c>
      <c r="E424" s="4">
        <v>5.2900000000000003E-2</v>
      </c>
      <c r="I424" s="3">
        <v>34731</v>
      </c>
      <c r="J424" s="4">
        <v>5.9200000000000003E-2</v>
      </c>
      <c r="K424" s="4">
        <v>5.5300000000000002E-2</v>
      </c>
      <c r="L424" s="4">
        <v>5.45E-2</v>
      </c>
      <c r="M424" s="4">
        <v>5.2900000000000003E-2</v>
      </c>
      <c r="N424" s="6">
        <f t="shared" si="24"/>
        <v>5.5361570605000007E-2</v>
      </c>
      <c r="O424" s="6">
        <f t="shared" si="25"/>
        <v>4.5962732919254679E-3</v>
      </c>
      <c r="P424" s="21">
        <f t="shared" si="26"/>
        <v>1.4733540220400031E-5</v>
      </c>
      <c r="Q424">
        <f t="shared" si="27"/>
        <v>6.4838334374999915</v>
      </c>
    </row>
    <row r="425" spans="1:17" x14ac:dyDescent="0.15">
      <c r="A425" s="3">
        <v>34759</v>
      </c>
      <c r="B425" s="4">
        <v>5.9800000000000006E-2</v>
      </c>
      <c r="C425" s="4">
        <v>5.9200000000000003E-2</v>
      </c>
      <c r="D425" s="4">
        <v>5.5300000000000002E-2</v>
      </c>
      <c r="E425" s="4">
        <v>5.45E-2</v>
      </c>
      <c r="I425" s="3">
        <v>34759</v>
      </c>
      <c r="J425" s="4">
        <v>5.9800000000000006E-2</v>
      </c>
      <c r="K425" s="4">
        <v>5.9200000000000003E-2</v>
      </c>
      <c r="L425" s="4">
        <v>5.5300000000000002E-2</v>
      </c>
      <c r="M425" s="4">
        <v>5.45E-2</v>
      </c>
      <c r="N425" s="6">
        <f t="shared" si="24"/>
        <v>6.0746499264000005E-2</v>
      </c>
      <c r="O425" s="6">
        <f t="shared" si="25"/>
        <v>5.1962732919254712E-3</v>
      </c>
      <c r="P425" s="21">
        <f t="shared" si="26"/>
        <v>8.958608567525396E-7</v>
      </c>
      <c r="Q425">
        <f t="shared" si="27"/>
        <v>1.5827746889632086</v>
      </c>
    </row>
    <row r="426" spans="1:17" x14ac:dyDescent="0.15">
      <c r="A426" s="3">
        <v>34790</v>
      </c>
      <c r="B426" s="4">
        <v>6.0499999999999998E-2</v>
      </c>
      <c r="C426" s="4">
        <v>5.9800000000000006E-2</v>
      </c>
      <c r="D426" s="4">
        <v>5.9200000000000003E-2</v>
      </c>
      <c r="E426" s="4">
        <v>5.5300000000000002E-2</v>
      </c>
      <c r="I426" s="3">
        <v>34790</v>
      </c>
      <c r="J426" s="4">
        <v>6.0499999999999998E-2</v>
      </c>
      <c r="K426" s="4">
        <v>5.9800000000000006E-2</v>
      </c>
      <c r="L426" s="4">
        <v>5.9200000000000003E-2</v>
      </c>
      <c r="M426" s="4">
        <v>5.5300000000000002E-2</v>
      </c>
      <c r="N426" s="6">
        <f t="shared" si="24"/>
        <v>5.9351591874000006E-2</v>
      </c>
      <c r="O426" s="6">
        <f t="shared" si="25"/>
        <v>5.8962732919254635E-3</v>
      </c>
      <c r="P426" s="21">
        <f t="shared" si="26"/>
        <v>1.3188412238628129E-6</v>
      </c>
      <c r="Q426">
        <f t="shared" si="27"/>
        <v>1.8981952495867631</v>
      </c>
    </row>
    <row r="427" spans="1:17" x14ac:dyDescent="0.15">
      <c r="A427" s="3">
        <v>34820</v>
      </c>
      <c r="B427" s="4">
        <v>6.0100000000000001E-2</v>
      </c>
      <c r="C427" s="4">
        <v>6.0499999999999998E-2</v>
      </c>
      <c r="D427" s="4">
        <v>5.9800000000000006E-2</v>
      </c>
      <c r="E427" s="4">
        <v>5.9200000000000003E-2</v>
      </c>
      <c r="I427" s="3">
        <v>34820</v>
      </c>
      <c r="J427" s="4">
        <v>6.0100000000000001E-2</v>
      </c>
      <c r="K427" s="4">
        <v>6.0499999999999998E-2</v>
      </c>
      <c r="L427" s="4">
        <v>5.9800000000000006E-2</v>
      </c>
      <c r="M427" s="4">
        <v>5.9200000000000003E-2</v>
      </c>
      <c r="N427" s="6">
        <f t="shared" si="24"/>
        <v>6.0609956216999987E-2</v>
      </c>
      <c r="O427" s="6">
        <f t="shared" si="25"/>
        <v>5.4962732919254659E-3</v>
      </c>
      <c r="P427" s="21">
        <f t="shared" si="26"/>
        <v>2.6005534325693713E-7</v>
      </c>
      <c r="Q427">
        <f t="shared" si="27"/>
        <v>0.84851284026620022</v>
      </c>
    </row>
    <row r="428" spans="1:17" x14ac:dyDescent="0.15">
      <c r="A428" s="3">
        <v>34851</v>
      </c>
      <c r="B428" s="4">
        <v>0.06</v>
      </c>
      <c r="C428" s="4">
        <v>6.0100000000000001E-2</v>
      </c>
      <c r="D428" s="4">
        <v>6.0499999999999998E-2</v>
      </c>
      <c r="E428" s="4">
        <v>5.9800000000000006E-2</v>
      </c>
      <c r="I428" s="3">
        <v>34851</v>
      </c>
      <c r="J428" s="4">
        <v>0.06</v>
      </c>
      <c r="K428" s="4">
        <v>6.0100000000000001E-2</v>
      </c>
      <c r="L428" s="4">
        <v>6.0499999999999998E-2</v>
      </c>
      <c r="M428" s="4">
        <v>5.9800000000000006E-2</v>
      </c>
      <c r="N428" s="6">
        <f t="shared" si="24"/>
        <v>5.9699943264999999E-2</v>
      </c>
      <c r="O428" s="6">
        <f t="shared" si="25"/>
        <v>5.396273291925463E-3</v>
      </c>
      <c r="P428" s="21">
        <f t="shared" si="26"/>
        <v>9.0034044218859203E-8</v>
      </c>
      <c r="Q428">
        <f t="shared" si="27"/>
        <v>0.5000945583333305</v>
      </c>
    </row>
    <row r="429" spans="1:17" x14ac:dyDescent="0.15">
      <c r="A429" s="3">
        <v>34881</v>
      </c>
      <c r="B429" s="4">
        <v>5.8499999999999996E-2</v>
      </c>
      <c r="C429" s="4">
        <v>0.06</v>
      </c>
      <c r="D429" s="4">
        <v>6.0100000000000001E-2</v>
      </c>
      <c r="E429" s="4">
        <v>6.0499999999999998E-2</v>
      </c>
      <c r="I429" s="3">
        <v>34881</v>
      </c>
      <c r="J429" s="4">
        <v>5.8499999999999996E-2</v>
      </c>
      <c r="K429" s="4">
        <v>0.06</v>
      </c>
      <c r="L429" s="4">
        <v>6.0100000000000001E-2</v>
      </c>
      <c r="M429" s="4">
        <v>6.0499999999999998E-2</v>
      </c>
      <c r="N429" s="6">
        <f t="shared" si="24"/>
        <v>5.9911193879999991E-2</v>
      </c>
      <c r="O429" s="6">
        <f t="shared" si="25"/>
        <v>3.8962732919254617E-3</v>
      </c>
      <c r="P429" s="21">
        <f t="shared" si="26"/>
        <v>1.9914681669494391E-6</v>
      </c>
      <c r="Q429">
        <f t="shared" si="27"/>
        <v>2.4122972307692216</v>
      </c>
    </row>
    <row r="430" spans="1:17" x14ac:dyDescent="0.15">
      <c r="A430" s="3">
        <v>34912</v>
      </c>
      <c r="B430" s="4">
        <v>5.74E-2</v>
      </c>
      <c r="C430" s="4">
        <v>5.8499999999999996E-2</v>
      </c>
      <c r="D430" s="4">
        <v>0.06</v>
      </c>
      <c r="E430" s="4">
        <v>6.0100000000000001E-2</v>
      </c>
      <c r="I430" s="3">
        <v>34912</v>
      </c>
      <c r="J430" s="4">
        <v>5.74E-2</v>
      </c>
      <c r="K430" s="4">
        <v>5.8499999999999996E-2</v>
      </c>
      <c r="L430" s="4">
        <v>0.06</v>
      </c>
      <c r="M430" s="4">
        <v>6.0100000000000001E-2</v>
      </c>
      <c r="N430" s="6">
        <f t="shared" si="24"/>
        <v>5.7747037841E-2</v>
      </c>
      <c r="O430" s="6">
        <f t="shared" si="25"/>
        <v>2.7962732919254649E-3</v>
      </c>
      <c r="P430" s="21">
        <f t="shared" si="26"/>
        <v>1.2043526308594145E-7</v>
      </c>
      <c r="Q430">
        <f t="shared" si="27"/>
        <v>0.60459554181184705</v>
      </c>
    </row>
    <row r="431" spans="1:17" x14ac:dyDescent="0.15">
      <c r="A431" s="3">
        <v>34943</v>
      </c>
      <c r="B431" s="4">
        <v>5.7999999999999996E-2</v>
      </c>
      <c r="C431" s="4">
        <v>5.74E-2</v>
      </c>
      <c r="D431" s="4">
        <v>5.8499999999999996E-2</v>
      </c>
      <c r="E431" s="4">
        <v>0.06</v>
      </c>
      <c r="I431" s="3">
        <v>34943</v>
      </c>
      <c r="J431" s="4">
        <v>5.7999999999999996E-2</v>
      </c>
      <c r="K431" s="4">
        <v>5.74E-2</v>
      </c>
      <c r="L431" s="4">
        <v>5.8499999999999996E-2</v>
      </c>
      <c r="M431" s="4">
        <v>0.06</v>
      </c>
      <c r="N431" s="6">
        <f t="shared" si="24"/>
        <v>5.7063455617999997E-2</v>
      </c>
      <c r="O431" s="6">
        <f t="shared" si="25"/>
        <v>3.3962732919254612E-3</v>
      </c>
      <c r="P431" s="21">
        <f t="shared" si="26"/>
        <v>8.7711537945575923E-7</v>
      </c>
      <c r="Q431">
        <f t="shared" si="27"/>
        <v>1.6147316931034459</v>
      </c>
    </row>
    <row r="432" spans="1:17" x14ac:dyDescent="0.15">
      <c r="A432" s="3">
        <v>34973</v>
      </c>
      <c r="B432" s="4">
        <v>5.7599999999999998E-2</v>
      </c>
      <c r="C432" s="4">
        <v>5.7999999999999996E-2</v>
      </c>
      <c r="D432" s="4">
        <v>5.74E-2</v>
      </c>
      <c r="E432" s="4">
        <v>5.8499999999999996E-2</v>
      </c>
      <c r="I432" s="3">
        <v>34973</v>
      </c>
      <c r="J432" s="4">
        <v>5.7599999999999998E-2</v>
      </c>
      <c r="K432" s="4">
        <v>5.7999999999999996E-2</v>
      </c>
      <c r="L432" s="4">
        <v>5.74E-2</v>
      </c>
      <c r="M432" s="4">
        <v>5.8499999999999996E-2</v>
      </c>
      <c r="N432" s="6">
        <f t="shared" si="24"/>
        <v>5.8364223119999996E-2</v>
      </c>
      <c r="O432" s="6">
        <f t="shared" si="25"/>
        <v>2.9962732919254637E-3</v>
      </c>
      <c r="P432" s="21">
        <f t="shared" si="26"/>
        <v>5.8403697714253047E-7</v>
      </c>
      <c r="Q432">
        <f t="shared" si="27"/>
        <v>1.3267762499999955</v>
      </c>
    </row>
    <row r="433" spans="1:17" x14ac:dyDescent="0.15">
      <c r="A433" s="3">
        <v>35004</v>
      </c>
      <c r="B433" s="4">
        <v>5.7999999999999996E-2</v>
      </c>
      <c r="C433" s="4">
        <v>5.7599999999999998E-2</v>
      </c>
      <c r="D433" s="4">
        <v>5.7999999999999996E-2</v>
      </c>
      <c r="E433" s="4">
        <v>5.74E-2</v>
      </c>
      <c r="I433" s="3">
        <v>35004</v>
      </c>
      <c r="J433" s="4">
        <v>5.7999999999999996E-2</v>
      </c>
      <c r="K433" s="4">
        <v>5.7599999999999998E-2</v>
      </c>
      <c r="L433" s="4">
        <v>5.7999999999999996E-2</v>
      </c>
      <c r="M433" s="4">
        <v>5.74E-2</v>
      </c>
      <c r="N433" s="6">
        <f t="shared" si="24"/>
        <v>5.7246669335999992E-2</v>
      </c>
      <c r="O433" s="6">
        <f t="shared" si="25"/>
        <v>3.3962732919254612E-3</v>
      </c>
      <c r="P433" s="21">
        <f t="shared" si="26"/>
        <v>5.6750708932268732E-7</v>
      </c>
      <c r="Q433">
        <f t="shared" si="27"/>
        <v>1.2988459724138006</v>
      </c>
    </row>
    <row r="434" spans="1:17" x14ac:dyDescent="0.15">
      <c r="A434" s="3">
        <v>35034</v>
      </c>
      <c r="B434" s="4">
        <v>5.5999999999999994E-2</v>
      </c>
      <c r="C434" s="4">
        <v>5.7999999999999996E-2</v>
      </c>
      <c r="D434" s="4">
        <v>5.7599999999999998E-2</v>
      </c>
      <c r="E434" s="4">
        <v>5.7999999999999996E-2</v>
      </c>
      <c r="I434" s="3">
        <v>35034</v>
      </c>
      <c r="J434" s="4">
        <v>5.5999999999999994E-2</v>
      </c>
      <c r="K434" s="4">
        <v>5.7999999999999996E-2</v>
      </c>
      <c r="L434" s="4">
        <v>5.7599999999999998E-2</v>
      </c>
      <c r="M434" s="4">
        <v>5.7999999999999996E-2</v>
      </c>
      <c r="N434" s="6">
        <f t="shared" si="24"/>
        <v>5.8162816339999993E-2</v>
      </c>
      <c r="O434" s="6">
        <f t="shared" si="25"/>
        <v>1.3962732919254595E-3</v>
      </c>
      <c r="P434" s="21">
        <f t="shared" si="26"/>
        <v>4.6777745205709885E-6</v>
      </c>
      <c r="Q434">
        <f t="shared" si="27"/>
        <v>3.8621720357142832</v>
      </c>
    </row>
    <row r="435" spans="1:17" x14ac:dyDescent="0.15">
      <c r="A435" s="3">
        <v>35065</v>
      </c>
      <c r="B435" s="4">
        <v>5.5599999999999997E-2</v>
      </c>
      <c r="C435" s="4">
        <v>5.5999999999999994E-2</v>
      </c>
      <c r="D435" s="4">
        <v>5.7999999999999996E-2</v>
      </c>
      <c r="E435" s="4">
        <v>5.7599999999999998E-2</v>
      </c>
      <c r="I435" s="3">
        <v>35065</v>
      </c>
      <c r="J435" s="4">
        <v>5.5599999999999997E-2</v>
      </c>
      <c r="K435" s="4">
        <v>5.5999999999999994E-2</v>
      </c>
      <c r="L435" s="4">
        <v>5.7999999999999996E-2</v>
      </c>
      <c r="M435" s="4">
        <v>5.7599999999999998E-2</v>
      </c>
      <c r="N435" s="6">
        <f t="shared" si="24"/>
        <v>5.4972032015999997E-2</v>
      </c>
      <c r="O435" s="6">
        <f t="shared" si="25"/>
        <v>9.9627329192546188E-4</v>
      </c>
      <c r="P435" s="21">
        <f t="shared" si="26"/>
        <v>3.9434378892902383E-7</v>
      </c>
      <c r="Q435">
        <f t="shared" si="27"/>
        <v>1.1294388201438843</v>
      </c>
    </row>
    <row r="436" spans="1:17" x14ac:dyDescent="0.15">
      <c r="A436" s="3">
        <v>35096</v>
      </c>
      <c r="B436" s="4">
        <v>5.2199999999999996E-2</v>
      </c>
      <c r="C436" s="4">
        <v>5.5599999999999997E-2</v>
      </c>
      <c r="D436" s="4">
        <v>5.5999999999999994E-2</v>
      </c>
      <c r="E436" s="4">
        <v>5.7999999999999996E-2</v>
      </c>
      <c r="I436" s="3">
        <v>35096</v>
      </c>
      <c r="J436" s="4">
        <v>5.2199999999999996E-2</v>
      </c>
      <c r="K436" s="4">
        <v>5.5599999999999997E-2</v>
      </c>
      <c r="L436" s="4">
        <v>5.5999999999999994E-2</v>
      </c>
      <c r="M436" s="4">
        <v>5.7999999999999996E-2</v>
      </c>
      <c r="N436" s="6">
        <f t="shared" si="24"/>
        <v>5.5682396571999998E-2</v>
      </c>
      <c r="O436" s="6">
        <f t="shared" si="25"/>
        <v>2.4037267080745384E-3</v>
      </c>
      <c r="P436" s="21">
        <f t="shared" si="26"/>
        <v>1.2127085884677363E-5</v>
      </c>
      <c r="Q436">
        <f t="shared" si="27"/>
        <v>6.6712578007662868</v>
      </c>
    </row>
    <row r="437" spans="1:17" x14ac:dyDescent="0.15">
      <c r="A437" s="3">
        <v>35125</v>
      </c>
      <c r="B437" s="4">
        <v>5.3099999999999994E-2</v>
      </c>
      <c r="C437" s="4">
        <v>5.2199999999999996E-2</v>
      </c>
      <c r="D437" s="4">
        <v>5.5599999999999997E-2</v>
      </c>
      <c r="E437" s="4">
        <v>5.5999999999999994E-2</v>
      </c>
      <c r="I437" s="3">
        <v>35125</v>
      </c>
      <c r="J437" s="4">
        <v>5.3099999999999994E-2</v>
      </c>
      <c r="K437" s="4">
        <v>5.2199999999999996E-2</v>
      </c>
      <c r="L437" s="4">
        <v>5.5599999999999997E-2</v>
      </c>
      <c r="M437" s="4">
        <v>5.5999999999999994E-2</v>
      </c>
      <c r="N437" s="6">
        <f t="shared" si="24"/>
        <v>5.0710202513999998E-2</v>
      </c>
      <c r="O437" s="6">
        <f t="shared" si="25"/>
        <v>1.5037267080745403E-3</v>
      </c>
      <c r="P437" s="21">
        <f t="shared" si="26"/>
        <v>5.7111320240919026E-6</v>
      </c>
      <c r="Q437">
        <f t="shared" si="27"/>
        <v>4.5005602372881288</v>
      </c>
    </row>
    <row r="438" spans="1:17" x14ac:dyDescent="0.15">
      <c r="A438" s="3">
        <v>35156</v>
      </c>
      <c r="B438" s="4">
        <v>5.2199999999999996E-2</v>
      </c>
      <c r="C438" s="4">
        <v>5.3099999999999994E-2</v>
      </c>
      <c r="D438" s="4">
        <v>5.2199999999999996E-2</v>
      </c>
      <c r="E438" s="4">
        <v>5.5599999999999997E-2</v>
      </c>
      <c r="I438" s="3">
        <v>35156</v>
      </c>
      <c r="J438" s="4">
        <v>5.2199999999999996E-2</v>
      </c>
      <c r="K438" s="4">
        <v>5.3099999999999994E-2</v>
      </c>
      <c r="L438" s="4">
        <v>5.2199999999999996E-2</v>
      </c>
      <c r="M438" s="4">
        <v>5.5599999999999997E-2</v>
      </c>
      <c r="N438" s="6">
        <f t="shared" si="24"/>
        <v>5.4024526342999993E-2</v>
      </c>
      <c r="O438" s="6">
        <f t="shared" si="25"/>
        <v>2.4037267080745384E-3</v>
      </c>
      <c r="P438" s="21">
        <f t="shared" si="26"/>
        <v>3.3288963763009406E-6</v>
      </c>
      <c r="Q438">
        <f t="shared" si="27"/>
        <v>3.4952611934865834</v>
      </c>
    </row>
    <row r="439" spans="1:17" x14ac:dyDescent="0.15">
      <c r="A439" s="3">
        <v>35186</v>
      </c>
      <c r="B439" s="4">
        <v>5.2400000000000002E-2</v>
      </c>
      <c r="C439" s="4">
        <v>5.2199999999999996E-2</v>
      </c>
      <c r="D439" s="4">
        <v>5.3099999999999994E-2</v>
      </c>
      <c r="E439" s="4">
        <v>5.2199999999999996E-2</v>
      </c>
      <c r="I439" s="3">
        <v>35186</v>
      </c>
      <c r="J439" s="4">
        <v>5.2400000000000002E-2</v>
      </c>
      <c r="K439" s="4">
        <v>5.2199999999999996E-2</v>
      </c>
      <c r="L439" s="4">
        <v>5.3099999999999994E-2</v>
      </c>
      <c r="M439" s="4">
        <v>5.2199999999999996E-2</v>
      </c>
      <c r="N439" s="6">
        <f t="shared" si="24"/>
        <v>5.1639143966000001E-2</v>
      </c>
      <c r="O439" s="6">
        <f t="shared" si="25"/>
        <v>2.2037267080745326E-3</v>
      </c>
      <c r="P439" s="21">
        <f t="shared" si="26"/>
        <v>5.789019044742114E-7</v>
      </c>
      <c r="Q439">
        <f t="shared" si="27"/>
        <v>1.4520153320610714</v>
      </c>
    </row>
    <row r="440" spans="1:17" x14ac:dyDescent="0.15">
      <c r="A440" s="3">
        <v>35217</v>
      </c>
      <c r="B440" s="4">
        <v>5.2699999999999997E-2</v>
      </c>
      <c r="C440" s="4">
        <v>5.2400000000000002E-2</v>
      </c>
      <c r="D440" s="4">
        <v>5.2199999999999996E-2</v>
      </c>
      <c r="E440" s="4">
        <v>5.3099999999999994E-2</v>
      </c>
      <c r="I440" s="3">
        <v>35217</v>
      </c>
      <c r="J440" s="4">
        <v>5.2699999999999997E-2</v>
      </c>
      <c r="K440" s="4">
        <v>5.2400000000000002E-2</v>
      </c>
      <c r="L440" s="4">
        <v>5.2199999999999996E-2</v>
      </c>
      <c r="M440" s="4">
        <v>5.3099999999999994E-2</v>
      </c>
      <c r="N440" s="6">
        <f t="shared" si="24"/>
        <v>5.2620356144000006E-2</v>
      </c>
      <c r="O440" s="6">
        <f t="shared" si="25"/>
        <v>1.9037267080745379E-3</v>
      </c>
      <c r="P440" s="21">
        <f t="shared" si="26"/>
        <v>6.3431437985472083E-9</v>
      </c>
      <c r="Q440">
        <f t="shared" si="27"/>
        <v>0.15112686148005772</v>
      </c>
    </row>
    <row r="441" spans="1:17" x14ac:dyDescent="0.15">
      <c r="A441" s="3">
        <v>35247</v>
      </c>
      <c r="B441" s="4">
        <v>5.4000000000000006E-2</v>
      </c>
      <c r="C441" s="4">
        <v>5.2699999999999997E-2</v>
      </c>
      <c r="D441" s="4">
        <v>5.2400000000000002E-2</v>
      </c>
      <c r="E441" s="4">
        <v>5.2199999999999996E-2</v>
      </c>
      <c r="I441" s="3">
        <v>35247</v>
      </c>
      <c r="J441" s="4">
        <v>5.4000000000000006E-2</v>
      </c>
      <c r="K441" s="4">
        <v>5.2699999999999997E-2</v>
      </c>
      <c r="L441" s="4">
        <v>5.2400000000000002E-2</v>
      </c>
      <c r="M441" s="4">
        <v>5.2199999999999996E-2</v>
      </c>
      <c r="N441" s="6">
        <f t="shared" si="24"/>
        <v>5.2788142050999992E-2</v>
      </c>
      <c r="O441" s="6">
        <f t="shared" si="25"/>
        <v>6.0372670807452844E-4</v>
      </c>
      <c r="P441" s="21">
        <f t="shared" si="26"/>
        <v>1.4685996885545211E-6</v>
      </c>
      <c r="Q441">
        <f t="shared" si="27"/>
        <v>2.244181387037063</v>
      </c>
    </row>
    <row r="442" spans="1:17" x14ac:dyDescent="0.15">
      <c r="A442" s="3">
        <v>35278</v>
      </c>
      <c r="B442" s="4">
        <v>5.2199999999999996E-2</v>
      </c>
      <c r="C442" s="4">
        <v>5.4000000000000006E-2</v>
      </c>
      <c r="D442" s="4">
        <v>5.2699999999999997E-2</v>
      </c>
      <c r="E442" s="4">
        <v>5.2400000000000002E-2</v>
      </c>
      <c r="I442" s="3">
        <v>35278</v>
      </c>
      <c r="J442" s="4">
        <v>5.2199999999999996E-2</v>
      </c>
      <c r="K442" s="4">
        <v>5.4000000000000006E-2</v>
      </c>
      <c r="L442" s="4">
        <v>5.2699999999999997E-2</v>
      </c>
      <c r="M442" s="4">
        <v>5.2400000000000002E-2</v>
      </c>
      <c r="N442" s="6">
        <f t="shared" si="24"/>
        <v>5.4510031984000014E-2</v>
      </c>
      <c r="O442" s="6">
        <f t="shared" si="25"/>
        <v>2.4037267080745384E-3</v>
      </c>
      <c r="P442" s="21">
        <f t="shared" si="26"/>
        <v>5.3362477671030568E-6</v>
      </c>
      <c r="Q442">
        <f t="shared" si="27"/>
        <v>4.4253486283525243</v>
      </c>
    </row>
    <row r="443" spans="1:17" x14ac:dyDescent="0.15">
      <c r="A443" s="3">
        <v>35309</v>
      </c>
      <c r="B443" s="4">
        <v>5.2999999999999999E-2</v>
      </c>
      <c r="C443" s="4">
        <v>5.2199999999999996E-2</v>
      </c>
      <c r="D443" s="4">
        <v>5.4000000000000006E-2</v>
      </c>
      <c r="E443" s="4">
        <v>5.2699999999999997E-2</v>
      </c>
      <c r="I443" s="3">
        <v>35309</v>
      </c>
      <c r="J443" s="4">
        <v>5.2999999999999999E-2</v>
      </c>
      <c r="K443" s="4">
        <v>5.2199999999999996E-2</v>
      </c>
      <c r="L443" s="4">
        <v>5.4000000000000006E-2</v>
      </c>
      <c r="M443" s="4">
        <v>5.2699999999999997E-2</v>
      </c>
      <c r="N443" s="6">
        <f t="shared" si="24"/>
        <v>5.1167516845999989E-2</v>
      </c>
      <c r="O443" s="6">
        <f t="shared" si="25"/>
        <v>1.6037267080745363E-3</v>
      </c>
      <c r="P443" s="21">
        <f t="shared" si="26"/>
        <v>3.3579945096938243E-6</v>
      </c>
      <c r="Q443">
        <f t="shared" si="27"/>
        <v>3.4575153849056797</v>
      </c>
    </row>
    <row r="444" spans="1:17" x14ac:dyDescent="0.15">
      <c r="A444" s="3">
        <v>35339</v>
      </c>
      <c r="B444" s="4">
        <v>5.2400000000000002E-2</v>
      </c>
      <c r="C444" s="4">
        <v>5.2999999999999999E-2</v>
      </c>
      <c r="D444" s="4">
        <v>5.2199999999999996E-2</v>
      </c>
      <c r="E444" s="4">
        <v>5.4000000000000006E-2</v>
      </c>
      <c r="I444" s="3">
        <v>35339</v>
      </c>
      <c r="J444" s="4">
        <v>5.2400000000000002E-2</v>
      </c>
      <c r="K444" s="4">
        <v>5.2999999999999999E-2</v>
      </c>
      <c r="L444" s="4">
        <v>5.2199999999999996E-2</v>
      </c>
      <c r="M444" s="4">
        <v>5.4000000000000006E-2</v>
      </c>
      <c r="N444" s="6">
        <f t="shared" si="24"/>
        <v>5.3627467250000005E-2</v>
      </c>
      <c r="O444" s="6">
        <f t="shared" si="25"/>
        <v>2.2037267080745326E-3</v>
      </c>
      <c r="P444" s="21">
        <f t="shared" si="26"/>
        <v>1.5066758498225694E-6</v>
      </c>
      <c r="Q444">
        <f t="shared" si="27"/>
        <v>2.3424947519084021</v>
      </c>
    </row>
    <row r="445" spans="1:17" x14ac:dyDescent="0.15">
      <c r="A445" s="3">
        <v>35370</v>
      </c>
      <c r="B445" s="4">
        <v>5.3099999999999994E-2</v>
      </c>
      <c r="C445" s="4">
        <v>5.2400000000000002E-2</v>
      </c>
      <c r="D445" s="4">
        <v>5.2999999999999999E-2</v>
      </c>
      <c r="E445" s="4">
        <v>5.2199999999999996E-2</v>
      </c>
      <c r="I445" s="3">
        <v>35370</v>
      </c>
      <c r="J445" s="4">
        <v>5.3099999999999994E-2</v>
      </c>
      <c r="K445" s="4">
        <v>5.2400000000000002E-2</v>
      </c>
      <c r="L445" s="4">
        <v>5.2999999999999999E-2</v>
      </c>
      <c r="M445" s="4">
        <v>5.2199999999999996E-2</v>
      </c>
      <c r="N445" s="6">
        <f t="shared" si="24"/>
        <v>5.1988610380000008E-2</v>
      </c>
      <c r="O445" s="6">
        <f t="shared" si="25"/>
        <v>1.5037267080745403E-3</v>
      </c>
      <c r="P445" s="21">
        <f t="shared" si="26"/>
        <v>1.2351868874437138E-6</v>
      </c>
      <c r="Q445">
        <f t="shared" si="27"/>
        <v>2.0930124670432888</v>
      </c>
    </row>
    <row r="446" spans="1:17" x14ac:dyDescent="0.15">
      <c r="A446" s="3">
        <v>35400</v>
      </c>
      <c r="B446" s="4">
        <v>5.2900000000000003E-2</v>
      </c>
      <c r="C446" s="4">
        <v>5.3099999999999994E-2</v>
      </c>
      <c r="D446" s="4">
        <v>5.2400000000000002E-2</v>
      </c>
      <c r="E446" s="4">
        <v>5.2999999999999999E-2</v>
      </c>
      <c r="I446" s="3">
        <v>35400</v>
      </c>
      <c r="J446" s="4">
        <v>5.2900000000000003E-2</v>
      </c>
      <c r="K446" s="4">
        <v>5.3099999999999994E-2</v>
      </c>
      <c r="L446" s="4">
        <v>5.2400000000000002E-2</v>
      </c>
      <c r="M446" s="4">
        <v>5.2999999999999999E-2</v>
      </c>
      <c r="N446" s="6">
        <f t="shared" si="24"/>
        <v>5.3491164246999991E-2</v>
      </c>
      <c r="O446" s="6">
        <f t="shared" si="25"/>
        <v>1.7037267080745322E-3</v>
      </c>
      <c r="P446" s="21">
        <f t="shared" si="26"/>
        <v>3.4947516693106292E-7</v>
      </c>
      <c r="Q446">
        <f t="shared" si="27"/>
        <v>1.1175127542532854</v>
      </c>
    </row>
    <row r="447" spans="1:17" x14ac:dyDescent="0.15">
      <c r="A447" s="3">
        <v>35431</v>
      </c>
      <c r="B447" s="4">
        <v>5.2499999999999998E-2</v>
      </c>
      <c r="C447" s="4">
        <v>5.2900000000000003E-2</v>
      </c>
      <c r="D447" s="4">
        <v>5.3099999999999994E-2</v>
      </c>
      <c r="E447" s="4">
        <v>5.2400000000000002E-2</v>
      </c>
      <c r="I447" s="3">
        <v>35431</v>
      </c>
      <c r="J447" s="4">
        <v>5.2499999999999998E-2</v>
      </c>
      <c r="K447" s="4">
        <v>5.2900000000000003E-2</v>
      </c>
      <c r="L447" s="4">
        <v>5.3099999999999994E-2</v>
      </c>
      <c r="M447" s="4">
        <v>5.2400000000000002E-2</v>
      </c>
      <c r="N447" s="6">
        <f t="shared" si="24"/>
        <v>5.2679744057000009E-2</v>
      </c>
      <c r="O447" s="6">
        <f t="shared" si="25"/>
        <v>2.1037267080745367E-3</v>
      </c>
      <c r="P447" s="21">
        <f t="shared" si="26"/>
        <v>3.2307926026823346E-8</v>
      </c>
      <c r="Q447">
        <f t="shared" si="27"/>
        <v>0.34236963238097412</v>
      </c>
    </row>
    <row r="448" spans="1:17" x14ac:dyDescent="0.15">
      <c r="A448" s="3">
        <v>35462</v>
      </c>
      <c r="B448" s="4">
        <v>5.1900000000000002E-2</v>
      </c>
      <c r="C448" s="4">
        <v>5.2499999999999998E-2</v>
      </c>
      <c r="D448" s="4">
        <v>5.2900000000000003E-2</v>
      </c>
      <c r="E448" s="4">
        <v>5.3099999999999994E-2</v>
      </c>
      <c r="I448" s="3">
        <v>35462</v>
      </c>
      <c r="J448" s="4">
        <v>5.1900000000000002E-2</v>
      </c>
      <c r="K448" s="4">
        <v>5.2499999999999998E-2</v>
      </c>
      <c r="L448" s="4">
        <v>5.2900000000000003E-2</v>
      </c>
      <c r="M448" s="4">
        <v>5.3099999999999994E-2</v>
      </c>
      <c r="N448" s="6">
        <f t="shared" si="24"/>
        <v>5.2336202600999991E-2</v>
      </c>
      <c r="O448" s="6">
        <f t="shared" si="25"/>
        <v>2.7037267080745331E-3</v>
      </c>
      <c r="P448" s="21">
        <f t="shared" si="26"/>
        <v>1.9027270911915602E-7</v>
      </c>
      <c r="Q448">
        <f t="shared" si="27"/>
        <v>0.84046743930633816</v>
      </c>
    </row>
    <row r="449" spans="1:17" x14ac:dyDescent="0.15">
      <c r="A449" s="3">
        <v>35490</v>
      </c>
      <c r="B449" s="4">
        <v>5.3899999999999997E-2</v>
      </c>
      <c r="C449" s="4">
        <v>5.1900000000000002E-2</v>
      </c>
      <c r="D449" s="4">
        <v>5.2499999999999998E-2</v>
      </c>
      <c r="E449" s="4">
        <v>5.2900000000000003E-2</v>
      </c>
      <c r="I449" s="3">
        <v>35490</v>
      </c>
      <c r="J449" s="4">
        <v>5.3899999999999997E-2</v>
      </c>
      <c r="K449" s="4">
        <v>5.1900000000000002E-2</v>
      </c>
      <c r="L449" s="4">
        <v>5.2499999999999998E-2</v>
      </c>
      <c r="M449" s="4">
        <v>5.2900000000000003E-2</v>
      </c>
      <c r="N449" s="6">
        <f t="shared" si="24"/>
        <v>5.1684482867000017E-2</v>
      </c>
      <c r="O449" s="6">
        <f t="shared" si="25"/>
        <v>7.0372670807453824E-4</v>
      </c>
      <c r="P449" s="21">
        <f t="shared" si="26"/>
        <v>4.9085161666164478E-6</v>
      </c>
      <c r="Q449">
        <f t="shared" si="27"/>
        <v>4.1104213970315016</v>
      </c>
    </row>
    <row r="450" spans="1:17" x14ac:dyDescent="0.15">
      <c r="A450" s="3">
        <v>35521</v>
      </c>
      <c r="B450" s="4">
        <v>5.5099999999999996E-2</v>
      </c>
      <c r="C450" s="4">
        <v>5.3899999999999997E-2</v>
      </c>
      <c r="D450" s="4">
        <v>5.1900000000000002E-2</v>
      </c>
      <c r="E450" s="4">
        <v>5.2499999999999998E-2</v>
      </c>
      <c r="I450" s="3">
        <v>35521</v>
      </c>
      <c r="J450" s="4">
        <v>5.5099999999999996E-2</v>
      </c>
      <c r="K450" s="4">
        <v>5.3899999999999997E-2</v>
      </c>
      <c r="L450" s="4">
        <v>5.1900000000000002E-2</v>
      </c>
      <c r="M450" s="4">
        <v>5.2499999999999998E-2</v>
      </c>
      <c r="N450" s="6">
        <f t="shared" si="24"/>
        <v>5.4871177822999988E-2</v>
      </c>
      <c r="O450" s="6">
        <f t="shared" si="25"/>
        <v>4.9627329192546143E-4</v>
      </c>
      <c r="P450" s="21">
        <f t="shared" si="26"/>
        <v>5.2359588687023197E-8</v>
      </c>
      <c r="Q450">
        <f t="shared" si="27"/>
        <v>0.41528525771326397</v>
      </c>
    </row>
    <row r="451" spans="1:17" x14ac:dyDescent="0.15">
      <c r="A451" s="3">
        <v>35551</v>
      </c>
      <c r="B451" s="4">
        <v>5.5E-2</v>
      </c>
      <c r="C451" s="4">
        <v>5.5099999999999996E-2</v>
      </c>
      <c r="D451" s="4">
        <v>5.3899999999999997E-2</v>
      </c>
      <c r="E451" s="4">
        <v>5.1900000000000002E-2</v>
      </c>
      <c r="I451" s="3">
        <v>35551</v>
      </c>
      <c r="J451" s="4">
        <v>5.5E-2</v>
      </c>
      <c r="K451" s="4">
        <v>5.5099999999999996E-2</v>
      </c>
      <c r="L451" s="4">
        <v>5.3899999999999997E-2</v>
      </c>
      <c r="M451" s="4">
        <v>5.1900000000000002E-2</v>
      </c>
      <c r="N451" s="6">
        <f t="shared" si="24"/>
        <v>5.5282324531000002E-2</v>
      </c>
      <c r="O451" s="6">
        <f t="shared" si="25"/>
        <v>3.9627329192546551E-4</v>
      </c>
      <c r="P451" s="21">
        <f t="shared" si="26"/>
        <v>7.9707140804370735E-8</v>
      </c>
      <c r="Q451">
        <f t="shared" si="27"/>
        <v>0.51331732909091154</v>
      </c>
    </row>
    <row r="452" spans="1:17" x14ac:dyDescent="0.15">
      <c r="A452" s="3">
        <v>35582</v>
      </c>
      <c r="B452" s="4">
        <v>5.5599999999999997E-2</v>
      </c>
      <c r="C452" s="4">
        <v>5.5E-2</v>
      </c>
      <c r="D452" s="4">
        <v>5.5099999999999996E-2</v>
      </c>
      <c r="E452" s="4">
        <v>5.3899999999999997E-2</v>
      </c>
      <c r="I452" s="3">
        <v>35582</v>
      </c>
      <c r="J452" s="4">
        <v>5.5599999999999997E-2</v>
      </c>
      <c r="K452" s="4">
        <v>5.5E-2</v>
      </c>
      <c r="L452" s="4">
        <v>5.5099999999999996E-2</v>
      </c>
      <c r="M452" s="4">
        <v>5.3899999999999997E-2</v>
      </c>
      <c r="N452" s="6">
        <f t="shared" si="24"/>
        <v>5.4720112894000007E-2</v>
      </c>
      <c r="O452" s="6">
        <f t="shared" si="25"/>
        <v>9.9627329192546188E-4</v>
      </c>
      <c r="P452" s="21">
        <f t="shared" si="26"/>
        <v>7.7420131930503653E-7</v>
      </c>
      <c r="Q452">
        <f t="shared" si="27"/>
        <v>1.5825307661870311</v>
      </c>
    </row>
    <row r="453" spans="1:17" x14ac:dyDescent="0.15">
      <c r="A453" s="3">
        <v>35612</v>
      </c>
      <c r="B453" s="4">
        <v>5.5199999999999999E-2</v>
      </c>
      <c r="C453" s="4">
        <v>5.5599999999999997E-2</v>
      </c>
      <c r="D453" s="4">
        <v>5.5E-2</v>
      </c>
      <c r="E453" s="4">
        <v>5.5099999999999996E-2</v>
      </c>
      <c r="I453" s="3">
        <v>35612</v>
      </c>
      <c r="J453" s="4">
        <v>5.5199999999999999E-2</v>
      </c>
      <c r="K453" s="4">
        <v>5.5599999999999997E-2</v>
      </c>
      <c r="L453" s="4">
        <v>5.5E-2</v>
      </c>
      <c r="M453" s="4">
        <v>5.5099999999999996E-2</v>
      </c>
      <c r="N453" s="6">
        <f t="shared" si="24"/>
        <v>5.5835831087999992E-2</v>
      </c>
      <c r="O453" s="6">
        <f t="shared" si="25"/>
        <v>5.962732919254643E-4</v>
      </c>
      <c r="P453" s="21">
        <f t="shared" si="26"/>
        <v>4.0428117246725432E-7</v>
      </c>
      <c r="Q453">
        <f t="shared" si="27"/>
        <v>1.151867913043465</v>
      </c>
    </row>
    <row r="454" spans="1:17" x14ac:dyDescent="0.15">
      <c r="A454" s="3">
        <v>35643</v>
      </c>
      <c r="B454" s="4">
        <v>5.5399999999999998E-2</v>
      </c>
      <c r="C454" s="4">
        <v>5.5199999999999999E-2</v>
      </c>
      <c r="D454" s="4">
        <v>5.5599999999999997E-2</v>
      </c>
      <c r="E454" s="4">
        <v>5.5E-2</v>
      </c>
      <c r="I454" s="3">
        <v>35643</v>
      </c>
      <c r="J454" s="4">
        <v>5.5399999999999998E-2</v>
      </c>
      <c r="K454" s="4">
        <v>5.5199999999999999E-2</v>
      </c>
      <c r="L454" s="4">
        <v>5.5599999999999997E-2</v>
      </c>
      <c r="M454" s="4">
        <v>5.5E-2</v>
      </c>
      <c r="N454" s="6">
        <f t="shared" si="24"/>
        <v>5.4876351264000006E-2</v>
      </c>
      <c r="O454" s="6">
        <f t="shared" si="25"/>
        <v>7.9627329192546309E-4</v>
      </c>
      <c r="P454" s="21">
        <f t="shared" si="26"/>
        <v>2.7420799871438897E-7</v>
      </c>
      <c r="Q454">
        <f t="shared" si="27"/>
        <v>0.94521432490973223</v>
      </c>
    </row>
    <row r="455" spans="1:17" x14ac:dyDescent="0.15">
      <c r="A455" s="3">
        <v>35674</v>
      </c>
      <c r="B455" s="4">
        <v>5.5399999999999998E-2</v>
      </c>
      <c r="C455" s="4">
        <v>5.5399999999999998E-2</v>
      </c>
      <c r="D455" s="4">
        <v>5.5199999999999999E-2</v>
      </c>
      <c r="E455" s="4">
        <v>5.5599999999999997E-2</v>
      </c>
      <c r="I455" s="3">
        <v>35674</v>
      </c>
      <c r="J455" s="4">
        <v>5.5399999999999998E-2</v>
      </c>
      <c r="K455" s="4">
        <v>5.5399999999999998E-2</v>
      </c>
      <c r="L455" s="4">
        <v>5.5199999999999999E-2</v>
      </c>
      <c r="M455" s="4">
        <v>5.5599999999999997E-2</v>
      </c>
      <c r="N455" s="6">
        <f t="shared" ref="N455:N518" si="28" xml:space="preserve"> 0.00063539 + 1.44140757*K455 - 0.611849*L455 + 0.15807396*M455</f>
        <v>5.5504216754000003E-2</v>
      </c>
      <c r="O455" s="6">
        <f t="shared" ref="O455:O518" si="29">ABS(J455-$U$32)</f>
        <v>7.9627329192546309E-4</v>
      </c>
      <c r="P455" s="21">
        <f t="shared" ref="P455:P518" si="30">(N455-J455)^2</f>
        <v>1.0861131814297666E-8</v>
      </c>
      <c r="Q455">
        <f t="shared" ref="Q455:Q518" si="31">ABS(N455-J455)/J455*100</f>
        <v>0.18811688447654426</v>
      </c>
    </row>
    <row r="456" spans="1:17" x14ac:dyDescent="0.15">
      <c r="A456" s="3">
        <v>35704</v>
      </c>
      <c r="B456" s="4">
        <v>5.5E-2</v>
      </c>
      <c r="C456" s="4">
        <v>5.5399999999999998E-2</v>
      </c>
      <c r="D456" s="4">
        <v>5.5399999999999998E-2</v>
      </c>
      <c r="E456" s="4">
        <v>5.5199999999999999E-2</v>
      </c>
      <c r="I456" s="3">
        <v>35704</v>
      </c>
      <c r="J456" s="4">
        <v>5.5E-2</v>
      </c>
      <c r="K456" s="4">
        <v>5.5399999999999998E-2</v>
      </c>
      <c r="L456" s="4">
        <v>5.5399999999999998E-2</v>
      </c>
      <c r="M456" s="4">
        <v>5.5199999999999999E-2</v>
      </c>
      <c r="N456" s="6">
        <f t="shared" si="28"/>
        <v>5.5318617370000003E-2</v>
      </c>
      <c r="O456" s="6">
        <f t="shared" si="29"/>
        <v>3.9627329192546551E-4</v>
      </c>
      <c r="P456" s="21">
        <f t="shared" si="30"/>
        <v>1.0151702846571885E-7</v>
      </c>
      <c r="Q456">
        <f t="shared" si="31"/>
        <v>0.57930430909091468</v>
      </c>
    </row>
    <row r="457" spans="1:17" x14ac:dyDescent="0.15">
      <c r="A457" s="3">
        <v>35735</v>
      </c>
      <c r="B457" s="4">
        <v>5.5199999999999999E-2</v>
      </c>
      <c r="C457" s="4">
        <v>5.5E-2</v>
      </c>
      <c r="D457" s="4">
        <v>5.5399999999999998E-2</v>
      </c>
      <c r="E457" s="4">
        <v>5.5399999999999998E-2</v>
      </c>
      <c r="I457" s="3">
        <v>35735</v>
      </c>
      <c r="J457" s="4">
        <v>5.5199999999999999E-2</v>
      </c>
      <c r="K457" s="4">
        <v>5.5E-2</v>
      </c>
      <c r="L457" s="4">
        <v>5.5399999999999998E-2</v>
      </c>
      <c r="M457" s="4">
        <v>5.5399999999999998E-2</v>
      </c>
      <c r="N457" s="6">
        <f t="shared" si="28"/>
        <v>5.477366913400001E-2</v>
      </c>
      <c r="O457" s="6">
        <f t="shared" si="29"/>
        <v>5.962732919254643E-4</v>
      </c>
      <c r="P457" s="21">
        <f t="shared" si="30"/>
        <v>1.8175800730430104E-7</v>
      </c>
      <c r="Q457">
        <f t="shared" si="31"/>
        <v>0.77233852536229985</v>
      </c>
    </row>
    <row r="458" spans="1:17" x14ac:dyDescent="0.15">
      <c r="A458" s="3">
        <v>35765</v>
      </c>
      <c r="B458" s="4">
        <v>5.5E-2</v>
      </c>
      <c r="C458" s="4">
        <v>5.5199999999999999E-2</v>
      </c>
      <c r="D458" s="4">
        <v>5.5E-2</v>
      </c>
      <c r="E458" s="4">
        <v>5.5399999999999998E-2</v>
      </c>
      <c r="I458" s="3">
        <v>35765</v>
      </c>
      <c r="J458" s="4">
        <v>5.5E-2</v>
      </c>
      <c r="K458" s="4">
        <v>5.5199999999999999E-2</v>
      </c>
      <c r="L458" s="4">
        <v>5.5E-2</v>
      </c>
      <c r="M458" s="4">
        <v>5.5399999999999998E-2</v>
      </c>
      <c r="N458" s="6">
        <f t="shared" si="28"/>
        <v>5.5306690248000001E-2</v>
      </c>
      <c r="O458" s="6">
        <f t="shared" si="29"/>
        <v>3.9627329192546551E-4</v>
      </c>
      <c r="P458" s="21">
        <f t="shared" si="30"/>
        <v>9.4058908218302009E-8</v>
      </c>
      <c r="Q458">
        <f t="shared" si="31"/>
        <v>0.55761863272727419</v>
      </c>
    </row>
    <row r="459" spans="1:17" x14ac:dyDescent="0.15">
      <c r="A459" s="3">
        <v>35796</v>
      </c>
      <c r="B459" s="4">
        <v>5.5599999999999997E-2</v>
      </c>
      <c r="C459" s="4">
        <v>5.5E-2</v>
      </c>
      <c r="D459" s="4">
        <v>5.5199999999999999E-2</v>
      </c>
      <c r="E459" s="4">
        <v>5.5E-2</v>
      </c>
      <c r="I459" s="3">
        <v>35796</v>
      </c>
      <c r="J459" s="4">
        <v>5.5599999999999997E-2</v>
      </c>
      <c r="K459" s="4">
        <v>5.5E-2</v>
      </c>
      <c r="L459" s="4">
        <v>5.5199999999999999E-2</v>
      </c>
      <c r="M459" s="4">
        <v>5.5E-2</v>
      </c>
      <c r="N459" s="6">
        <f t="shared" si="28"/>
        <v>5.4832809350000011E-2</v>
      </c>
      <c r="O459" s="6">
        <f t="shared" si="29"/>
        <v>9.9627329192546188E-4</v>
      </c>
      <c r="P459" s="21">
        <f t="shared" si="30"/>
        <v>5.8858149344740001E-7</v>
      </c>
      <c r="Q459">
        <f t="shared" si="31"/>
        <v>1.3798392985611247</v>
      </c>
    </row>
    <row r="460" spans="1:17" x14ac:dyDescent="0.15">
      <c r="A460" s="3">
        <v>35827</v>
      </c>
      <c r="B460" s="4">
        <v>5.5099999999999996E-2</v>
      </c>
      <c r="C460" s="4">
        <v>5.5599999999999997E-2</v>
      </c>
      <c r="D460" s="4">
        <v>5.5E-2</v>
      </c>
      <c r="E460" s="4">
        <v>5.5199999999999999E-2</v>
      </c>
      <c r="I460" s="3">
        <v>35827</v>
      </c>
      <c r="J460" s="4">
        <v>5.5099999999999996E-2</v>
      </c>
      <c r="K460" s="4">
        <v>5.5599999999999997E-2</v>
      </c>
      <c r="L460" s="4">
        <v>5.5E-2</v>
      </c>
      <c r="M460" s="4">
        <v>5.5199999999999999E-2</v>
      </c>
      <c r="N460" s="6">
        <f t="shared" si="28"/>
        <v>5.5851638483999995E-2</v>
      </c>
      <c r="O460" s="6">
        <f t="shared" si="29"/>
        <v>4.9627329192546143E-4</v>
      </c>
      <c r="P460" s="21">
        <f t="shared" si="30"/>
        <v>5.6496041062981638E-7</v>
      </c>
      <c r="Q460">
        <f t="shared" si="31"/>
        <v>1.364135179673319</v>
      </c>
    </row>
    <row r="461" spans="1:17" x14ac:dyDescent="0.15">
      <c r="A461" s="3">
        <v>35855</v>
      </c>
      <c r="B461" s="4">
        <v>5.4900000000000004E-2</v>
      </c>
      <c r="C461" s="4">
        <v>5.5099999999999996E-2</v>
      </c>
      <c r="D461" s="4">
        <v>5.5599999999999997E-2</v>
      </c>
      <c r="E461" s="4">
        <v>5.5E-2</v>
      </c>
      <c r="I461" s="3">
        <v>35855</v>
      </c>
      <c r="J461" s="4">
        <v>5.4900000000000004E-2</v>
      </c>
      <c r="K461" s="4">
        <v>5.5099999999999996E-2</v>
      </c>
      <c r="L461" s="4">
        <v>5.5599999999999997E-2</v>
      </c>
      <c r="M461" s="4">
        <v>5.5E-2</v>
      </c>
      <c r="N461" s="6">
        <f t="shared" si="28"/>
        <v>5.4732210507000001E-2</v>
      </c>
      <c r="O461" s="6">
        <f t="shared" si="29"/>
        <v>2.9627329192546958E-4</v>
      </c>
      <c r="P461" s="21">
        <f t="shared" si="30"/>
        <v>2.8153313961198206E-8</v>
      </c>
      <c r="Q461">
        <f t="shared" si="31"/>
        <v>0.30562749180328497</v>
      </c>
    </row>
    <row r="462" spans="1:17" x14ac:dyDescent="0.15">
      <c r="A462" s="3">
        <v>35886</v>
      </c>
      <c r="B462" s="4">
        <v>5.45E-2</v>
      </c>
      <c r="C462" s="4">
        <v>5.4900000000000004E-2</v>
      </c>
      <c r="D462" s="4">
        <v>5.5099999999999996E-2</v>
      </c>
      <c r="E462" s="4">
        <v>5.5599999999999997E-2</v>
      </c>
      <c r="I462" s="3">
        <v>35886</v>
      </c>
      <c r="J462" s="4">
        <v>5.45E-2</v>
      </c>
      <c r="K462" s="4">
        <v>5.4900000000000004E-2</v>
      </c>
      <c r="L462" s="4">
        <v>5.5099999999999996E-2</v>
      </c>
      <c r="M462" s="4">
        <v>5.5599999999999997E-2</v>
      </c>
      <c r="N462" s="6">
        <f t="shared" si="28"/>
        <v>5.4844697869000002E-2</v>
      </c>
      <c r="O462" s="6">
        <f t="shared" si="29"/>
        <v>1.0372670807453493E-4</v>
      </c>
      <c r="P462" s="21">
        <f t="shared" si="30"/>
        <v>1.1881662089314245E-7</v>
      </c>
      <c r="Q462">
        <f t="shared" si="31"/>
        <v>0.63247315412844385</v>
      </c>
    </row>
    <row r="463" spans="1:17" x14ac:dyDescent="0.15">
      <c r="A463" s="3">
        <v>35916</v>
      </c>
      <c r="B463" s="4">
        <v>5.4900000000000004E-2</v>
      </c>
      <c r="C463" s="4">
        <v>5.45E-2</v>
      </c>
      <c r="D463" s="4">
        <v>5.4900000000000004E-2</v>
      </c>
      <c r="E463" s="4">
        <v>5.5099999999999996E-2</v>
      </c>
      <c r="I463" s="3">
        <v>35916</v>
      </c>
      <c r="J463" s="4">
        <v>5.4900000000000004E-2</v>
      </c>
      <c r="K463" s="4">
        <v>5.45E-2</v>
      </c>
      <c r="L463" s="4">
        <v>5.4900000000000004E-2</v>
      </c>
      <c r="M463" s="4">
        <v>5.5099999999999996E-2</v>
      </c>
      <c r="N463" s="6">
        <f t="shared" si="28"/>
        <v>5.4311467660999993E-2</v>
      </c>
      <c r="O463" s="6">
        <f t="shared" si="29"/>
        <v>2.9627329192546958E-4</v>
      </c>
      <c r="P463" s="21">
        <f t="shared" si="30"/>
        <v>3.4637031404882427E-7</v>
      </c>
      <c r="Q463">
        <f t="shared" si="31"/>
        <v>1.0720079034608583</v>
      </c>
    </row>
    <row r="464" spans="1:17" x14ac:dyDescent="0.15">
      <c r="A464" s="3">
        <v>35947</v>
      </c>
      <c r="B464" s="4">
        <v>5.5599999999999997E-2</v>
      </c>
      <c r="C464" s="4">
        <v>5.4900000000000004E-2</v>
      </c>
      <c r="D464" s="4">
        <v>5.45E-2</v>
      </c>
      <c r="E464" s="4">
        <v>5.4900000000000004E-2</v>
      </c>
      <c r="I464" s="3">
        <v>35947</v>
      </c>
      <c r="J464" s="4">
        <v>5.5599999999999997E-2</v>
      </c>
      <c r="K464" s="4">
        <v>5.4900000000000004E-2</v>
      </c>
      <c r="L464" s="4">
        <v>5.45E-2</v>
      </c>
      <c r="M464" s="4">
        <v>5.4900000000000004E-2</v>
      </c>
      <c r="N464" s="6">
        <f t="shared" si="28"/>
        <v>5.5101155497000003E-2</v>
      </c>
      <c r="O464" s="6">
        <f t="shared" si="29"/>
        <v>9.9627329192546188E-4</v>
      </c>
      <c r="P464" s="21">
        <f t="shared" si="30"/>
        <v>2.4884583817331114E-7</v>
      </c>
      <c r="Q464">
        <f t="shared" si="31"/>
        <v>0.89720234352516937</v>
      </c>
    </row>
    <row r="465" spans="1:17" x14ac:dyDescent="0.15">
      <c r="A465" s="3">
        <v>35977</v>
      </c>
      <c r="B465" s="4">
        <v>5.5399999999999998E-2</v>
      </c>
      <c r="C465" s="4">
        <v>5.5599999999999997E-2</v>
      </c>
      <c r="D465" s="4">
        <v>5.4900000000000004E-2</v>
      </c>
      <c r="E465" s="4">
        <v>5.45E-2</v>
      </c>
      <c r="I465" s="3">
        <v>35977</v>
      </c>
      <c r="J465" s="4">
        <v>5.5399999999999998E-2</v>
      </c>
      <c r="K465" s="4">
        <v>5.5599999999999997E-2</v>
      </c>
      <c r="L465" s="4">
        <v>5.4900000000000004E-2</v>
      </c>
      <c r="M465" s="4">
        <v>5.45E-2</v>
      </c>
      <c r="N465" s="6">
        <f t="shared" si="28"/>
        <v>5.5802171611999997E-2</v>
      </c>
      <c r="O465" s="6">
        <f t="shared" si="29"/>
        <v>7.9627329192546309E-4</v>
      </c>
      <c r="P465" s="21">
        <f t="shared" si="30"/>
        <v>1.6174200549867779E-7</v>
      </c>
      <c r="Q465">
        <f t="shared" si="31"/>
        <v>0.72594153790613547</v>
      </c>
    </row>
    <row r="466" spans="1:17" x14ac:dyDescent="0.15">
      <c r="A466" s="3">
        <v>36008</v>
      </c>
      <c r="B466" s="4">
        <v>5.5500000000000001E-2</v>
      </c>
      <c r="C466" s="4">
        <v>5.5399999999999998E-2</v>
      </c>
      <c r="D466" s="4">
        <v>5.5599999999999997E-2</v>
      </c>
      <c r="E466" s="4">
        <v>5.4900000000000004E-2</v>
      </c>
      <c r="I466" s="3">
        <v>36008</v>
      </c>
      <c r="J466" s="4">
        <v>5.5500000000000001E-2</v>
      </c>
      <c r="K466" s="4">
        <v>5.5399999999999998E-2</v>
      </c>
      <c r="L466" s="4">
        <v>5.5599999999999997E-2</v>
      </c>
      <c r="M466" s="4">
        <v>5.4900000000000004E-2</v>
      </c>
      <c r="N466" s="6">
        <f t="shared" si="28"/>
        <v>5.5148825382E-2</v>
      </c>
      <c r="O466" s="6">
        <f t="shared" si="29"/>
        <v>8.9627329192546595E-4</v>
      </c>
      <c r="P466" s="21">
        <f t="shared" si="30"/>
        <v>1.2332361232744671E-7</v>
      </c>
      <c r="Q466">
        <f t="shared" si="31"/>
        <v>0.63274705945946152</v>
      </c>
    </row>
    <row r="467" spans="1:17" x14ac:dyDescent="0.15">
      <c r="A467" s="3">
        <v>36039</v>
      </c>
      <c r="B467" s="4">
        <v>5.5099999999999996E-2</v>
      </c>
      <c r="C467" s="4">
        <v>5.5500000000000001E-2</v>
      </c>
      <c r="D467" s="4">
        <v>5.5399999999999998E-2</v>
      </c>
      <c r="E467" s="4">
        <v>5.5599999999999997E-2</v>
      </c>
      <c r="I467" s="3">
        <v>36039</v>
      </c>
      <c r="J467" s="4">
        <v>5.5099999999999996E-2</v>
      </c>
      <c r="K467" s="4">
        <v>5.5500000000000001E-2</v>
      </c>
      <c r="L467" s="4">
        <v>5.5399999999999998E-2</v>
      </c>
      <c r="M467" s="4">
        <v>5.5599999999999997E-2</v>
      </c>
      <c r="N467" s="6">
        <f t="shared" si="28"/>
        <v>5.5525987711000008E-2</v>
      </c>
      <c r="O467" s="6">
        <f t="shared" si="29"/>
        <v>4.9627329192546143E-4</v>
      </c>
      <c r="P467" s="21">
        <f t="shared" si="30"/>
        <v>1.8146552992302936E-7</v>
      </c>
      <c r="Q467">
        <f t="shared" si="31"/>
        <v>0.77311744283123696</v>
      </c>
    </row>
    <row r="468" spans="1:17" x14ac:dyDescent="0.15">
      <c r="A468" s="3">
        <v>36069</v>
      </c>
      <c r="B468" s="4">
        <v>5.0700000000000002E-2</v>
      </c>
      <c r="C468" s="4">
        <v>5.5099999999999996E-2</v>
      </c>
      <c r="D468" s="4">
        <v>5.5500000000000001E-2</v>
      </c>
      <c r="E468" s="4">
        <v>5.5399999999999998E-2</v>
      </c>
      <c r="I468" s="3">
        <v>36069</v>
      </c>
      <c r="J468" s="4">
        <v>5.0700000000000002E-2</v>
      </c>
      <c r="K468" s="4">
        <v>5.5099999999999996E-2</v>
      </c>
      <c r="L468" s="4">
        <v>5.5500000000000001E-2</v>
      </c>
      <c r="M468" s="4">
        <v>5.5399999999999998E-2</v>
      </c>
      <c r="N468" s="6">
        <f t="shared" si="28"/>
        <v>5.4856624990999997E-2</v>
      </c>
      <c r="O468" s="6">
        <f t="shared" si="29"/>
        <v>3.9037267080745328E-3</v>
      </c>
      <c r="P468" s="21">
        <f t="shared" si="30"/>
        <v>1.7277531315805707E-5</v>
      </c>
      <c r="Q468">
        <f t="shared" si="31"/>
        <v>8.1984713826429889</v>
      </c>
    </row>
    <row r="469" spans="1:17" x14ac:dyDescent="0.15">
      <c r="A469" s="3">
        <v>36100</v>
      </c>
      <c r="B469" s="4">
        <v>4.8300000000000003E-2</v>
      </c>
      <c r="C469" s="4">
        <v>5.0700000000000002E-2</v>
      </c>
      <c r="D469" s="4">
        <v>5.5099999999999996E-2</v>
      </c>
      <c r="E469" s="4">
        <v>5.5500000000000001E-2</v>
      </c>
      <c r="I469" s="3">
        <v>36100</v>
      </c>
      <c r="J469" s="4">
        <v>4.8300000000000003E-2</v>
      </c>
      <c r="K469" s="4">
        <v>5.0700000000000002E-2</v>
      </c>
      <c r="L469" s="4">
        <v>5.5099999999999996E-2</v>
      </c>
      <c r="M469" s="4">
        <v>5.5500000000000001E-2</v>
      </c>
      <c r="N469" s="6">
        <f t="shared" si="28"/>
        <v>4.8774978678999999E-2</v>
      </c>
      <c r="O469" s="6">
        <f t="shared" si="29"/>
        <v>6.3037267080745321E-3</v>
      </c>
      <c r="P469" s="21">
        <f t="shared" si="30"/>
        <v>2.2560474550458125E-7</v>
      </c>
      <c r="Q469">
        <f t="shared" si="31"/>
        <v>0.98339271014491925</v>
      </c>
    </row>
    <row r="470" spans="1:17" x14ac:dyDescent="0.15">
      <c r="A470" s="3">
        <v>36130</v>
      </c>
      <c r="B470" s="4">
        <v>4.6799999999999994E-2</v>
      </c>
      <c r="C470" s="4">
        <v>4.8300000000000003E-2</v>
      </c>
      <c r="D470" s="4">
        <v>5.0700000000000002E-2</v>
      </c>
      <c r="E470" s="4">
        <v>5.5099999999999996E-2</v>
      </c>
      <c r="I470" s="3">
        <v>36130</v>
      </c>
      <c r="J470" s="4">
        <v>4.6799999999999994E-2</v>
      </c>
      <c r="K470" s="4">
        <v>4.8300000000000003E-2</v>
      </c>
      <c r="L470" s="4">
        <v>5.0700000000000002E-2</v>
      </c>
      <c r="M470" s="4">
        <v>5.5099999999999996E-2</v>
      </c>
      <c r="N470" s="6">
        <f t="shared" si="28"/>
        <v>4.7944506526999997E-2</v>
      </c>
      <c r="O470" s="6">
        <f t="shared" si="29"/>
        <v>7.8037267080745404E-3</v>
      </c>
      <c r="P470" s="21">
        <f t="shared" si="30"/>
        <v>1.3098951903456077E-6</v>
      </c>
      <c r="Q470">
        <f t="shared" si="31"/>
        <v>2.4455267670940231</v>
      </c>
    </row>
    <row r="471" spans="1:17" x14ac:dyDescent="0.15">
      <c r="A471" s="3">
        <v>36161</v>
      </c>
      <c r="B471" s="4">
        <v>4.6300000000000001E-2</v>
      </c>
      <c r="C471" s="4">
        <v>4.6799999999999994E-2</v>
      </c>
      <c r="D471" s="4">
        <v>4.8300000000000003E-2</v>
      </c>
      <c r="E471" s="4">
        <v>5.0700000000000002E-2</v>
      </c>
      <c r="I471" s="3">
        <v>36161</v>
      </c>
      <c r="J471" s="4">
        <v>4.6300000000000001E-2</v>
      </c>
      <c r="K471" s="4">
        <v>4.6799999999999994E-2</v>
      </c>
      <c r="L471" s="4">
        <v>4.8300000000000003E-2</v>
      </c>
      <c r="M471" s="4">
        <v>5.0700000000000002E-2</v>
      </c>
      <c r="N471" s="6">
        <f t="shared" si="28"/>
        <v>4.6555307347999987E-2</v>
      </c>
      <c r="O471" s="6">
        <f t="shared" si="29"/>
        <v>8.3037267080745339E-3</v>
      </c>
      <c r="P471" s="21">
        <f t="shared" si="30"/>
        <v>6.5181841942786065E-8</v>
      </c>
      <c r="Q471">
        <f t="shared" si="31"/>
        <v>0.5514197580993222</v>
      </c>
    </row>
    <row r="472" spans="1:17" x14ac:dyDescent="0.15">
      <c r="A472" s="3">
        <v>36192</v>
      </c>
      <c r="B472" s="4">
        <v>4.7599999999999996E-2</v>
      </c>
      <c r="C472" s="4">
        <v>4.6300000000000001E-2</v>
      </c>
      <c r="D472" s="4">
        <v>4.6799999999999994E-2</v>
      </c>
      <c r="E472" s="4">
        <v>4.8300000000000003E-2</v>
      </c>
      <c r="I472" s="3">
        <v>36192</v>
      </c>
      <c r="J472" s="4">
        <v>4.7599999999999996E-2</v>
      </c>
      <c r="K472" s="4">
        <v>4.6300000000000001E-2</v>
      </c>
      <c r="L472" s="4">
        <v>4.6799999999999994E-2</v>
      </c>
      <c r="M472" s="4">
        <v>4.8300000000000003E-2</v>
      </c>
      <c r="N472" s="6">
        <f t="shared" si="28"/>
        <v>4.6372999559000011E-2</v>
      </c>
      <c r="O472" s="6">
        <f t="shared" si="29"/>
        <v>7.0037267080745383E-3</v>
      </c>
      <c r="P472" s="21">
        <f t="shared" si="30"/>
        <v>1.5055300822141588E-6</v>
      </c>
      <c r="Q472">
        <f t="shared" si="31"/>
        <v>2.5777320189075326</v>
      </c>
    </row>
    <row r="473" spans="1:17" x14ac:dyDescent="0.15">
      <c r="A473" s="3">
        <v>36220</v>
      </c>
      <c r="B473" s="4">
        <v>4.8099999999999997E-2</v>
      </c>
      <c r="C473" s="4">
        <v>4.7599999999999996E-2</v>
      </c>
      <c r="D473" s="4">
        <v>4.6300000000000001E-2</v>
      </c>
      <c r="E473" s="4">
        <v>4.6799999999999994E-2</v>
      </c>
      <c r="I473" s="3">
        <v>36220</v>
      </c>
      <c r="J473" s="4">
        <v>4.8099999999999997E-2</v>
      </c>
      <c r="K473" s="4">
        <v>4.7599999999999996E-2</v>
      </c>
      <c r="L473" s="4">
        <v>4.6300000000000001E-2</v>
      </c>
      <c r="M473" s="4">
        <v>4.6799999999999994E-2</v>
      </c>
      <c r="N473" s="6">
        <f t="shared" si="28"/>
        <v>4.8315642959999988E-2</v>
      </c>
      <c r="O473" s="6">
        <f t="shared" si="29"/>
        <v>6.5037267080745378E-3</v>
      </c>
      <c r="P473" s="21">
        <f t="shared" si="30"/>
        <v>4.6501886197557814E-8</v>
      </c>
      <c r="Q473">
        <f t="shared" si="31"/>
        <v>0.44832216216214393</v>
      </c>
    </row>
    <row r="474" spans="1:17" x14ac:dyDescent="0.15">
      <c r="A474" s="3">
        <v>36251</v>
      </c>
      <c r="B474" s="4">
        <v>4.7400000000000005E-2</v>
      </c>
      <c r="C474" s="4">
        <v>4.8099999999999997E-2</v>
      </c>
      <c r="D474" s="4">
        <v>4.7599999999999996E-2</v>
      </c>
      <c r="E474" s="4">
        <v>4.6300000000000001E-2</v>
      </c>
      <c r="I474" s="3">
        <v>36251</v>
      </c>
      <c r="J474" s="4">
        <v>4.7400000000000005E-2</v>
      </c>
      <c r="K474" s="4">
        <v>4.8099999999999997E-2</v>
      </c>
      <c r="L474" s="4">
        <v>4.7599999999999996E-2</v>
      </c>
      <c r="M474" s="4">
        <v>4.6300000000000001E-2</v>
      </c>
      <c r="N474" s="6">
        <f t="shared" si="28"/>
        <v>4.8161906065000003E-2</v>
      </c>
      <c r="O474" s="6">
        <f t="shared" si="29"/>
        <v>7.2037267080745301E-3</v>
      </c>
      <c r="P474" s="21">
        <f t="shared" si="30"/>
        <v>5.8050085188378137E-7</v>
      </c>
      <c r="Q474">
        <f t="shared" si="31"/>
        <v>1.6073967616033715</v>
      </c>
    </row>
    <row r="475" spans="1:17" x14ac:dyDescent="0.15">
      <c r="A475" s="3">
        <v>36281</v>
      </c>
      <c r="B475" s="4">
        <v>4.7400000000000005E-2</v>
      </c>
      <c r="C475" s="4">
        <v>4.7400000000000005E-2</v>
      </c>
      <c r="D475" s="4">
        <v>4.8099999999999997E-2</v>
      </c>
      <c r="E475" s="4">
        <v>4.7599999999999996E-2</v>
      </c>
      <c r="I475" s="3">
        <v>36281</v>
      </c>
      <c r="J475" s="4">
        <v>4.7400000000000005E-2</v>
      </c>
      <c r="K475" s="4">
        <v>4.7400000000000005E-2</v>
      </c>
      <c r="L475" s="4">
        <v>4.8099999999999997E-2</v>
      </c>
      <c r="M475" s="4">
        <v>4.7599999999999996E-2</v>
      </c>
      <c r="N475" s="6">
        <f t="shared" si="28"/>
        <v>4.7052492414000009E-2</v>
      </c>
      <c r="O475" s="6">
        <f t="shared" si="29"/>
        <v>7.2037267080745301E-3</v>
      </c>
      <c r="P475" s="21">
        <f t="shared" si="30"/>
        <v>1.2076152232754422E-7</v>
      </c>
      <c r="Q475">
        <f t="shared" si="31"/>
        <v>0.73313836708859792</v>
      </c>
    </row>
    <row r="476" spans="1:17" x14ac:dyDescent="0.15">
      <c r="A476" s="3">
        <v>36312</v>
      </c>
      <c r="B476" s="4">
        <v>4.7599999999999996E-2</v>
      </c>
      <c r="C476" s="4">
        <v>4.7400000000000005E-2</v>
      </c>
      <c r="D476" s="4">
        <v>4.7400000000000005E-2</v>
      </c>
      <c r="E476" s="4">
        <v>4.8099999999999997E-2</v>
      </c>
      <c r="I476" s="3">
        <v>36312</v>
      </c>
      <c r="J476" s="4">
        <v>4.7599999999999996E-2</v>
      </c>
      <c r="K476" s="4">
        <v>4.7400000000000005E-2</v>
      </c>
      <c r="L476" s="4">
        <v>4.7400000000000005E-2</v>
      </c>
      <c r="M476" s="4">
        <v>4.8099999999999997E-2</v>
      </c>
      <c r="N476" s="6">
        <f t="shared" si="28"/>
        <v>4.7559823694000004E-2</v>
      </c>
      <c r="O476" s="6">
        <f t="shared" si="29"/>
        <v>7.0037267080745383E-3</v>
      </c>
      <c r="P476" s="21">
        <f t="shared" si="30"/>
        <v>1.6141355638050021E-9</v>
      </c>
      <c r="Q476">
        <f t="shared" si="31"/>
        <v>8.4404004201664107E-2</v>
      </c>
    </row>
    <row r="477" spans="1:17" x14ac:dyDescent="0.15">
      <c r="A477" s="3">
        <v>36342</v>
      </c>
      <c r="B477" s="4">
        <v>4.99E-2</v>
      </c>
      <c r="C477" s="4">
        <v>4.7599999999999996E-2</v>
      </c>
      <c r="D477" s="4">
        <v>4.7400000000000005E-2</v>
      </c>
      <c r="E477" s="4">
        <v>4.7400000000000005E-2</v>
      </c>
      <c r="I477" s="3">
        <v>36342</v>
      </c>
      <c r="J477" s="4">
        <v>4.99E-2</v>
      </c>
      <c r="K477" s="4">
        <v>4.7599999999999996E-2</v>
      </c>
      <c r="L477" s="4">
        <v>4.7400000000000005E-2</v>
      </c>
      <c r="M477" s="4">
        <v>4.7400000000000005E-2</v>
      </c>
      <c r="N477" s="6">
        <f t="shared" si="28"/>
        <v>4.7737453435999985E-2</v>
      </c>
      <c r="O477" s="6">
        <f t="shared" si="29"/>
        <v>4.7037267080745349E-3</v>
      </c>
      <c r="P477" s="21">
        <f t="shared" si="30"/>
        <v>4.6766076414682698E-6</v>
      </c>
      <c r="Q477">
        <f t="shared" si="31"/>
        <v>4.3337606492986263</v>
      </c>
    </row>
    <row r="478" spans="1:17" x14ac:dyDescent="0.15">
      <c r="A478" s="3">
        <v>36373</v>
      </c>
      <c r="B478" s="4">
        <v>5.0700000000000002E-2</v>
      </c>
      <c r="C478" s="4">
        <v>4.99E-2</v>
      </c>
      <c r="D478" s="4">
        <v>4.7599999999999996E-2</v>
      </c>
      <c r="E478" s="4">
        <v>4.7400000000000005E-2</v>
      </c>
      <c r="I478" s="3">
        <v>36373</v>
      </c>
      <c r="J478" s="4">
        <v>5.0700000000000002E-2</v>
      </c>
      <c r="K478" s="4">
        <v>4.99E-2</v>
      </c>
      <c r="L478" s="4">
        <v>4.7599999999999996E-2</v>
      </c>
      <c r="M478" s="4">
        <v>4.7400000000000005E-2</v>
      </c>
      <c r="N478" s="6">
        <f t="shared" si="28"/>
        <v>5.0930321047000002E-2</v>
      </c>
      <c r="O478" s="6">
        <f t="shared" si="29"/>
        <v>3.9037267080745328E-3</v>
      </c>
      <c r="P478" s="21">
        <f t="shared" si="30"/>
        <v>5.3047784691176083E-8</v>
      </c>
      <c r="Q478">
        <f t="shared" si="31"/>
        <v>0.45428214398422034</v>
      </c>
    </row>
    <row r="479" spans="1:17" x14ac:dyDescent="0.15">
      <c r="A479" s="3">
        <v>36404</v>
      </c>
      <c r="B479" s="4">
        <v>5.2199999999999996E-2</v>
      </c>
      <c r="C479" s="4">
        <v>5.0700000000000002E-2</v>
      </c>
      <c r="D479" s="4">
        <v>4.99E-2</v>
      </c>
      <c r="E479" s="4">
        <v>4.7599999999999996E-2</v>
      </c>
      <c r="I479" s="3">
        <v>36404</v>
      </c>
      <c r="J479" s="4">
        <v>5.2199999999999996E-2</v>
      </c>
      <c r="K479" s="4">
        <v>5.0700000000000002E-2</v>
      </c>
      <c r="L479" s="4">
        <v>4.99E-2</v>
      </c>
      <c r="M479" s="4">
        <v>4.7599999999999996E-2</v>
      </c>
      <c r="N479" s="6">
        <f t="shared" si="28"/>
        <v>5.0707809195000002E-2</v>
      </c>
      <c r="O479" s="6">
        <f t="shared" si="29"/>
        <v>2.4037267080745384E-3</v>
      </c>
      <c r="P479" s="21">
        <f t="shared" si="30"/>
        <v>2.226633398526532E-6</v>
      </c>
      <c r="Q479">
        <f t="shared" si="31"/>
        <v>2.8586030747126334</v>
      </c>
    </row>
    <row r="480" spans="1:17" x14ac:dyDescent="0.15">
      <c r="A480" s="3">
        <v>36434</v>
      </c>
      <c r="B480" s="4">
        <v>5.2000000000000005E-2</v>
      </c>
      <c r="C480" s="4">
        <v>5.2199999999999996E-2</v>
      </c>
      <c r="D480" s="4">
        <v>5.0700000000000002E-2</v>
      </c>
      <c r="E480" s="4">
        <v>4.99E-2</v>
      </c>
      <c r="I480" s="3">
        <v>36434</v>
      </c>
      <c r="J480" s="4">
        <v>5.2000000000000005E-2</v>
      </c>
      <c r="K480" s="4">
        <v>5.2199999999999996E-2</v>
      </c>
      <c r="L480" s="4">
        <v>5.0700000000000002E-2</v>
      </c>
      <c r="M480" s="4">
        <v>4.99E-2</v>
      </c>
      <c r="N480" s="6">
        <f t="shared" si="28"/>
        <v>5.2744011457999992E-2</v>
      </c>
      <c r="O480" s="6">
        <f t="shared" si="29"/>
        <v>2.6037267080745302E-3</v>
      </c>
      <c r="P480" s="21">
        <f t="shared" si="30"/>
        <v>5.5355304963526775E-7</v>
      </c>
      <c r="Q480">
        <f t="shared" si="31"/>
        <v>1.430791265384592</v>
      </c>
    </row>
    <row r="481" spans="1:17" x14ac:dyDescent="0.15">
      <c r="A481" s="3">
        <v>36465</v>
      </c>
      <c r="B481" s="4">
        <v>5.4199999999999998E-2</v>
      </c>
      <c r="C481" s="4">
        <v>5.2000000000000005E-2</v>
      </c>
      <c r="D481" s="4">
        <v>5.2199999999999996E-2</v>
      </c>
      <c r="E481" s="4">
        <v>5.0700000000000002E-2</v>
      </c>
      <c r="I481" s="3">
        <v>36465</v>
      </c>
      <c r="J481" s="4">
        <v>5.4199999999999998E-2</v>
      </c>
      <c r="K481" s="4">
        <v>5.2000000000000005E-2</v>
      </c>
      <c r="L481" s="4">
        <v>5.2199999999999996E-2</v>
      </c>
      <c r="M481" s="4">
        <v>5.0700000000000002E-2</v>
      </c>
      <c r="N481" s="6">
        <f t="shared" si="28"/>
        <v>5.1664415612000004E-2</v>
      </c>
      <c r="O481" s="6">
        <f t="shared" si="29"/>
        <v>4.0372670807453659E-4</v>
      </c>
      <c r="P481" s="21">
        <f t="shared" si="30"/>
        <v>6.4291881886693027E-6</v>
      </c>
      <c r="Q481">
        <f t="shared" si="31"/>
        <v>4.6781999778597667</v>
      </c>
    </row>
    <row r="482" spans="1:17" x14ac:dyDescent="0.15">
      <c r="A482" s="3">
        <v>36495</v>
      </c>
      <c r="B482" s="4">
        <v>5.2999999999999999E-2</v>
      </c>
      <c r="C482" s="4">
        <v>5.4199999999999998E-2</v>
      </c>
      <c r="D482" s="4">
        <v>5.2000000000000005E-2</v>
      </c>
      <c r="E482" s="4">
        <v>5.2199999999999996E-2</v>
      </c>
      <c r="I482" s="3">
        <v>36495</v>
      </c>
      <c r="J482" s="4">
        <v>5.2999999999999999E-2</v>
      </c>
      <c r="K482" s="4">
        <v>5.4199999999999998E-2</v>
      </c>
      <c r="L482" s="4">
        <v>5.2000000000000005E-2</v>
      </c>
      <c r="M482" s="4">
        <v>5.2199999999999996E-2</v>
      </c>
      <c r="N482" s="6">
        <f t="shared" si="28"/>
        <v>5.519499300599999E-2</v>
      </c>
      <c r="O482" s="6">
        <f t="shared" si="29"/>
        <v>1.6037267080745363E-3</v>
      </c>
      <c r="P482" s="21">
        <f t="shared" si="30"/>
        <v>4.8179942963888787E-6</v>
      </c>
      <c r="Q482">
        <f t="shared" si="31"/>
        <v>4.1414962377358329</v>
      </c>
    </row>
    <row r="483" spans="1:17" x14ac:dyDescent="0.15">
      <c r="A483" s="3">
        <v>36526</v>
      </c>
      <c r="B483" s="4">
        <v>5.45E-2</v>
      </c>
      <c r="C483" s="4">
        <v>5.2999999999999999E-2</v>
      </c>
      <c r="D483" s="4">
        <v>5.4199999999999998E-2</v>
      </c>
      <c r="E483" s="4">
        <v>5.2000000000000005E-2</v>
      </c>
      <c r="I483" s="3">
        <v>36526</v>
      </c>
      <c r="J483" s="4">
        <v>5.45E-2</v>
      </c>
      <c r="K483" s="4">
        <v>5.2999999999999999E-2</v>
      </c>
      <c r="L483" s="4">
        <v>5.4199999999999998E-2</v>
      </c>
      <c r="M483" s="4">
        <v>5.2000000000000005E-2</v>
      </c>
      <c r="N483" s="6">
        <f t="shared" si="28"/>
        <v>5.208762133E-2</v>
      </c>
      <c r="O483" s="6">
        <f t="shared" si="29"/>
        <v>1.0372670807453493E-4</v>
      </c>
      <c r="P483" s="21">
        <f t="shared" si="30"/>
        <v>5.8195708474709672E-6</v>
      </c>
      <c r="Q483">
        <f t="shared" si="31"/>
        <v>4.4263828807339447</v>
      </c>
    </row>
    <row r="484" spans="1:17" x14ac:dyDescent="0.15">
      <c r="A484" s="3">
        <v>36557</v>
      </c>
      <c r="B484" s="4">
        <v>5.7300000000000004E-2</v>
      </c>
      <c r="C484" s="4">
        <v>5.45E-2</v>
      </c>
      <c r="D484" s="4">
        <v>5.2999999999999999E-2</v>
      </c>
      <c r="E484" s="4">
        <v>5.4199999999999998E-2</v>
      </c>
      <c r="I484" s="3">
        <v>36557</v>
      </c>
      <c r="J484" s="4">
        <v>5.7300000000000004E-2</v>
      </c>
      <c r="K484" s="4">
        <v>5.45E-2</v>
      </c>
      <c r="L484" s="4">
        <v>5.2999999999999999E-2</v>
      </c>
      <c r="M484" s="4">
        <v>5.4199999999999998E-2</v>
      </c>
      <c r="N484" s="6">
        <f t="shared" si="28"/>
        <v>5.533171419699999E-2</v>
      </c>
      <c r="O484" s="6">
        <f t="shared" si="29"/>
        <v>2.6962732919254689E-3</v>
      </c>
      <c r="P484" s="21">
        <f t="shared" si="30"/>
        <v>3.8741490022914094E-6</v>
      </c>
      <c r="Q484">
        <f t="shared" si="31"/>
        <v>3.4350537574171267</v>
      </c>
    </row>
    <row r="485" spans="1:17" x14ac:dyDescent="0.15">
      <c r="A485" s="3">
        <v>36586</v>
      </c>
      <c r="B485" s="4">
        <v>5.8499999999999996E-2</v>
      </c>
      <c r="C485" s="4">
        <v>5.7300000000000004E-2</v>
      </c>
      <c r="D485" s="4">
        <v>5.45E-2</v>
      </c>
      <c r="E485" s="4">
        <v>5.2999999999999999E-2</v>
      </c>
      <c r="I485" s="3">
        <v>36586</v>
      </c>
      <c r="J485" s="4">
        <v>5.8499999999999996E-2</v>
      </c>
      <c r="K485" s="4">
        <v>5.7300000000000004E-2</v>
      </c>
      <c r="L485" s="4">
        <v>5.45E-2</v>
      </c>
      <c r="M485" s="4">
        <v>5.2999999999999999E-2</v>
      </c>
      <c r="N485" s="6">
        <f t="shared" si="28"/>
        <v>5.8260193141000005E-2</v>
      </c>
      <c r="O485" s="6">
        <f t="shared" si="29"/>
        <v>3.8962732919254617E-3</v>
      </c>
      <c r="P485" s="21">
        <f t="shared" si="30"/>
        <v>5.7507329623441722E-8</v>
      </c>
      <c r="Q485">
        <f t="shared" si="31"/>
        <v>0.40992625470083988</v>
      </c>
    </row>
    <row r="486" spans="1:17" x14ac:dyDescent="0.15">
      <c r="A486" s="3">
        <v>36617</v>
      </c>
      <c r="B486" s="4">
        <v>6.0199999999999997E-2</v>
      </c>
      <c r="C486" s="4">
        <v>5.8499999999999996E-2</v>
      </c>
      <c r="D486" s="4">
        <v>5.7300000000000004E-2</v>
      </c>
      <c r="E486" s="4">
        <v>5.45E-2</v>
      </c>
      <c r="I486" s="3">
        <v>36617</v>
      </c>
      <c r="J486" s="4">
        <v>6.0199999999999997E-2</v>
      </c>
      <c r="K486" s="4">
        <v>5.8499999999999996E-2</v>
      </c>
      <c r="L486" s="4">
        <v>5.7300000000000004E-2</v>
      </c>
      <c r="M486" s="4">
        <v>5.45E-2</v>
      </c>
      <c r="N486" s="6">
        <f t="shared" si="28"/>
        <v>5.8513815964999993E-2</v>
      </c>
      <c r="O486" s="6">
        <f t="shared" si="29"/>
        <v>5.5962732919254618E-3</v>
      </c>
      <c r="P486" s="21">
        <f t="shared" si="30"/>
        <v>2.843216599888892E-6</v>
      </c>
      <c r="Q486">
        <f t="shared" si="31"/>
        <v>2.8009701578073143</v>
      </c>
    </row>
    <row r="487" spans="1:17" x14ac:dyDescent="0.15">
      <c r="A487" s="3">
        <v>36647</v>
      </c>
      <c r="B487" s="4">
        <v>6.2699999999999992E-2</v>
      </c>
      <c r="C487" s="4">
        <v>6.0199999999999997E-2</v>
      </c>
      <c r="D487" s="4">
        <v>5.8499999999999996E-2</v>
      </c>
      <c r="E487" s="4">
        <v>5.7300000000000004E-2</v>
      </c>
      <c r="I487" s="3">
        <v>36647</v>
      </c>
      <c r="J487" s="4">
        <v>6.2699999999999992E-2</v>
      </c>
      <c r="K487" s="4">
        <v>6.0199999999999997E-2</v>
      </c>
      <c r="L487" s="4">
        <v>5.8499999999999996E-2</v>
      </c>
      <c r="M487" s="4">
        <v>5.7300000000000004E-2</v>
      </c>
      <c r="N487" s="6">
        <f t="shared" si="28"/>
        <v>6.0672597121999995E-2</v>
      </c>
      <c r="O487" s="6">
        <f t="shared" si="29"/>
        <v>8.0962732919254571E-3</v>
      </c>
      <c r="P487" s="21">
        <f t="shared" si="30"/>
        <v>4.1103624297226695E-6</v>
      </c>
      <c r="Q487">
        <f t="shared" si="31"/>
        <v>3.2334974130781449</v>
      </c>
    </row>
    <row r="488" spans="1:17" x14ac:dyDescent="0.15">
      <c r="A488" s="3">
        <v>36678</v>
      </c>
      <c r="B488" s="4">
        <v>6.5299999999999997E-2</v>
      </c>
      <c r="C488" s="4">
        <v>6.2699999999999992E-2</v>
      </c>
      <c r="D488" s="4">
        <v>6.0199999999999997E-2</v>
      </c>
      <c r="E488" s="4">
        <v>5.8499999999999996E-2</v>
      </c>
      <c r="I488" s="3">
        <v>36678</v>
      </c>
      <c r="J488" s="4">
        <v>6.5299999999999997E-2</v>
      </c>
      <c r="K488" s="4">
        <v>6.2699999999999992E-2</v>
      </c>
      <c r="L488" s="4">
        <v>6.0199999999999997E-2</v>
      </c>
      <c r="M488" s="4">
        <v>5.8499999999999996E-2</v>
      </c>
      <c r="N488" s="6">
        <f t="shared" si="28"/>
        <v>6.3425661498999988E-2</v>
      </c>
      <c r="O488" s="6">
        <f t="shared" si="29"/>
        <v>1.0696273291925462E-2</v>
      </c>
      <c r="P488" s="21">
        <f t="shared" si="30"/>
        <v>3.5131448163309589E-6</v>
      </c>
      <c r="Q488">
        <f t="shared" si="31"/>
        <v>2.8703499249617281</v>
      </c>
    </row>
    <row r="489" spans="1:17" x14ac:dyDescent="0.15">
      <c r="A489" s="3">
        <v>36708</v>
      </c>
      <c r="B489" s="4">
        <v>6.54E-2</v>
      </c>
      <c r="C489" s="4">
        <v>6.5299999999999997E-2</v>
      </c>
      <c r="D489" s="4">
        <v>6.2699999999999992E-2</v>
      </c>
      <c r="E489" s="4">
        <v>6.0199999999999997E-2</v>
      </c>
      <c r="I489" s="3">
        <v>36708</v>
      </c>
      <c r="J489" s="4">
        <v>6.54E-2</v>
      </c>
      <c r="K489" s="4">
        <v>6.5299999999999997E-2</v>
      </c>
      <c r="L489" s="4">
        <v>6.2699999999999992E-2</v>
      </c>
      <c r="M489" s="4">
        <v>6.0199999999999997E-2</v>
      </c>
      <c r="N489" s="6">
        <f t="shared" si="28"/>
        <v>6.5912424413000006E-2</v>
      </c>
      <c r="O489" s="6">
        <f t="shared" si="29"/>
        <v>1.0796273291925465E-2</v>
      </c>
      <c r="P489" s="21">
        <f t="shared" si="30"/>
        <v>2.6257877903840138E-7</v>
      </c>
      <c r="Q489">
        <f t="shared" si="31"/>
        <v>0.78352356727829764</v>
      </c>
    </row>
    <row r="490" spans="1:17" x14ac:dyDescent="0.15">
      <c r="A490" s="3">
        <v>36739</v>
      </c>
      <c r="B490" s="4">
        <v>6.5000000000000002E-2</v>
      </c>
      <c r="C490" s="4">
        <v>6.54E-2</v>
      </c>
      <c r="D490" s="4">
        <v>6.5299999999999997E-2</v>
      </c>
      <c r="E490" s="4">
        <v>6.2699999999999992E-2</v>
      </c>
      <c r="I490" s="3">
        <v>36739</v>
      </c>
      <c r="J490" s="4">
        <v>6.5000000000000002E-2</v>
      </c>
      <c r="K490" s="4">
        <v>6.54E-2</v>
      </c>
      <c r="L490" s="4">
        <v>6.5299999999999997E-2</v>
      </c>
      <c r="M490" s="4">
        <v>6.2699999999999992E-2</v>
      </c>
      <c r="N490" s="6">
        <f t="shared" si="28"/>
        <v>6.4860942670000005E-2</v>
      </c>
      <c r="O490" s="6">
        <f t="shared" si="29"/>
        <v>1.0396273291925467E-2</v>
      </c>
      <c r="P490" s="21">
        <f t="shared" si="30"/>
        <v>1.9336941026728215E-8</v>
      </c>
      <c r="Q490">
        <f t="shared" si="31"/>
        <v>0.21393435384615003</v>
      </c>
    </row>
    <row r="491" spans="1:17" x14ac:dyDescent="0.15">
      <c r="A491" s="3">
        <v>36770</v>
      </c>
      <c r="B491" s="4">
        <v>6.5199999999999994E-2</v>
      </c>
      <c r="C491" s="4">
        <v>6.5000000000000002E-2</v>
      </c>
      <c r="D491" s="4">
        <v>6.54E-2</v>
      </c>
      <c r="E491" s="4">
        <v>6.5299999999999997E-2</v>
      </c>
      <c r="I491" s="3">
        <v>36770</v>
      </c>
      <c r="J491" s="4">
        <v>6.5199999999999994E-2</v>
      </c>
      <c r="K491" s="4">
        <v>6.5000000000000002E-2</v>
      </c>
      <c r="L491" s="4">
        <v>6.54E-2</v>
      </c>
      <c r="M491" s="4">
        <v>6.5299999999999997E-2</v>
      </c>
      <c r="N491" s="6">
        <f t="shared" si="28"/>
        <v>6.4634187038000002E-2</v>
      </c>
      <c r="O491" s="6">
        <f t="shared" si="29"/>
        <v>1.0596273291925459E-2</v>
      </c>
      <c r="P491" s="21">
        <f t="shared" si="30"/>
        <v>3.2014430796720486E-7</v>
      </c>
      <c r="Q491">
        <f t="shared" si="31"/>
        <v>0.8678112914110313</v>
      </c>
    </row>
    <row r="492" spans="1:17" x14ac:dyDescent="0.15">
      <c r="A492" s="3">
        <v>36800</v>
      </c>
      <c r="B492" s="4">
        <v>6.5099999999999991E-2</v>
      </c>
      <c r="C492" s="4">
        <v>6.5199999999999994E-2</v>
      </c>
      <c r="D492" s="4">
        <v>6.5000000000000002E-2</v>
      </c>
      <c r="E492" s="4">
        <v>6.54E-2</v>
      </c>
      <c r="I492" s="3">
        <v>36800</v>
      </c>
      <c r="J492" s="4">
        <v>6.5099999999999991E-2</v>
      </c>
      <c r="K492" s="4">
        <v>6.5199999999999994E-2</v>
      </c>
      <c r="L492" s="4">
        <v>6.5000000000000002E-2</v>
      </c>
      <c r="M492" s="4">
        <v>6.54E-2</v>
      </c>
      <c r="N492" s="6">
        <f t="shared" si="28"/>
        <v>6.518301554799999E-2</v>
      </c>
      <c r="O492" s="6">
        <f t="shared" si="29"/>
        <v>1.0496273291925456E-2</v>
      </c>
      <c r="P492" s="21">
        <f t="shared" si="30"/>
        <v>6.8915812097400263E-9</v>
      </c>
      <c r="Q492">
        <f t="shared" si="31"/>
        <v>0.12752004301075015</v>
      </c>
    </row>
    <row r="493" spans="1:17" x14ac:dyDescent="0.15">
      <c r="A493" s="3">
        <v>36831</v>
      </c>
      <c r="B493" s="4">
        <v>6.5099999999999991E-2</v>
      </c>
      <c r="C493" s="4">
        <v>6.5099999999999991E-2</v>
      </c>
      <c r="D493" s="4">
        <v>6.5199999999999994E-2</v>
      </c>
      <c r="E493" s="4">
        <v>6.5000000000000002E-2</v>
      </c>
      <c r="I493" s="3">
        <v>36831</v>
      </c>
      <c r="J493" s="4">
        <v>6.5099999999999991E-2</v>
      </c>
      <c r="K493" s="4">
        <v>6.5099999999999991E-2</v>
      </c>
      <c r="L493" s="4">
        <v>6.5199999999999994E-2</v>
      </c>
      <c r="M493" s="4">
        <v>6.5000000000000002E-2</v>
      </c>
      <c r="N493" s="6">
        <f t="shared" si="28"/>
        <v>6.4853275406999991E-2</v>
      </c>
      <c r="O493" s="6">
        <f t="shared" si="29"/>
        <v>1.0496273291925456E-2</v>
      </c>
      <c r="P493" s="21">
        <f t="shared" si="30"/>
        <v>6.0873024791015667E-8</v>
      </c>
      <c r="Q493">
        <f t="shared" si="31"/>
        <v>0.37899323041474664</v>
      </c>
    </row>
    <row r="494" spans="1:17" x14ac:dyDescent="0.15">
      <c r="A494" s="3">
        <v>36861</v>
      </c>
      <c r="B494" s="4">
        <v>6.4000000000000001E-2</v>
      </c>
      <c r="C494" s="4">
        <v>6.5099999999999991E-2</v>
      </c>
      <c r="D494" s="4">
        <v>6.5099999999999991E-2</v>
      </c>
      <c r="E494" s="4">
        <v>6.5199999999999994E-2</v>
      </c>
      <c r="I494" s="3">
        <v>36861</v>
      </c>
      <c r="J494" s="4">
        <v>6.4000000000000001E-2</v>
      </c>
      <c r="K494" s="4">
        <v>6.5099999999999991E-2</v>
      </c>
      <c r="L494" s="4">
        <v>6.5099999999999991E-2</v>
      </c>
      <c r="M494" s="4">
        <v>6.5199999999999994E-2</v>
      </c>
      <c r="N494" s="6">
        <f t="shared" si="28"/>
        <v>6.4946075098999995E-2</v>
      </c>
      <c r="O494" s="6">
        <f t="shared" si="29"/>
        <v>9.3962732919254666E-3</v>
      </c>
      <c r="P494" s="21">
        <f t="shared" si="30"/>
        <v>8.9505809294784716E-7</v>
      </c>
      <c r="Q494">
        <f t="shared" si="31"/>
        <v>1.4782423421874895</v>
      </c>
    </row>
    <row r="495" spans="1:17" x14ac:dyDescent="0.15">
      <c r="A495" s="3">
        <v>36892</v>
      </c>
      <c r="B495" s="4">
        <v>5.9800000000000006E-2</v>
      </c>
      <c r="C495" s="4">
        <v>6.4000000000000001E-2</v>
      </c>
      <c r="D495" s="4">
        <v>6.5099999999999991E-2</v>
      </c>
      <c r="E495" s="4">
        <v>6.5099999999999991E-2</v>
      </c>
      <c r="I495" s="3">
        <v>36892</v>
      </c>
      <c r="J495" s="4">
        <v>5.9800000000000006E-2</v>
      </c>
      <c r="K495" s="4">
        <v>6.4000000000000001E-2</v>
      </c>
      <c r="L495" s="4">
        <v>6.5099999999999991E-2</v>
      </c>
      <c r="M495" s="4">
        <v>6.5099999999999991E-2</v>
      </c>
      <c r="N495" s="6">
        <f t="shared" si="28"/>
        <v>6.3344719376000003E-2</v>
      </c>
      <c r="O495" s="6">
        <f t="shared" si="29"/>
        <v>5.1962732919254712E-3</v>
      </c>
      <c r="P495" s="21">
        <f t="shared" si="30"/>
        <v>1.2565035454589806E-5</v>
      </c>
      <c r="Q495">
        <f t="shared" si="31"/>
        <v>5.9276243745819333</v>
      </c>
    </row>
    <row r="496" spans="1:17" x14ac:dyDescent="0.15">
      <c r="A496" s="3">
        <v>36923</v>
      </c>
      <c r="B496" s="4">
        <v>5.4900000000000004E-2</v>
      </c>
      <c r="C496" s="4">
        <v>5.9800000000000006E-2</v>
      </c>
      <c r="D496" s="4">
        <v>6.4000000000000001E-2</v>
      </c>
      <c r="E496" s="4">
        <v>6.5099999999999991E-2</v>
      </c>
      <c r="I496" s="3">
        <v>36923</v>
      </c>
      <c r="J496" s="4">
        <v>5.4900000000000004E-2</v>
      </c>
      <c r="K496" s="4">
        <v>5.9800000000000006E-2</v>
      </c>
      <c r="L496" s="4">
        <v>6.4000000000000001E-2</v>
      </c>
      <c r="M496" s="4">
        <v>6.5099999999999991E-2</v>
      </c>
      <c r="N496" s="6">
        <f t="shared" si="28"/>
        <v>5.7963841482000004E-2</v>
      </c>
      <c r="O496" s="6">
        <f t="shared" si="29"/>
        <v>2.9627329192546958E-4</v>
      </c>
      <c r="P496" s="21">
        <f t="shared" si="30"/>
        <v>9.3871246268239569E-6</v>
      </c>
      <c r="Q496">
        <f t="shared" si="31"/>
        <v>5.5807677267759557</v>
      </c>
    </row>
    <row r="497" spans="1:17" x14ac:dyDescent="0.15">
      <c r="A497" s="3">
        <v>36951</v>
      </c>
      <c r="B497" s="4">
        <v>5.3099999999999994E-2</v>
      </c>
      <c r="C497" s="4">
        <v>5.4900000000000004E-2</v>
      </c>
      <c r="D497" s="4">
        <v>5.9800000000000006E-2</v>
      </c>
      <c r="E497" s="4">
        <v>6.4000000000000001E-2</v>
      </c>
      <c r="I497" s="3">
        <v>36951</v>
      </c>
      <c r="J497" s="4">
        <v>5.3099999999999994E-2</v>
      </c>
      <c r="K497" s="4">
        <v>5.4900000000000004E-2</v>
      </c>
      <c r="L497" s="4">
        <v>5.9800000000000006E-2</v>
      </c>
      <c r="M497" s="4">
        <v>6.4000000000000001E-2</v>
      </c>
      <c r="N497" s="6">
        <f t="shared" si="28"/>
        <v>5.3296828832999993E-2</v>
      </c>
      <c r="O497" s="6">
        <f t="shared" si="29"/>
        <v>1.5037267080745403E-3</v>
      </c>
      <c r="P497" s="21">
        <f t="shared" si="30"/>
        <v>3.8741589500141273E-8</v>
      </c>
      <c r="Q497">
        <f t="shared" si="31"/>
        <v>0.37067576836157901</v>
      </c>
    </row>
    <row r="498" spans="1:17" x14ac:dyDescent="0.15">
      <c r="A498" s="3">
        <v>36982</v>
      </c>
      <c r="B498" s="4">
        <v>4.8000000000000001E-2</v>
      </c>
      <c r="C498" s="4">
        <v>5.3099999999999994E-2</v>
      </c>
      <c r="D498" s="4">
        <v>5.4900000000000004E-2</v>
      </c>
      <c r="E498" s="4">
        <v>5.9800000000000006E-2</v>
      </c>
      <c r="I498" s="3">
        <v>36982</v>
      </c>
      <c r="J498" s="4">
        <v>4.8000000000000001E-2</v>
      </c>
      <c r="K498" s="4">
        <v>5.3099999999999994E-2</v>
      </c>
      <c r="L498" s="4">
        <v>5.4900000000000004E-2</v>
      </c>
      <c r="M498" s="4">
        <v>5.9800000000000006E-2</v>
      </c>
      <c r="N498" s="6">
        <f t="shared" si="28"/>
        <v>5.3036444674999988E-2</v>
      </c>
      <c r="O498" s="6">
        <f t="shared" si="29"/>
        <v>6.6037267080745338E-3</v>
      </c>
      <c r="P498" s="21">
        <f t="shared" si="30"/>
        <v>2.5365774964335731E-5</v>
      </c>
      <c r="Q498">
        <f t="shared" si="31"/>
        <v>10.492593072916641</v>
      </c>
    </row>
    <row r="499" spans="1:17" x14ac:dyDescent="0.15">
      <c r="A499" s="3">
        <v>37012</v>
      </c>
      <c r="B499" s="4">
        <v>4.2099999999999999E-2</v>
      </c>
      <c r="C499" s="4">
        <v>4.8000000000000001E-2</v>
      </c>
      <c r="D499" s="4">
        <v>5.3099999999999994E-2</v>
      </c>
      <c r="E499" s="4">
        <v>5.4900000000000004E-2</v>
      </c>
      <c r="I499" s="3">
        <v>37012</v>
      </c>
      <c r="J499" s="4">
        <v>4.2099999999999999E-2</v>
      </c>
      <c r="K499" s="4">
        <v>4.8000000000000001E-2</v>
      </c>
      <c r="L499" s="4">
        <v>5.3099999999999994E-2</v>
      </c>
      <c r="M499" s="4">
        <v>5.4900000000000004E-2</v>
      </c>
      <c r="N499" s="6">
        <f t="shared" si="28"/>
        <v>4.6012031863999998E-2</v>
      </c>
      <c r="O499" s="6">
        <f t="shared" si="29"/>
        <v>1.2503726708074536E-2</v>
      </c>
      <c r="P499" s="21">
        <f t="shared" si="30"/>
        <v>1.5303993304951314E-5</v>
      </c>
      <c r="Q499">
        <f t="shared" si="31"/>
        <v>9.2922372066508316</v>
      </c>
    </row>
    <row r="500" spans="1:17" x14ac:dyDescent="0.15">
      <c r="A500" s="3">
        <v>37043</v>
      </c>
      <c r="B500" s="4">
        <v>3.9699999999999999E-2</v>
      </c>
      <c r="C500" s="4">
        <v>4.2099999999999999E-2</v>
      </c>
      <c r="D500" s="4">
        <v>4.8000000000000001E-2</v>
      </c>
      <c r="E500" s="4">
        <v>5.3099999999999994E-2</v>
      </c>
      <c r="I500" s="3">
        <v>37043</v>
      </c>
      <c r="J500" s="4">
        <v>3.9699999999999999E-2</v>
      </c>
      <c r="K500" s="4">
        <v>4.2099999999999999E-2</v>
      </c>
      <c r="L500" s="4">
        <v>4.8000000000000001E-2</v>
      </c>
      <c r="M500" s="4">
        <v>5.3099999999999994E-2</v>
      </c>
      <c r="N500" s="6">
        <f t="shared" si="28"/>
        <v>4.0343623972999995E-2</v>
      </c>
      <c r="O500" s="6">
        <f t="shared" si="29"/>
        <v>1.4903726708074536E-2</v>
      </c>
      <c r="P500" s="21">
        <f t="shared" si="30"/>
        <v>4.1425181862029951E-7</v>
      </c>
      <c r="Q500">
        <f t="shared" si="31"/>
        <v>1.6212190755667404</v>
      </c>
    </row>
    <row r="501" spans="1:17" x14ac:dyDescent="0.15">
      <c r="A501" s="3">
        <v>37073</v>
      </c>
      <c r="B501" s="4">
        <v>3.7699999999999997E-2</v>
      </c>
      <c r="C501" s="4">
        <v>3.9699999999999999E-2</v>
      </c>
      <c r="D501" s="4">
        <v>4.2099999999999999E-2</v>
      </c>
      <c r="E501" s="4">
        <v>4.8000000000000001E-2</v>
      </c>
      <c r="I501" s="3">
        <v>37073</v>
      </c>
      <c r="J501" s="4">
        <v>3.7699999999999997E-2</v>
      </c>
      <c r="K501" s="4">
        <v>3.9699999999999999E-2</v>
      </c>
      <c r="L501" s="4">
        <v>4.2099999999999999E-2</v>
      </c>
      <c r="M501" s="4">
        <v>4.8000000000000001E-2</v>
      </c>
      <c r="N501" s="6">
        <f t="shared" si="28"/>
        <v>3.968797770899999E-2</v>
      </c>
      <c r="O501" s="6">
        <f t="shared" si="29"/>
        <v>1.6903726708074537E-2</v>
      </c>
      <c r="P501" s="21">
        <f t="shared" si="30"/>
        <v>3.9520553714808587E-6</v>
      </c>
      <c r="Q501">
        <f t="shared" si="31"/>
        <v>5.2731504217506435</v>
      </c>
    </row>
    <row r="502" spans="1:17" x14ac:dyDescent="0.15">
      <c r="A502" s="3">
        <v>37104</v>
      </c>
      <c r="B502" s="4">
        <v>3.6499999999999998E-2</v>
      </c>
      <c r="C502" s="4">
        <v>3.7699999999999997E-2</v>
      </c>
      <c r="D502" s="4">
        <v>3.9699999999999999E-2</v>
      </c>
      <c r="E502" s="4">
        <v>4.2099999999999999E-2</v>
      </c>
      <c r="I502" s="3">
        <v>37104</v>
      </c>
      <c r="J502" s="4">
        <v>3.6499999999999998E-2</v>
      </c>
      <c r="K502" s="4">
        <v>3.7699999999999997E-2</v>
      </c>
      <c r="L502" s="4">
        <v>3.9699999999999999E-2</v>
      </c>
      <c r="M502" s="4">
        <v>4.2099999999999999E-2</v>
      </c>
      <c r="N502" s="6">
        <f t="shared" si="28"/>
        <v>3.7340963804999995E-2</v>
      </c>
      <c r="O502" s="6">
        <f t="shared" si="29"/>
        <v>1.8103726708074537E-2</v>
      </c>
      <c r="P502" s="21">
        <f t="shared" si="30"/>
        <v>7.0722012132007355E-7</v>
      </c>
      <c r="Q502">
        <f t="shared" si="31"/>
        <v>2.3040104246575273</v>
      </c>
    </row>
    <row r="503" spans="1:17" x14ac:dyDescent="0.15">
      <c r="A503" s="3">
        <v>37135</v>
      </c>
      <c r="B503" s="4">
        <v>3.0699999999999998E-2</v>
      </c>
      <c r="C503" s="4">
        <v>3.6499999999999998E-2</v>
      </c>
      <c r="D503" s="4">
        <v>3.7699999999999997E-2</v>
      </c>
      <c r="E503" s="4">
        <v>3.9699999999999999E-2</v>
      </c>
      <c r="I503" s="3">
        <v>37135</v>
      </c>
      <c r="J503" s="4">
        <v>3.0699999999999998E-2</v>
      </c>
      <c r="K503" s="4">
        <v>3.6499999999999998E-2</v>
      </c>
      <c r="L503" s="4">
        <v>3.7699999999999997E-2</v>
      </c>
      <c r="M503" s="4">
        <v>3.9699999999999999E-2</v>
      </c>
      <c r="N503" s="6">
        <f t="shared" si="28"/>
        <v>3.6455595217000002E-2</v>
      </c>
      <c r="O503" s="6">
        <f t="shared" si="29"/>
        <v>2.3903726708074537E-2</v>
      </c>
      <c r="P503" s="21">
        <f t="shared" si="30"/>
        <v>3.3126876301953318E-5</v>
      </c>
      <c r="Q503">
        <f t="shared" si="31"/>
        <v>18.747867156351806</v>
      </c>
    </row>
    <row r="504" spans="1:17" x14ac:dyDescent="0.15">
      <c r="A504" s="3">
        <v>37165</v>
      </c>
      <c r="B504" s="4">
        <v>2.4900000000000002E-2</v>
      </c>
      <c r="C504" s="4">
        <v>3.0699999999999998E-2</v>
      </c>
      <c r="D504" s="4">
        <v>3.6499999999999998E-2</v>
      </c>
      <c r="E504" s="4">
        <v>3.7699999999999997E-2</v>
      </c>
      <c r="I504" s="3">
        <v>37165</v>
      </c>
      <c r="J504" s="4">
        <v>2.4900000000000002E-2</v>
      </c>
      <c r="K504" s="4">
        <v>3.0699999999999998E-2</v>
      </c>
      <c r="L504" s="4">
        <v>3.6499999999999998E-2</v>
      </c>
      <c r="M504" s="4">
        <v>3.7699999999999997E-2</v>
      </c>
      <c r="N504" s="6">
        <f t="shared" si="28"/>
        <v>2.8513502191E-2</v>
      </c>
      <c r="O504" s="6">
        <f t="shared" si="29"/>
        <v>2.9703726708074533E-2</v>
      </c>
      <c r="P504" s="21">
        <f t="shared" si="30"/>
        <v>1.3057398084361787E-5</v>
      </c>
      <c r="Q504">
        <f t="shared" si="31"/>
        <v>14.512056991967862</v>
      </c>
    </row>
    <row r="505" spans="1:17" x14ac:dyDescent="0.15">
      <c r="A505" s="3">
        <v>37196</v>
      </c>
      <c r="B505" s="4">
        <v>2.0899999999999998E-2</v>
      </c>
      <c r="C505" s="4">
        <v>2.4900000000000002E-2</v>
      </c>
      <c r="D505" s="4">
        <v>3.0699999999999998E-2</v>
      </c>
      <c r="E505" s="4">
        <v>3.6499999999999998E-2</v>
      </c>
      <c r="I505" s="3">
        <v>37196</v>
      </c>
      <c r="J505" s="4">
        <v>2.0899999999999998E-2</v>
      </c>
      <c r="K505" s="4">
        <v>2.4900000000000002E-2</v>
      </c>
      <c r="L505" s="4">
        <v>3.0699999999999998E-2</v>
      </c>
      <c r="M505" s="4">
        <v>3.6499999999999998E-2</v>
      </c>
      <c r="N505" s="6">
        <f t="shared" si="28"/>
        <v>2.3512373733000004E-2</v>
      </c>
      <c r="O505" s="6">
        <f t="shared" si="29"/>
        <v>3.3703726708074533E-2</v>
      </c>
      <c r="P505" s="21">
        <f t="shared" si="30"/>
        <v>6.8244965208683847E-6</v>
      </c>
      <c r="Q505">
        <f t="shared" si="31"/>
        <v>12.499395851674668</v>
      </c>
    </row>
    <row r="506" spans="1:17" x14ac:dyDescent="0.15">
      <c r="A506" s="3">
        <v>37226</v>
      </c>
      <c r="B506" s="4">
        <v>1.8200000000000001E-2</v>
      </c>
      <c r="C506" s="4">
        <v>2.0899999999999998E-2</v>
      </c>
      <c r="D506" s="4">
        <v>2.4900000000000002E-2</v>
      </c>
      <c r="E506" s="4">
        <v>3.0699999999999998E-2</v>
      </c>
      <c r="I506" s="3">
        <v>37226</v>
      </c>
      <c r="J506" s="4">
        <v>1.8200000000000001E-2</v>
      </c>
      <c r="K506" s="4">
        <v>2.0899999999999998E-2</v>
      </c>
      <c r="L506" s="4">
        <v>2.4900000000000002E-2</v>
      </c>
      <c r="M506" s="4">
        <v>3.0699999999999998E-2</v>
      </c>
      <c r="N506" s="6">
        <f t="shared" si="28"/>
        <v>2.0378638684999995E-2</v>
      </c>
      <c r="O506" s="6">
        <f t="shared" si="29"/>
        <v>3.6403726708074534E-2</v>
      </c>
      <c r="P506" s="21">
        <f t="shared" si="30"/>
        <v>4.7464665197785042E-6</v>
      </c>
      <c r="Q506">
        <f t="shared" si="31"/>
        <v>11.970542225274695</v>
      </c>
    </row>
    <row r="507" spans="1:17" x14ac:dyDescent="0.15">
      <c r="A507" s="3">
        <v>37257</v>
      </c>
      <c r="B507" s="4">
        <v>1.7299999999999999E-2</v>
      </c>
      <c r="C507" s="4">
        <v>1.8200000000000001E-2</v>
      </c>
      <c r="D507" s="4">
        <v>2.0899999999999998E-2</v>
      </c>
      <c r="E507" s="4">
        <v>2.4900000000000002E-2</v>
      </c>
      <c r="I507" s="3">
        <v>37257</v>
      </c>
      <c r="J507" s="4">
        <v>1.7299999999999999E-2</v>
      </c>
      <c r="K507" s="4">
        <v>1.8200000000000001E-2</v>
      </c>
      <c r="L507" s="4">
        <v>2.0899999999999998E-2</v>
      </c>
      <c r="M507" s="4">
        <v>2.4900000000000002E-2</v>
      </c>
      <c r="N507" s="6">
        <f t="shared" si="28"/>
        <v>1.8017405278000002E-2</v>
      </c>
      <c r="O507" s="6">
        <f t="shared" si="29"/>
        <v>3.7303726708074539E-2</v>
      </c>
      <c r="P507" s="21">
        <f t="shared" si="30"/>
        <v>5.1467033290226064E-7</v>
      </c>
      <c r="Q507">
        <f t="shared" si="31"/>
        <v>4.1468513179190891</v>
      </c>
    </row>
    <row r="508" spans="1:17" x14ac:dyDescent="0.15">
      <c r="A508" s="3">
        <v>37288</v>
      </c>
      <c r="B508" s="4">
        <v>1.7399999999999999E-2</v>
      </c>
      <c r="C508" s="4">
        <v>1.7299999999999999E-2</v>
      </c>
      <c r="D508" s="4">
        <v>1.8200000000000001E-2</v>
      </c>
      <c r="E508" s="4">
        <v>2.0899999999999998E-2</v>
      </c>
      <c r="I508" s="3">
        <v>37288</v>
      </c>
      <c r="J508" s="4">
        <v>1.7399999999999999E-2</v>
      </c>
      <c r="K508" s="4">
        <v>1.7299999999999999E-2</v>
      </c>
      <c r="L508" s="4">
        <v>1.8200000000000001E-2</v>
      </c>
      <c r="M508" s="4">
        <v>2.0899999999999998E-2</v>
      </c>
      <c r="N508" s="6">
        <f t="shared" si="28"/>
        <v>1.7739834924999996E-2</v>
      </c>
      <c r="O508" s="6">
        <f t="shared" si="29"/>
        <v>3.7203726708074536E-2</v>
      </c>
      <c r="P508" s="21">
        <f t="shared" si="30"/>
        <v>1.1548777624975386E-7</v>
      </c>
      <c r="Q508">
        <f t="shared" si="31"/>
        <v>1.9530742816091806</v>
      </c>
    </row>
    <row r="509" spans="1:17" x14ac:dyDescent="0.15">
      <c r="A509" s="3">
        <v>37316</v>
      </c>
      <c r="B509" s="4">
        <v>1.7299999999999999E-2</v>
      </c>
      <c r="C509" s="4">
        <v>1.7399999999999999E-2</v>
      </c>
      <c r="D509" s="4">
        <v>1.7299999999999999E-2</v>
      </c>
      <c r="E509" s="4">
        <v>1.8200000000000001E-2</v>
      </c>
      <c r="I509" s="3">
        <v>37316</v>
      </c>
      <c r="J509" s="4">
        <v>1.7299999999999999E-2</v>
      </c>
      <c r="K509" s="4">
        <v>1.7399999999999999E-2</v>
      </c>
      <c r="L509" s="4">
        <v>1.7299999999999999E-2</v>
      </c>
      <c r="M509" s="4">
        <v>1.8200000000000001E-2</v>
      </c>
      <c r="N509" s="6">
        <f t="shared" si="28"/>
        <v>1.8007840089999998E-2</v>
      </c>
      <c r="O509" s="6">
        <f t="shared" si="29"/>
        <v>3.7303726708074539E-2</v>
      </c>
      <c r="P509" s="21">
        <f t="shared" si="30"/>
        <v>5.0103759301120566E-7</v>
      </c>
      <c r="Q509">
        <f t="shared" si="31"/>
        <v>4.091561213872823</v>
      </c>
    </row>
    <row r="510" spans="1:17" x14ac:dyDescent="0.15">
      <c r="A510" s="3">
        <v>37347</v>
      </c>
      <c r="B510" s="4">
        <v>1.7500000000000002E-2</v>
      </c>
      <c r="C510" s="4">
        <v>1.7299999999999999E-2</v>
      </c>
      <c r="D510" s="4">
        <v>1.7399999999999999E-2</v>
      </c>
      <c r="E510" s="4">
        <v>1.7299999999999999E-2</v>
      </c>
      <c r="I510" s="3">
        <v>37347</v>
      </c>
      <c r="J510" s="4">
        <v>1.7500000000000002E-2</v>
      </c>
      <c r="K510" s="4">
        <v>1.7299999999999999E-2</v>
      </c>
      <c r="L510" s="4">
        <v>1.7399999999999999E-2</v>
      </c>
      <c r="M510" s="4">
        <v>1.7299999999999999E-2</v>
      </c>
      <c r="N510" s="6">
        <f t="shared" si="28"/>
        <v>1.7660247869000001E-2</v>
      </c>
      <c r="O510" s="6">
        <f t="shared" si="29"/>
        <v>3.7103726708074533E-2</v>
      </c>
      <c r="P510" s="21">
        <f t="shared" si="30"/>
        <v>2.5679379519040908E-8</v>
      </c>
      <c r="Q510">
        <f t="shared" si="31"/>
        <v>0.91570210857142387</v>
      </c>
    </row>
    <row r="511" spans="1:17" x14ac:dyDescent="0.15">
      <c r="A511" s="3">
        <v>37377</v>
      </c>
      <c r="B511" s="4">
        <v>1.7500000000000002E-2</v>
      </c>
      <c r="C511" s="4">
        <v>1.7500000000000002E-2</v>
      </c>
      <c r="D511" s="4">
        <v>1.7299999999999999E-2</v>
      </c>
      <c r="E511" s="4">
        <v>1.7399999999999999E-2</v>
      </c>
      <c r="I511" s="3">
        <v>37377</v>
      </c>
      <c r="J511" s="4">
        <v>1.7500000000000002E-2</v>
      </c>
      <c r="K511" s="4">
        <v>1.7500000000000002E-2</v>
      </c>
      <c r="L511" s="4">
        <v>1.7299999999999999E-2</v>
      </c>
      <c r="M511" s="4">
        <v>1.7399999999999999E-2</v>
      </c>
      <c r="N511" s="6">
        <f t="shared" si="28"/>
        <v>1.8025521679000001E-2</v>
      </c>
      <c r="O511" s="6">
        <f t="shared" si="29"/>
        <v>3.7103726708074533E-2</v>
      </c>
      <c r="P511" s="21">
        <f t="shared" si="30"/>
        <v>2.7617303509897862E-7</v>
      </c>
      <c r="Q511">
        <f t="shared" si="31"/>
        <v>3.0029810228571403</v>
      </c>
    </row>
    <row r="512" spans="1:17" x14ac:dyDescent="0.15">
      <c r="A512" s="3">
        <v>37408</v>
      </c>
      <c r="B512" s="4">
        <v>1.7500000000000002E-2</v>
      </c>
      <c r="C512" s="4">
        <v>1.7500000000000002E-2</v>
      </c>
      <c r="D512" s="4">
        <v>1.7500000000000002E-2</v>
      </c>
      <c r="E512" s="4">
        <v>1.7299999999999999E-2</v>
      </c>
      <c r="I512" s="3">
        <v>37408</v>
      </c>
      <c r="J512" s="4">
        <v>1.7500000000000002E-2</v>
      </c>
      <c r="K512" s="4">
        <v>1.7500000000000002E-2</v>
      </c>
      <c r="L512" s="4">
        <v>1.7500000000000002E-2</v>
      </c>
      <c r="M512" s="4">
        <v>1.7299999999999999E-2</v>
      </c>
      <c r="N512" s="6">
        <f t="shared" si="28"/>
        <v>1.7887344483000001E-2</v>
      </c>
      <c r="O512" s="6">
        <f t="shared" si="29"/>
        <v>3.7103726708074533E-2</v>
      </c>
      <c r="P512" s="21">
        <f t="shared" si="30"/>
        <v>1.5003574851053645E-7</v>
      </c>
      <c r="Q512">
        <f t="shared" si="31"/>
        <v>2.2133970457142791</v>
      </c>
    </row>
    <row r="513" spans="1:17" x14ac:dyDescent="0.15">
      <c r="A513" s="3">
        <v>37438</v>
      </c>
      <c r="B513" s="4">
        <v>1.7299999999999999E-2</v>
      </c>
      <c r="C513" s="4">
        <v>1.7500000000000002E-2</v>
      </c>
      <c r="D513" s="4">
        <v>1.7500000000000002E-2</v>
      </c>
      <c r="E513" s="4">
        <v>1.7500000000000002E-2</v>
      </c>
      <c r="I513" s="3">
        <v>37438</v>
      </c>
      <c r="J513" s="4">
        <v>1.7299999999999999E-2</v>
      </c>
      <c r="K513" s="4">
        <v>1.7500000000000002E-2</v>
      </c>
      <c r="L513" s="4">
        <v>1.7500000000000002E-2</v>
      </c>
      <c r="M513" s="4">
        <v>1.7500000000000002E-2</v>
      </c>
      <c r="N513" s="6">
        <f t="shared" si="28"/>
        <v>1.7918959275E-2</v>
      </c>
      <c r="O513" s="6">
        <f t="shared" si="29"/>
        <v>3.7303726708074539E-2</v>
      </c>
      <c r="P513" s="21">
        <f t="shared" si="30"/>
        <v>3.8311058410852651E-7</v>
      </c>
      <c r="Q513">
        <f t="shared" si="31"/>
        <v>3.5777992774566516</v>
      </c>
    </row>
    <row r="514" spans="1:17" x14ac:dyDescent="0.15">
      <c r="A514" s="3">
        <v>37469</v>
      </c>
      <c r="B514" s="4">
        <v>1.7399999999999999E-2</v>
      </c>
      <c r="C514" s="4">
        <v>1.7299999999999999E-2</v>
      </c>
      <c r="D514" s="4">
        <v>1.7500000000000002E-2</v>
      </c>
      <c r="E514" s="4">
        <v>1.7500000000000002E-2</v>
      </c>
      <c r="I514" s="3">
        <v>37469</v>
      </c>
      <c r="J514" s="4">
        <v>1.7399999999999999E-2</v>
      </c>
      <c r="K514" s="4">
        <v>1.7299999999999999E-2</v>
      </c>
      <c r="L514" s="4">
        <v>1.7500000000000002E-2</v>
      </c>
      <c r="M514" s="4">
        <v>1.7500000000000002E-2</v>
      </c>
      <c r="N514" s="6">
        <f t="shared" si="28"/>
        <v>1.7630677760999997E-2</v>
      </c>
      <c r="O514" s="6">
        <f t="shared" si="29"/>
        <v>3.7203726708074536E-2</v>
      </c>
      <c r="P514" s="21">
        <f t="shared" si="30"/>
        <v>5.3212229419972061E-8</v>
      </c>
      <c r="Q514">
        <f t="shared" si="31"/>
        <v>1.3257342586206766</v>
      </c>
    </row>
    <row r="515" spans="1:17" x14ac:dyDescent="0.15">
      <c r="A515" s="3">
        <v>37500</v>
      </c>
      <c r="B515" s="4">
        <v>1.7500000000000002E-2</v>
      </c>
      <c r="C515" s="4">
        <v>1.7399999999999999E-2</v>
      </c>
      <c r="D515" s="4">
        <v>1.7299999999999999E-2</v>
      </c>
      <c r="E515" s="4">
        <v>1.7500000000000002E-2</v>
      </c>
      <c r="I515" s="3">
        <v>37500</v>
      </c>
      <c r="J515" s="4">
        <v>1.7500000000000002E-2</v>
      </c>
      <c r="K515" s="4">
        <v>1.7399999999999999E-2</v>
      </c>
      <c r="L515" s="4">
        <v>1.7299999999999999E-2</v>
      </c>
      <c r="M515" s="4">
        <v>1.7500000000000002E-2</v>
      </c>
      <c r="N515" s="6">
        <f t="shared" si="28"/>
        <v>1.7897188317999996E-2</v>
      </c>
      <c r="O515" s="6">
        <f t="shared" si="29"/>
        <v>3.7103726708074533E-2</v>
      </c>
      <c r="P515" s="21">
        <f t="shared" si="30"/>
        <v>1.5775855995566444E-7</v>
      </c>
      <c r="Q515">
        <f t="shared" si="31"/>
        <v>2.2696475314285376</v>
      </c>
    </row>
    <row r="516" spans="1:17" x14ac:dyDescent="0.15">
      <c r="A516" s="3">
        <v>37530</v>
      </c>
      <c r="B516" s="4">
        <v>1.7500000000000002E-2</v>
      </c>
      <c r="C516" s="4">
        <v>1.7500000000000002E-2</v>
      </c>
      <c r="D516" s="4">
        <v>1.7399999999999999E-2</v>
      </c>
      <c r="E516" s="4">
        <v>1.7299999999999999E-2</v>
      </c>
      <c r="I516" s="3">
        <v>37530</v>
      </c>
      <c r="J516" s="4">
        <v>1.7500000000000002E-2</v>
      </c>
      <c r="K516" s="4">
        <v>1.7500000000000002E-2</v>
      </c>
      <c r="L516" s="4">
        <v>1.7399999999999999E-2</v>
      </c>
      <c r="M516" s="4">
        <v>1.7299999999999999E-2</v>
      </c>
      <c r="N516" s="6">
        <f t="shared" si="28"/>
        <v>1.7948529383000005E-2</v>
      </c>
      <c r="O516" s="6">
        <f t="shared" si="29"/>
        <v>3.7103726708074533E-2</v>
      </c>
      <c r="P516" s="21">
        <f t="shared" si="30"/>
        <v>2.0117860741436323E-7</v>
      </c>
      <c r="Q516">
        <f t="shared" si="31"/>
        <v>2.5630250457143018</v>
      </c>
    </row>
    <row r="517" spans="1:17" x14ac:dyDescent="0.15">
      <c r="A517" s="3">
        <v>37561</v>
      </c>
      <c r="B517" s="4">
        <v>1.34E-2</v>
      </c>
      <c r="C517" s="4">
        <v>1.7500000000000002E-2</v>
      </c>
      <c r="D517" s="4">
        <v>1.7500000000000002E-2</v>
      </c>
      <c r="E517" s="4">
        <v>1.7399999999999999E-2</v>
      </c>
      <c r="I517" s="3">
        <v>37561</v>
      </c>
      <c r="J517" s="4">
        <v>1.34E-2</v>
      </c>
      <c r="K517" s="4">
        <v>1.7500000000000002E-2</v>
      </c>
      <c r="L517" s="4">
        <v>1.7500000000000002E-2</v>
      </c>
      <c r="M517" s="4">
        <v>1.7399999999999999E-2</v>
      </c>
      <c r="N517" s="6">
        <f t="shared" si="28"/>
        <v>1.7903151879E-2</v>
      </c>
      <c r="O517" s="6">
        <f t="shared" si="29"/>
        <v>4.1203726708074533E-2</v>
      </c>
      <c r="P517" s="21">
        <f t="shared" si="30"/>
        <v>2.0278376845341229E-5</v>
      </c>
      <c r="Q517">
        <f t="shared" si="31"/>
        <v>33.60561103731343</v>
      </c>
    </row>
    <row r="518" spans="1:17" x14ac:dyDescent="0.15">
      <c r="A518" s="3">
        <v>37591</v>
      </c>
      <c r="B518" s="4">
        <v>1.24E-2</v>
      </c>
      <c r="C518" s="4">
        <v>1.34E-2</v>
      </c>
      <c r="D518" s="4">
        <v>1.7500000000000002E-2</v>
      </c>
      <c r="E518" s="4">
        <v>1.7500000000000002E-2</v>
      </c>
      <c r="I518" s="3">
        <v>37591</v>
      </c>
      <c r="J518" s="4">
        <v>1.24E-2</v>
      </c>
      <c r="K518" s="4">
        <v>1.34E-2</v>
      </c>
      <c r="L518" s="4">
        <v>1.7500000000000002E-2</v>
      </c>
      <c r="M518" s="4">
        <v>1.7500000000000002E-2</v>
      </c>
      <c r="N518" s="6">
        <f t="shared" si="28"/>
        <v>1.2009188237999999E-2</v>
      </c>
      <c r="O518" s="6">
        <f t="shared" si="29"/>
        <v>4.2203726708074533E-2</v>
      </c>
      <c r="P518" s="21">
        <f t="shared" si="30"/>
        <v>1.5273383331754535E-7</v>
      </c>
      <c r="Q518">
        <f t="shared" si="31"/>
        <v>3.1517077580645232</v>
      </c>
    </row>
    <row r="519" spans="1:17" x14ac:dyDescent="0.15">
      <c r="A519" s="3">
        <v>37622</v>
      </c>
      <c r="B519" s="4">
        <v>1.24E-2</v>
      </c>
      <c r="C519" s="4">
        <v>1.24E-2</v>
      </c>
      <c r="D519" s="4">
        <v>1.34E-2</v>
      </c>
      <c r="E519" s="4">
        <v>1.7500000000000002E-2</v>
      </c>
      <c r="I519" s="3">
        <v>37622</v>
      </c>
      <c r="J519" s="4">
        <v>1.24E-2</v>
      </c>
      <c r="K519" s="4">
        <v>1.24E-2</v>
      </c>
      <c r="L519" s="4">
        <v>1.34E-2</v>
      </c>
      <c r="M519" s="4">
        <v>1.7500000000000002E-2</v>
      </c>
      <c r="N519" s="6">
        <f t="shared" ref="N519:N582" si="32" xml:space="preserve"> 0.00063539 + 1.44140757*K519 - 0.611849*L519 + 0.15807396*M519</f>
        <v>1.3076361567999999E-2</v>
      </c>
      <c r="O519" s="6">
        <f t="shared" ref="O519:O582" si="33">ABS(J519-$U$32)</f>
        <v>4.2203726708074533E-2</v>
      </c>
      <c r="P519" s="21">
        <f t="shared" ref="P519:P582" si="34">(N519-J519)^2</f>
        <v>4.5746497066741834E-7</v>
      </c>
      <c r="Q519">
        <f t="shared" ref="Q519:Q582" si="35">ABS(N519-J519)/J519*100</f>
        <v>5.4545287741935473</v>
      </c>
    </row>
    <row r="520" spans="1:17" x14ac:dyDescent="0.15">
      <c r="A520" s="3">
        <v>37653</v>
      </c>
      <c r="B520" s="4">
        <v>1.26E-2</v>
      </c>
      <c r="C520" s="4">
        <v>1.24E-2</v>
      </c>
      <c r="D520" s="4">
        <v>1.24E-2</v>
      </c>
      <c r="E520" s="4">
        <v>1.34E-2</v>
      </c>
      <c r="I520" s="3">
        <v>37653</v>
      </c>
      <c r="J520" s="4">
        <v>1.26E-2</v>
      </c>
      <c r="K520" s="4">
        <v>1.24E-2</v>
      </c>
      <c r="L520" s="4">
        <v>1.24E-2</v>
      </c>
      <c r="M520" s="4">
        <v>1.34E-2</v>
      </c>
      <c r="N520" s="6">
        <f t="shared" si="32"/>
        <v>1.3040107331999999E-2</v>
      </c>
      <c r="O520" s="6">
        <f t="shared" si="33"/>
        <v>4.2003726708074535E-2</v>
      </c>
      <c r="P520" s="21">
        <f t="shared" si="34"/>
        <v>1.9369446368015737E-7</v>
      </c>
      <c r="Q520">
        <f t="shared" si="35"/>
        <v>3.4929153333333254</v>
      </c>
    </row>
    <row r="521" spans="1:17" x14ac:dyDescent="0.15">
      <c r="A521" s="3">
        <v>37681</v>
      </c>
      <c r="B521" s="4">
        <v>1.2500000000000001E-2</v>
      </c>
      <c r="C521" s="4">
        <v>1.26E-2</v>
      </c>
      <c r="D521" s="4">
        <v>1.24E-2</v>
      </c>
      <c r="E521" s="4">
        <v>1.24E-2</v>
      </c>
      <c r="I521" s="3">
        <v>37681</v>
      </c>
      <c r="J521" s="4">
        <v>1.2500000000000001E-2</v>
      </c>
      <c r="K521" s="4">
        <v>1.26E-2</v>
      </c>
      <c r="L521" s="4">
        <v>1.24E-2</v>
      </c>
      <c r="M521" s="4">
        <v>1.24E-2</v>
      </c>
      <c r="N521" s="6">
        <f t="shared" si="32"/>
        <v>1.3170314886E-2</v>
      </c>
      <c r="O521" s="6">
        <f t="shared" si="33"/>
        <v>4.2103726708074538E-2</v>
      </c>
      <c r="P521" s="21">
        <f t="shared" si="34"/>
        <v>4.493220463931917E-7</v>
      </c>
      <c r="Q521">
        <f t="shared" si="35"/>
        <v>5.362519087999992</v>
      </c>
    </row>
    <row r="522" spans="1:17" x14ac:dyDescent="0.15">
      <c r="A522" s="3">
        <v>37712</v>
      </c>
      <c r="B522" s="4">
        <v>1.26E-2</v>
      </c>
      <c r="C522" s="4">
        <v>1.2500000000000001E-2</v>
      </c>
      <c r="D522" s="4">
        <v>1.26E-2</v>
      </c>
      <c r="E522" s="4">
        <v>1.24E-2</v>
      </c>
      <c r="I522" s="3">
        <v>37712</v>
      </c>
      <c r="J522" s="4">
        <v>1.26E-2</v>
      </c>
      <c r="K522" s="4">
        <v>1.2500000000000001E-2</v>
      </c>
      <c r="L522" s="4">
        <v>1.26E-2</v>
      </c>
      <c r="M522" s="4">
        <v>1.24E-2</v>
      </c>
      <c r="N522" s="6">
        <f t="shared" si="32"/>
        <v>1.2903804329000002E-2</v>
      </c>
      <c r="O522" s="6">
        <f t="shared" si="33"/>
        <v>4.2003726708074535E-2</v>
      </c>
      <c r="P522" s="21">
        <f t="shared" si="34"/>
        <v>9.2297070319141525E-8</v>
      </c>
      <c r="Q522">
        <f t="shared" si="35"/>
        <v>2.4111454682539852</v>
      </c>
    </row>
    <row r="523" spans="1:17" x14ac:dyDescent="0.15">
      <c r="A523" s="3">
        <v>37742</v>
      </c>
      <c r="B523" s="4">
        <v>1.26E-2</v>
      </c>
      <c r="C523" s="4">
        <v>1.26E-2</v>
      </c>
      <c r="D523" s="4">
        <v>1.2500000000000001E-2</v>
      </c>
      <c r="E523" s="4">
        <v>1.26E-2</v>
      </c>
      <c r="I523" s="3">
        <v>37742</v>
      </c>
      <c r="J523" s="4">
        <v>1.26E-2</v>
      </c>
      <c r="K523" s="4">
        <v>1.26E-2</v>
      </c>
      <c r="L523" s="4">
        <v>1.2500000000000001E-2</v>
      </c>
      <c r="M523" s="4">
        <v>1.26E-2</v>
      </c>
      <c r="N523" s="6">
        <f t="shared" si="32"/>
        <v>1.3140744777999999E-2</v>
      </c>
      <c r="O523" s="6">
        <f t="shared" si="33"/>
        <v>4.2003726708074535E-2</v>
      </c>
      <c r="P523" s="21">
        <f t="shared" si="34"/>
        <v>2.9240491493426795E-7</v>
      </c>
      <c r="Q523">
        <f t="shared" si="35"/>
        <v>4.2916252222222129</v>
      </c>
    </row>
    <row r="524" spans="1:17" x14ac:dyDescent="0.15">
      <c r="A524" s="3">
        <v>37773</v>
      </c>
      <c r="B524" s="4">
        <v>1.2199999999999999E-2</v>
      </c>
      <c r="C524" s="4">
        <v>1.26E-2</v>
      </c>
      <c r="D524" s="4">
        <v>1.26E-2</v>
      </c>
      <c r="E524" s="4">
        <v>1.2500000000000001E-2</v>
      </c>
      <c r="I524" s="3">
        <v>37773</v>
      </c>
      <c r="J524" s="4">
        <v>1.2199999999999999E-2</v>
      </c>
      <c r="K524" s="4">
        <v>1.26E-2</v>
      </c>
      <c r="L524" s="4">
        <v>1.26E-2</v>
      </c>
      <c r="M524" s="4">
        <v>1.2500000000000001E-2</v>
      </c>
      <c r="N524" s="6">
        <f t="shared" si="32"/>
        <v>1.3063752482E-2</v>
      </c>
      <c r="O524" s="6">
        <f t="shared" si="33"/>
        <v>4.2403726708074532E-2</v>
      </c>
      <c r="P524" s="21">
        <f t="shared" si="34"/>
        <v>7.4606835016116253E-7</v>
      </c>
      <c r="Q524">
        <f t="shared" si="35"/>
        <v>7.0799383770491913</v>
      </c>
    </row>
    <row r="525" spans="1:17" x14ac:dyDescent="0.15">
      <c r="A525" s="3">
        <v>37803</v>
      </c>
      <c r="B525" s="4">
        <v>1.01E-2</v>
      </c>
      <c r="C525" s="4">
        <v>1.2199999999999999E-2</v>
      </c>
      <c r="D525" s="4">
        <v>1.26E-2</v>
      </c>
      <c r="E525" s="4">
        <v>1.26E-2</v>
      </c>
      <c r="I525" s="3">
        <v>37803</v>
      </c>
      <c r="J525" s="4">
        <v>1.01E-2</v>
      </c>
      <c r="K525" s="4">
        <v>1.2199999999999999E-2</v>
      </c>
      <c r="L525" s="4">
        <v>1.26E-2</v>
      </c>
      <c r="M525" s="4">
        <v>1.26E-2</v>
      </c>
      <c r="N525" s="6">
        <f t="shared" si="32"/>
        <v>1.250299685E-2</v>
      </c>
      <c r="O525" s="6">
        <f t="shared" si="33"/>
        <v>4.4503726708074537E-2</v>
      </c>
      <c r="P525" s="21">
        <f t="shared" si="34"/>
        <v>5.7743938611099235E-6</v>
      </c>
      <c r="Q525">
        <f t="shared" si="35"/>
        <v>23.792048019801985</v>
      </c>
    </row>
    <row r="526" spans="1:17" x14ac:dyDescent="0.15">
      <c r="A526" s="3">
        <v>37834</v>
      </c>
      <c r="B526" s="4">
        <v>1.03E-2</v>
      </c>
      <c r="C526" s="4">
        <v>1.01E-2</v>
      </c>
      <c r="D526" s="4">
        <v>1.2199999999999999E-2</v>
      </c>
      <c r="E526" s="4">
        <v>1.26E-2</v>
      </c>
      <c r="I526" s="3">
        <v>37834</v>
      </c>
      <c r="J526" s="4">
        <v>1.03E-2</v>
      </c>
      <c r="K526" s="4">
        <v>1.01E-2</v>
      </c>
      <c r="L526" s="4">
        <v>1.2199999999999999E-2</v>
      </c>
      <c r="M526" s="4">
        <v>1.26E-2</v>
      </c>
      <c r="N526" s="6">
        <f t="shared" si="32"/>
        <v>9.720780553E-3</v>
      </c>
      <c r="O526" s="6">
        <f t="shared" si="33"/>
        <v>4.4303726708074531E-2</v>
      </c>
      <c r="P526" s="21">
        <f t="shared" si="34"/>
        <v>3.3549516778298598E-7</v>
      </c>
      <c r="Q526">
        <f t="shared" si="35"/>
        <v>5.6234897766990306</v>
      </c>
    </row>
    <row r="527" spans="1:17" x14ac:dyDescent="0.15">
      <c r="A527" s="3">
        <v>37865</v>
      </c>
      <c r="B527" s="4">
        <v>1.01E-2</v>
      </c>
      <c r="C527" s="4">
        <v>1.03E-2</v>
      </c>
      <c r="D527" s="4">
        <v>1.01E-2</v>
      </c>
      <c r="E527" s="4">
        <v>1.2199999999999999E-2</v>
      </c>
      <c r="I527" s="3">
        <v>37865</v>
      </c>
      <c r="J527" s="4">
        <v>1.01E-2</v>
      </c>
      <c r="K527" s="4">
        <v>1.03E-2</v>
      </c>
      <c r="L527" s="4">
        <v>1.01E-2</v>
      </c>
      <c r="M527" s="4">
        <v>1.2199999999999999E-2</v>
      </c>
      <c r="N527" s="6">
        <f t="shared" si="32"/>
        <v>1.1230715382999999E-2</v>
      </c>
      <c r="O527" s="6">
        <f t="shared" si="33"/>
        <v>4.4503726708074537E-2</v>
      </c>
      <c r="P527" s="21">
        <f t="shared" si="34"/>
        <v>1.2785172773528343E-6</v>
      </c>
      <c r="Q527">
        <f t="shared" si="35"/>
        <v>11.195201811881178</v>
      </c>
    </row>
    <row r="528" spans="1:17" x14ac:dyDescent="0.15">
      <c r="A528" s="3">
        <v>37895</v>
      </c>
      <c r="B528" s="4">
        <v>1.01E-2</v>
      </c>
      <c r="C528" s="4">
        <v>1.01E-2</v>
      </c>
      <c r="D528" s="4">
        <v>1.03E-2</v>
      </c>
      <c r="E528" s="4">
        <v>1.01E-2</v>
      </c>
      <c r="I528" s="3">
        <v>37895</v>
      </c>
      <c r="J528" s="4">
        <v>1.01E-2</v>
      </c>
      <c r="K528" s="4">
        <v>1.01E-2</v>
      </c>
      <c r="L528" s="4">
        <v>1.03E-2</v>
      </c>
      <c r="M528" s="4">
        <v>1.01E-2</v>
      </c>
      <c r="N528" s="6">
        <f t="shared" si="32"/>
        <v>1.0488108753E-2</v>
      </c>
      <c r="O528" s="6">
        <f t="shared" si="33"/>
        <v>4.4503726708074537E-2</v>
      </c>
      <c r="P528" s="21">
        <f t="shared" si="34"/>
        <v>1.5062840415521559E-7</v>
      </c>
      <c r="Q528">
        <f t="shared" si="35"/>
        <v>3.842660920792087</v>
      </c>
    </row>
    <row r="529" spans="1:17" x14ac:dyDescent="0.15">
      <c r="A529" s="3">
        <v>37926</v>
      </c>
      <c r="B529" s="4">
        <v>0.01</v>
      </c>
      <c r="C529" s="4">
        <v>1.01E-2</v>
      </c>
      <c r="D529" s="4">
        <v>1.01E-2</v>
      </c>
      <c r="E529" s="4">
        <v>1.03E-2</v>
      </c>
      <c r="I529" s="3">
        <v>37926</v>
      </c>
      <c r="J529" s="4">
        <v>0.01</v>
      </c>
      <c r="K529" s="4">
        <v>1.01E-2</v>
      </c>
      <c r="L529" s="4">
        <v>1.01E-2</v>
      </c>
      <c r="M529" s="4">
        <v>1.03E-2</v>
      </c>
      <c r="N529" s="6">
        <f t="shared" si="32"/>
        <v>1.0642093344999999E-2</v>
      </c>
      <c r="O529" s="6">
        <f t="shared" si="33"/>
        <v>4.4603726708074533E-2</v>
      </c>
      <c r="P529" s="21">
        <f t="shared" si="34"/>
        <v>4.1228386369328759E-7</v>
      </c>
      <c r="Q529">
        <f t="shared" si="35"/>
        <v>6.4209334499999882</v>
      </c>
    </row>
    <row r="530" spans="1:17" x14ac:dyDescent="0.15">
      <c r="A530" s="3">
        <v>37956</v>
      </c>
      <c r="B530" s="4">
        <v>9.7999999999999997E-3</v>
      </c>
      <c r="C530" s="4">
        <v>0.01</v>
      </c>
      <c r="D530" s="4">
        <v>1.01E-2</v>
      </c>
      <c r="E530" s="4">
        <v>1.01E-2</v>
      </c>
      <c r="I530" s="3">
        <v>37956</v>
      </c>
      <c r="J530" s="4">
        <v>9.7999999999999997E-3</v>
      </c>
      <c r="K530" s="4">
        <v>0.01</v>
      </c>
      <c r="L530" s="4">
        <v>1.01E-2</v>
      </c>
      <c r="M530" s="4">
        <v>1.01E-2</v>
      </c>
      <c r="N530" s="6">
        <f t="shared" si="32"/>
        <v>1.0466337796000001E-2</v>
      </c>
      <c r="O530" s="6">
        <f t="shared" si="33"/>
        <v>4.4803726708074532E-2</v>
      </c>
      <c r="P530" s="21">
        <f t="shared" si="34"/>
        <v>4.4400605837813961E-7</v>
      </c>
      <c r="Q530">
        <f t="shared" si="35"/>
        <v>6.7993652653061387</v>
      </c>
    </row>
    <row r="531" spans="1:17" x14ac:dyDescent="0.15">
      <c r="A531" s="3">
        <v>37987</v>
      </c>
      <c r="B531" s="4">
        <v>0.01</v>
      </c>
      <c r="C531" s="4">
        <v>9.7999999999999997E-3</v>
      </c>
      <c r="D531" s="4">
        <v>0.01</v>
      </c>
      <c r="E531" s="4">
        <v>1.01E-2</v>
      </c>
      <c r="I531" s="3">
        <v>37987</v>
      </c>
      <c r="J531" s="4">
        <v>0.01</v>
      </c>
      <c r="K531" s="4">
        <v>9.7999999999999997E-3</v>
      </c>
      <c r="L531" s="4">
        <v>0.01</v>
      </c>
      <c r="M531" s="4">
        <v>1.01E-2</v>
      </c>
      <c r="N531" s="6">
        <f t="shared" si="32"/>
        <v>1.0239241182E-2</v>
      </c>
      <c r="O531" s="6">
        <f t="shared" si="33"/>
        <v>4.4603726708074533E-2</v>
      </c>
      <c r="P531" s="21">
        <f t="shared" si="34"/>
        <v>5.7236343164756912E-8</v>
      </c>
      <c r="Q531">
        <f t="shared" si="35"/>
        <v>2.3924118199999955</v>
      </c>
    </row>
    <row r="532" spans="1:17" x14ac:dyDescent="0.15">
      <c r="A532" s="3">
        <v>38018</v>
      </c>
      <c r="B532" s="4">
        <v>1.01E-2</v>
      </c>
      <c r="C532" s="4">
        <v>0.01</v>
      </c>
      <c r="D532" s="4">
        <v>9.7999999999999997E-3</v>
      </c>
      <c r="E532" s="4">
        <v>0.01</v>
      </c>
      <c r="I532" s="3">
        <v>38018</v>
      </c>
      <c r="J532" s="4">
        <v>1.01E-2</v>
      </c>
      <c r="K532" s="4">
        <v>0.01</v>
      </c>
      <c r="L532" s="4">
        <v>9.7999999999999997E-3</v>
      </c>
      <c r="M532" s="4">
        <v>0.01</v>
      </c>
      <c r="N532" s="6">
        <f t="shared" si="32"/>
        <v>1.0634085100000001E-2</v>
      </c>
      <c r="O532" s="6">
        <f t="shared" si="33"/>
        <v>4.4503726708074537E-2</v>
      </c>
      <c r="P532" s="21">
        <f t="shared" si="34"/>
        <v>2.8524689404201156E-7</v>
      </c>
      <c r="Q532">
        <f t="shared" si="35"/>
        <v>5.2879712871287277</v>
      </c>
    </row>
    <row r="533" spans="1:17" x14ac:dyDescent="0.15">
      <c r="A533" s="3">
        <v>38047</v>
      </c>
      <c r="B533" s="4">
        <v>0.01</v>
      </c>
      <c r="C533" s="4">
        <v>1.01E-2</v>
      </c>
      <c r="D533" s="4">
        <v>0.01</v>
      </c>
      <c r="E533" s="4">
        <v>9.7999999999999997E-3</v>
      </c>
      <c r="I533" s="3">
        <v>38047</v>
      </c>
      <c r="J533" s="4">
        <v>0.01</v>
      </c>
      <c r="K533" s="4">
        <v>1.01E-2</v>
      </c>
      <c r="L533" s="4">
        <v>0.01</v>
      </c>
      <c r="M533" s="4">
        <v>9.7999999999999997E-3</v>
      </c>
      <c r="N533" s="6">
        <f t="shared" si="32"/>
        <v>1.0624241264999997E-2</v>
      </c>
      <c r="O533" s="6">
        <f t="shared" si="33"/>
        <v>4.4603726708074533E-2</v>
      </c>
      <c r="P533" s="21">
        <f t="shared" si="34"/>
        <v>3.8967715692879644E-7</v>
      </c>
      <c r="Q533">
        <f t="shared" si="35"/>
        <v>6.2424126499999701</v>
      </c>
    </row>
    <row r="534" spans="1:17" x14ac:dyDescent="0.15">
      <c r="A534" s="3">
        <v>38078</v>
      </c>
      <c r="B534" s="4">
        <v>0.01</v>
      </c>
      <c r="C534" s="4">
        <v>0.01</v>
      </c>
      <c r="D534" s="4">
        <v>1.01E-2</v>
      </c>
      <c r="E534" s="4">
        <v>0.01</v>
      </c>
      <c r="I534" s="3">
        <v>38078</v>
      </c>
      <c r="J534" s="4">
        <v>0.01</v>
      </c>
      <c r="K534" s="4">
        <v>0.01</v>
      </c>
      <c r="L534" s="4">
        <v>1.01E-2</v>
      </c>
      <c r="M534" s="4">
        <v>0.01</v>
      </c>
      <c r="N534" s="6">
        <f t="shared" si="32"/>
        <v>1.0450530400000001E-2</v>
      </c>
      <c r="O534" s="6">
        <f t="shared" si="33"/>
        <v>4.4603726708074533E-2</v>
      </c>
      <c r="P534" s="21">
        <f t="shared" si="34"/>
        <v>2.029776413241611E-7</v>
      </c>
      <c r="Q534">
        <f t="shared" si="35"/>
        <v>4.5053040000000122</v>
      </c>
    </row>
    <row r="535" spans="1:17" x14ac:dyDescent="0.15">
      <c r="A535" s="3">
        <v>38108</v>
      </c>
      <c r="B535" s="4">
        <v>0.01</v>
      </c>
      <c r="C535" s="4">
        <v>0.01</v>
      </c>
      <c r="D535" s="4">
        <v>0.01</v>
      </c>
      <c r="E535" s="4">
        <v>1.01E-2</v>
      </c>
      <c r="I535" s="3">
        <v>38108</v>
      </c>
      <c r="J535" s="4">
        <v>0.01</v>
      </c>
      <c r="K535" s="4">
        <v>0.01</v>
      </c>
      <c r="L535" s="4">
        <v>0.01</v>
      </c>
      <c r="M535" s="4">
        <v>1.01E-2</v>
      </c>
      <c r="N535" s="6">
        <f t="shared" si="32"/>
        <v>1.0527522696E-2</v>
      </c>
      <c r="O535" s="6">
        <f t="shared" si="33"/>
        <v>4.4603726708074533E-2</v>
      </c>
      <c r="P535" s="21">
        <f t="shared" si="34"/>
        <v>2.7828019479510812E-7</v>
      </c>
      <c r="Q535">
        <f t="shared" si="35"/>
        <v>5.2752269599999968</v>
      </c>
    </row>
    <row r="536" spans="1:17" x14ac:dyDescent="0.15">
      <c r="A536" s="3">
        <v>38139</v>
      </c>
      <c r="B536" s="4">
        <v>1.03E-2</v>
      </c>
      <c r="C536" s="4">
        <v>0.01</v>
      </c>
      <c r="D536" s="4">
        <v>0.01</v>
      </c>
      <c r="E536" s="4">
        <v>0.01</v>
      </c>
      <c r="I536" s="3">
        <v>38139</v>
      </c>
      <c r="J536" s="4">
        <v>1.03E-2</v>
      </c>
      <c r="K536" s="4">
        <v>0.01</v>
      </c>
      <c r="L536" s="4">
        <v>0.01</v>
      </c>
      <c r="M536" s="4">
        <v>0.01</v>
      </c>
      <c r="N536" s="6">
        <f t="shared" si="32"/>
        <v>1.05117153E-2</v>
      </c>
      <c r="O536" s="6">
        <f t="shared" si="33"/>
        <v>4.4303726708074531E-2</v>
      </c>
      <c r="P536" s="21">
        <f t="shared" si="34"/>
        <v>4.4823368254090001E-8</v>
      </c>
      <c r="Q536">
        <f t="shared" si="35"/>
        <v>2.0554883495145631</v>
      </c>
    </row>
    <row r="537" spans="1:17" x14ac:dyDescent="0.15">
      <c r="A537" s="3">
        <v>38169</v>
      </c>
      <c r="B537" s="4">
        <v>1.26E-2</v>
      </c>
      <c r="C537" s="4">
        <v>1.03E-2</v>
      </c>
      <c r="D537" s="4">
        <v>0.01</v>
      </c>
      <c r="E537" s="4">
        <v>0.01</v>
      </c>
      <c r="I537" s="3">
        <v>38169</v>
      </c>
      <c r="J537" s="4">
        <v>1.26E-2</v>
      </c>
      <c r="K537" s="4">
        <v>1.03E-2</v>
      </c>
      <c r="L537" s="4">
        <v>0.01</v>
      </c>
      <c r="M537" s="4">
        <v>0.01</v>
      </c>
      <c r="N537" s="6">
        <f t="shared" si="32"/>
        <v>1.0944137570999999E-2</v>
      </c>
      <c r="O537" s="6">
        <f t="shared" si="33"/>
        <v>4.2003726708074535E-2</v>
      </c>
      <c r="P537" s="21">
        <f t="shared" si="34"/>
        <v>2.741880383773785E-6</v>
      </c>
      <c r="Q537">
        <f t="shared" si="35"/>
        <v>13.141765309523819</v>
      </c>
    </row>
    <row r="538" spans="1:17" x14ac:dyDescent="0.15">
      <c r="A538" s="3">
        <v>38200</v>
      </c>
      <c r="B538" s="4">
        <v>1.43E-2</v>
      </c>
      <c r="C538" s="4">
        <v>1.26E-2</v>
      </c>
      <c r="D538" s="4">
        <v>1.03E-2</v>
      </c>
      <c r="E538" s="4">
        <v>0.01</v>
      </c>
      <c r="I538" s="3">
        <v>38200</v>
      </c>
      <c r="J538" s="4">
        <v>1.43E-2</v>
      </c>
      <c r="K538" s="4">
        <v>1.26E-2</v>
      </c>
      <c r="L538" s="4">
        <v>1.03E-2</v>
      </c>
      <c r="M538" s="4">
        <v>0.01</v>
      </c>
      <c r="N538" s="6">
        <f t="shared" si="32"/>
        <v>1.4075820282000001E-2</v>
      </c>
      <c r="O538" s="6">
        <f t="shared" si="33"/>
        <v>4.0303726708074535E-2</v>
      </c>
      <c r="P538" s="21">
        <f t="shared" si="34"/>
        <v>5.025654596255927E-8</v>
      </c>
      <c r="Q538">
        <f t="shared" si="35"/>
        <v>1.5676903356643317</v>
      </c>
    </row>
    <row r="539" spans="1:17" x14ac:dyDescent="0.15">
      <c r="A539" s="3">
        <v>38231</v>
      </c>
      <c r="B539" s="4">
        <v>1.61E-2</v>
      </c>
      <c r="C539" s="4">
        <v>1.43E-2</v>
      </c>
      <c r="D539" s="4">
        <v>1.26E-2</v>
      </c>
      <c r="E539" s="4">
        <v>1.03E-2</v>
      </c>
      <c r="I539" s="3">
        <v>38231</v>
      </c>
      <c r="J539" s="4">
        <v>1.61E-2</v>
      </c>
      <c r="K539" s="4">
        <v>1.43E-2</v>
      </c>
      <c r="L539" s="4">
        <v>1.26E-2</v>
      </c>
      <c r="M539" s="4">
        <v>1.03E-2</v>
      </c>
      <c r="N539" s="6">
        <f t="shared" si="32"/>
        <v>1.5166382639E-2</v>
      </c>
      <c r="O539" s="6">
        <f t="shared" si="33"/>
        <v>3.8503726708074532E-2</v>
      </c>
      <c r="P539" s="21">
        <f t="shared" si="34"/>
        <v>8.7164137676060457E-7</v>
      </c>
      <c r="Q539">
        <f t="shared" si="35"/>
        <v>5.7988655962732931</v>
      </c>
    </row>
    <row r="540" spans="1:17" x14ac:dyDescent="0.15">
      <c r="A540" s="3">
        <v>38261</v>
      </c>
      <c r="B540" s="4">
        <v>1.7600000000000001E-2</v>
      </c>
      <c r="C540" s="4">
        <v>1.61E-2</v>
      </c>
      <c r="D540" s="4">
        <v>1.43E-2</v>
      </c>
      <c r="E540" s="4">
        <v>1.26E-2</v>
      </c>
      <c r="I540" s="3">
        <v>38261</v>
      </c>
      <c r="J540" s="4">
        <v>1.7600000000000001E-2</v>
      </c>
      <c r="K540" s="4">
        <v>1.61E-2</v>
      </c>
      <c r="L540" s="4">
        <v>1.43E-2</v>
      </c>
      <c r="M540" s="4">
        <v>1.26E-2</v>
      </c>
      <c r="N540" s="6">
        <f t="shared" si="32"/>
        <v>1.7084343073E-2</v>
      </c>
      <c r="O540" s="6">
        <f t="shared" si="33"/>
        <v>3.700372670807453E-2</v>
      </c>
      <c r="P540" s="21">
        <f t="shared" si="34"/>
        <v>2.6590206636308416E-7</v>
      </c>
      <c r="Q540">
        <f t="shared" si="35"/>
        <v>2.9298689034090954</v>
      </c>
    </row>
    <row r="541" spans="1:17" x14ac:dyDescent="0.15">
      <c r="A541" s="3">
        <v>38292</v>
      </c>
      <c r="B541" s="4">
        <v>1.9299999999999998E-2</v>
      </c>
      <c r="C541" s="4">
        <v>1.7600000000000001E-2</v>
      </c>
      <c r="D541" s="4">
        <v>1.61E-2</v>
      </c>
      <c r="E541" s="4">
        <v>1.43E-2</v>
      </c>
      <c r="I541" s="3">
        <v>38292</v>
      </c>
      <c r="J541" s="4">
        <v>1.9299999999999998E-2</v>
      </c>
      <c r="K541" s="4">
        <v>1.7600000000000001E-2</v>
      </c>
      <c r="L541" s="4">
        <v>1.61E-2</v>
      </c>
      <c r="M541" s="4">
        <v>1.43E-2</v>
      </c>
      <c r="N541" s="6">
        <f t="shared" si="32"/>
        <v>1.8413851959999998E-2</v>
      </c>
      <c r="O541" s="6">
        <f t="shared" si="33"/>
        <v>3.5303726708074537E-2</v>
      </c>
      <c r="P541" s="21">
        <f t="shared" si="34"/>
        <v>7.8525834879584094E-7</v>
      </c>
      <c r="Q541">
        <f t="shared" si="35"/>
        <v>4.5914406217616568</v>
      </c>
    </row>
    <row r="542" spans="1:17" x14ac:dyDescent="0.15">
      <c r="A542" s="3">
        <v>38322</v>
      </c>
      <c r="B542" s="4">
        <v>2.1600000000000001E-2</v>
      </c>
      <c r="C542" s="4">
        <v>1.9299999999999998E-2</v>
      </c>
      <c r="D542" s="4">
        <v>1.7600000000000001E-2</v>
      </c>
      <c r="E542" s="4">
        <v>1.61E-2</v>
      </c>
      <c r="I542" s="3">
        <v>38322</v>
      </c>
      <c r="J542" s="4">
        <v>2.1600000000000001E-2</v>
      </c>
      <c r="K542" s="4">
        <v>1.9299999999999998E-2</v>
      </c>
      <c r="L542" s="4">
        <v>1.7600000000000001E-2</v>
      </c>
      <c r="M542" s="4">
        <v>1.61E-2</v>
      </c>
      <c r="N542" s="6">
        <f t="shared" si="32"/>
        <v>2.0231004456999994E-2</v>
      </c>
      <c r="O542" s="6">
        <f t="shared" si="33"/>
        <v>3.3003726708074534E-2</v>
      </c>
      <c r="P542" s="21">
        <f t="shared" si="34"/>
        <v>1.8741487967538851E-6</v>
      </c>
      <c r="Q542">
        <f t="shared" si="35"/>
        <v>6.3379423287037371</v>
      </c>
    </row>
    <row r="543" spans="1:17" x14ac:dyDescent="0.15">
      <c r="A543" s="3">
        <v>38353</v>
      </c>
      <c r="B543" s="4">
        <v>2.2799999999999997E-2</v>
      </c>
      <c r="C543" s="4">
        <v>2.1600000000000001E-2</v>
      </c>
      <c r="D543" s="4">
        <v>1.9299999999999998E-2</v>
      </c>
      <c r="E543" s="4">
        <v>1.7600000000000001E-2</v>
      </c>
      <c r="I543" s="3">
        <v>38353</v>
      </c>
      <c r="J543" s="4">
        <v>2.2799999999999997E-2</v>
      </c>
      <c r="K543" s="4">
        <v>2.1600000000000001E-2</v>
      </c>
      <c r="L543" s="4">
        <v>1.9299999999999998E-2</v>
      </c>
      <c r="M543" s="4">
        <v>1.7600000000000001E-2</v>
      </c>
      <c r="N543" s="6">
        <f t="shared" si="32"/>
        <v>2.2743209508000004E-2</v>
      </c>
      <c r="O543" s="6">
        <f t="shared" si="33"/>
        <v>3.1803726708074534E-2</v>
      </c>
      <c r="P543" s="21">
        <f t="shared" si="34"/>
        <v>3.2251599816013637E-9</v>
      </c>
      <c r="Q543">
        <f t="shared" si="35"/>
        <v>0.2490811052631309</v>
      </c>
    </row>
    <row r="544" spans="1:17" x14ac:dyDescent="0.15">
      <c r="A544" s="3">
        <v>38384</v>
      </c>
      <c r="B544" s="4">
        <v>2.5000000000000001E-2</v>
      </c>
      <c r="C544" s="4">
        <v>2.2799999999999997E-2</v>
      </c>
      <c r="D544" s="4">
        <v>2.1600000000000001E-2</v>
      </c>
      <c r="E544" s="4">
        <v>1.9299999999999998E-2</v>
      </c>
      <c r="I544" s="3">
        <v>38384</v>
      </c>
      <c r="J544" s="4">
        <v>2.5000000000000001E-2</v>
      </c>
      <c r="K544" s="4">
        <v>2.2799999999999997E-2</v>
      </c>
      <c r="L544" s="4">
        <v>2.1600000000000001E-2</v>
      </c>
      <c r="M544" s="4">
        <v>1.9299999999999998E-2</v>
      </c>
      <c r="N544" s="6">
        <f t="shared" si="32"/>
        <v>2.3334371623999994E-2</v>
      </c>
      <c r="O544" s="6">
        <f t="shared" si="33"/>
        <v>2.9603726708074533E-2</v>
      </c>
      <c r="P544" s="21">
        <f t="shared" si="34"/>
        <v>2.7743178869364234E-6</v>
      </c>
      <c r="Q544">
        <f t="shared" si="35"/>
        <v>6.6625135040000307</v>
      </c>
    </row>
    <row r="545" spans="1:17" x14ac:dyDescent="0.15">
      <c r="A545" s="3">
        <v>38412</v>
      </c>
      <c r="B545" s="4">
        <v>2.63E-2</v>
      </c>
      <c r="C545" s="4">
        <v>2.5000000000000001E-2</v>
      </c>
      <c r="D545" s="4">
        <v>2.2799999999999997E-2</v>
      </c>
      <c r="E545" s="4">
        <v>2.1600000000000001E-2</v>
      </c>
      <c r="I545" s="3">
        <v>38412</v>
      </c>
      <c r="J545" s="4">
        <v>2.63E-2</v>
      </c>
      <c r="K545" s="4">
        <v>2.5000000000000001E-2</v>
      </c>
      <c r="L545" s="4">
        <v>2.2799999999999997E-2</v>
      </c>
      <c r="M545" s="4">
        <v>2.1600000000000001E-2</v>
      </c>
      <c r="N545" s="6">
        <f t="shared" si="32"/>
        <v>2.6134819586000002E-2</v>
      </c>
      <c r="O545" s="6">
        <f t="shared" si="33"/>
        <v>2.8303726708074534E-2</v>
      </c>
      <c r="P545" s="21">
        <f t="shared" si="34"/>
        <v>2.7284569169210853E-8</v>
      </c>
      <c r="Q545">
        <f t="shared" si="35"/>
        <v>0.62806241064638157</v>
      </c>
    </row>
    <row r="546" spans="1:17" x14ac:dyDescent="0.15">
      <c r="A546" s="3">
        <v>38443</v>
      </c>
      <c r="B546" s="4">
        <v>2.7900000000000001E-2</v>
      </c>
      <c r="C546" s="4">
        <v>2.63E-2</v>
      </c>
      <c r="D546" s="4">
        <v>2.5000000000000001E-2</v>
      </c>
      <c r="E546" s="4">
        <v>2.2799999999999997E-2</v>
      </c>
      <c r="I546" s="3">
        <v>38443</v>
      </c>
      <c r="J546" s="4">
        <v>2.7900000000000001E-2</v>
      </c>
      <c r="K546" s="4">
        <v>2.63E-2</v>
      </c>
      <c r="L546" s="4">
        <v>2.5000000000000001E-2</v>
      </c>
      <c r="M546" s="4">
        <v>2.2799999999999997E-2</v>
      </c>
      <c r="N546" s="6">
        <f t="shared" si="32"/>
        <v>2.6852270379000003E-2</v>
      </c>
      <c r="O546" s="6">
        <f t="shared" si="33"/>
        <v>2.6703726708074534E-2</v>
      </c>
      <c r="P546" s="21">
        <f t="shared" si="34"/>
        <v>1.0977373587208008E-6</v>
      </c>
      <c r="Q546">
        <f t="shared" si="35"/>
        <v>3.7553033010752643</v>
      </c>
    </row>
    <row r="547" spans="1:17" x14ac:dyDescent="0.15">
      <c r="A547" s="3">
        <v>38473</v>
      </c>
      <c r="B547" s="4">
        <v>0.03</v>
      </c>
      <c r="C547" s="4">
        <v>2.7900000000000001E-2</v>
      </c>
      <c r="D547" s="4">
        <v>2.63E-2</v>
      </c>
      <c r="E547" s="4">
        <v>2.5000000000000001E-2</v>
      </c>
      <c r="I547" s="3">
        <v>38473</v>
      </c>
      <c r="J547" s="4">
        <v>0.03</v>
      </c>
      <c r="K547" s="4">
        <v>2.7900000000000001E-2</v>
      </c>
      <c r="L547" s="4">
        <v>2.63E-2</v>
      </c>
      <c r="M547" s="4">
        <v>2.5000000000000001E-2</v>
      </c>
      <c r="N547" s="6">
        <f t="shared" si="32"/>
        <v>2.8710881503000003E-2</v>
      </c>
      <c r="O547" s="6">
        <f t="shared" si="33"/>
        <v>2.4603726708074536E-2</v>
      </c>
      <c r="P547" s="21">
        <f t="shared" si="34"/>
        <v>1.6618264993075276E-6</v>
      </c>
      <c r="Q547">
        <f t="shared" si="35"/>
        <v>4.297061656666652</v>
      </c>
    </row>
    <row r="548" spans="1:17" x14ac:dyDescent="0.15">
      <c r="A548" s="3">
        <v>38504</v>
      </c>
      <c r="B548" s="4">
        <v>3.04E-2</v>
      </c>
      <c r="C548" s="4">
        <v>0.03</v>
      </c>
      <c r="D548" s="4">
        <v>2.7900000000000001E-2</v>
      </c>
      <c r="E548" s="4">
        <v>2.63E-2</v>
      </c>
      <c r="I548" s="3">
        <v>38504</v>
      </c>
      <c r="J548" s="4">
        <v>3.04E-2</v>
      </c>
      <c r="K548" s="4">
        <v>0.03</v>
      </c>
      <c r="L548" s="4">
        <v>2.7900000000000001E-2</v>
      </c>
      <c r="M548" s="4">
        <v>2.63E-2</v>
      </c>
      <c r="N548" s="6">
        <f t="shared" si="32"/>
        <v>3.0964375147999997E-2</v>
      </c>
      <c r="O548" s="6">
        <f t="shared" si="33"/>
        <v>2.4203726708074535E-2</v>
      </c>
      <c r="P548" s="21">
        <f t="shared" si="34"/>
        <v>3.1851930768001806E-7</v>
      </c>
      <c r="Q548">
        <f t="shared" si="35"/>
        <v>1.8564971973684099</v>
      </c>
    </row>
    <row r="549" spans="1:17" x14ac:dyDescent="0.15">
      <c r="A549" s="3">
        <v>38534</v>
      </c>
      <c r="B549" s="4">
        <v>3.2599999999999997E-2</v>
      </c>
      <c r="C549" s="4">
        <v>3.04E-2</v>
      </c>
      <c r="D549" s="4">
        <v>0.03</v>
      </c>
      <c r="E549" s="4">
        <v>2.7900000000000001E-2</v>
      </c>
      <c r="I549" s="3">
        <v>38534</v>
      </c>
      <c r="J549" s="4">
        <v>3.2599999999999997E-2</v>
      </c>
      <c r="K549" s="4">
        <v>3.04E-2</v>
      </c>
      <c r="L549" s="4">
        <v>0.03</v>
      </c>
      <c r="M549" s="4">
        <v>2.7900000000000001E-2</v>
      </c>
      <c r="N549" s="6">
        <f t="shared" si="32"/>
        <v>3.0508973611999998E-2</v>
      </c>
      <c r="O549" s="6">
        <f t="shared" si="33"/>
        <v>2.2003726708074538E-2</v>
      </c>
      <c r="P549" s="21">
        <f t="shared" si="34"/>
        <v>4.3723913553123247E-6</v>
      </c>
      <c r="Q549">
        <f t="shared" si="35"/>
        <v>6.4141913742331278</v>
      </c>
    </row>
    <row r="550" spans="1:17" x14ac:dyDescent="0.15">
      <c r="A550" s="3">
        <v>38565</v>
      </c>
      <c r="B550" s="4">
        <v>3.5000000000000003E-2</v>
      </c>
      <c r="C550" s="4">
        <v>3.2599999999999997E-2</v>
      </c>
      <c r="D550" s="4">
        <v>3.04E-2</v>
      </c>
      <c r="E550" s="4">
        <v>0.03</v>
      </c>
      <c r="I550" s="3">
        <v>38565</v>
      </c>
      <c r="J550" s="4">
        <v>3.5000000000000003E-2</v>
      </c>
      <c r="K550" s="4">
        <v>3.2599999999999997E-2</v>
      </c>
      <c r="L550" s="4">
        <v>3.04E-2</v>
      </c>
      <c r="M550" s="4">
        <v>0.03</v>
      </c>
      <c r="N550" s="6">
        <f t="shared" si="32"/>
        <v>3.3767285981999996E-2</v>
      </c>
      <c r="O550" s="6">
        <f t="shared" si="33"/>
        <v>1.9603726708074531E-2</v>
      </c>
      <c r="P550" s="21">
        <f t="shared" si="34"/>
        <v>1.5195838501737217E-6</v>
      </c>
      <c r="Q550">
        <f t="shared" si="35"/>
        <v>3.5220400514285912</v>
      </c>
    </row>
    <row r="551" spans="1:17" x14ac:dyDescent="0.15">
      <c r="A551" s="3">
        <v>38596</v>
      </c>
      <c r="B551" s="4">
        <v>3.6200000000000003E-2</v>
      </c>
      <c r="C551" s="4">
        <v>3.5000000000000003E-2</v>
      </c>
      <c r="D551" s="4">
        <v>3.2599999999999997E-2</v>
      </c>
      <c r="E551" s="4">
        <v>3.04E-2</v>
      </c>
      <c r="I551" s="3">
        <v>38596</v>
      </c>
      <c r="J551" s="4">
        <v>3.6200000000000003E-2</v>
      </c>
      <c r="K551" s="4">
        <v>3.5000000000000003E-2</v>
      </c>
      <c r="L551" s="4">
        <v>3.2599999999999997E-2</v>
      </c>
      <c r="M551" s="4">
        <v>3.04E-2</v>
      </c>
      <c r="N551" s="6">
        <f t="shared" si="32"/>
        <v>3.5943825934000008E-2</v>
      </c>
      <c r="O551" s="6">
        <f t="shared" si="33"/>
        <v>1.8403726708074532E-2</v>
      </c>
      <c r="P551" s="21">
        <f t="shared" si="34"/>
        <v>6.5625152090969819E-8</v>
      </c>
      <c r="Q551">
        <f t="shared" si="35"/>
        <v>0.70766316574584265</v>
      </c>
    </row>
    <row r="552" spans="1:17" x14ac:dyDescent="0.15">
      <c r="A552" s="3">
        <v>38626</v>
      </c>
      <c r="B552" s="4">
        <v>3.78E-2</v>
      </c>
      <c r="C552" s="4">
        <v>3.6200000000000003E-2</v>
      </c>
      <c r="D552" s="4">
        <v>3.5000000000000003E-2</v>
      </c>
      <c r="E552" s="4">
        <v>3.2599999999999997E-2</v>
      </c>
      <c r="I552" s="3">
        <v>38626</v>
      </c>
      <c r="J552" s="4">
        <v>3.78E-2</v>
      </c>
      <c r="K552" s="4">
        <v>3.6200000000000003E-2</v>
      </c>
      <c r="L552" s="4">
        <v>3.5000000000000003E-2</v>
      </c>
      <c r="M552" s="4">
        <v>3.2599999999999997E-2</v>
      </c>
      <c r="N552" s="6">
        <f t="shared" si="32"/>
        <v>3.655284013E-2</v>
      </c>
      <c r="O552" s="6">
        <f t="shared" si="33"/>
        <v>1.6803726708074535E-2</v>
      </c>
      <c r="P552" s="21">
        <f t="shared" si="34"/>
        <v>1.5554077413384176E-6</v>
      </c>
      <c r="Q552">
        <f t="shared" si="35"/>
        <v>3.2993647354497364</v>
      </c>
    </row>
    <row r="553" spans="1:17" x14ac:dyDescent="0.15">
      <c r="A553" s="3">
        <v>38657</v>
      </c>
      <c r="B553" s="4">
        <v>0.04</v>
      </c>
      <c r="C553" s="4">
        <v>3.78E-2</v>
      </c>
      <c r="D553" s="4">
        <v>3.6200000000000003E-2</v>
      </c>
      <c r="E553" s="4">
        <v>3.5000000000000003E-2</v>
      </c>
      <c r="I553" s="3">
        <v>38657</v>
      </c>
      <c r="J553" s="4">
        <v>0.04</v>
      </c>
      <c r="K553" s="4">
        <v>3.78E-2</v>
      </c>
      <c r="L553" s="4">
        <v>3.6200000000000003E-2</v>
      </c>
      <c r="M553" s="4">
        <v>3.5000000000000003E-2</v>
      </c>
      <c r="N553" s="6">
        <f t="shared" si="32"/>
        <v>3.8504250945999997E-2</v>
      </c>
      <c r="O553" s="6">
        <f t="shared" si="33"/>
        <v>1.4603726708074534E-2</v>
      </c>
      <c r="P553" s="21">
        <f t="shared" si="34"/>
        <v>2.2372652325419052E-6</v>
      </c>
      <c r="Q553">
        <f t="shared" si="35"/>
        <v>3.7393726350000085</v>
      </c>
    </row>
    <row r="554" spans="1:17" x14ac:dyDescent="0.15">
      <c r="A554" s="3">
        <v>38687</v>
      </c>
      <c r="B554" s="4">
        <v>4.1599999999999998E-2</v>
      </c>
      <c r="C554" s="4">
        <v>0.04</v>
      </c>
      <c r="D554" s="4">
        <v>3.78E-2</v>
      </c>
      <c r="E554" s="4">
        <v>3.6200000000000003E-2</v>
      </c>
      <c r="I554" s="3">
        <v>38687</v>
      </c>
      <c r="J554" s="4">
        <v>4.1599999999999998E-2</v>
      </c>
      <c r="K554" s="4">
        <v>0.04</v>
      </c>
      <c r="L554" s="4">
        <v>3.78E-2</v>
      </c>
      <c r="M554" s="4">
        <v>3.6200000000000003E-2</v>
      </c>
      <c r="N554" s="6">
        <f t="shared" si="32"/>
        <v>4.0886077952000006E-2</v>
      </c>
      <c r="O554" s="6">
        <f t="shared" si="33"/>
        <v>1.3003726708074537E-2</v>
      </c>
      <c r="P554" s="21">
        <f t="shared" si="34"/>
        <v>5.0968469062050236E-7</v>
      </c>
      <c r="Q554">
        <f t="shared" si="35"/>
        <v>1.7161587692307492</v>
      </c>
    </row>
    <row r="555" spans="1:17" x14ac:dyDescent="0.15">
      <c r="A555" s="3">
        <v>38718</v>
      </c>
      <c r="B555" s="4">
        <v>4.2900000000000001E-2</v>
      </c>
      <c r="C555" s="4">
        <v>4.1599999999999998E-2</v>
      </c>
      <c r="D555" s="4">
        <v>0.04</v>
      </c>
      <c r="E555" s="4">
        <v>3.78E-2</v>
      </c>
      <c r="I555" s="3">
        <v>38718</v>
      </c>
      <c r="J555" s="4">
        <v>4.2900000000000001E-2</v>
      </c>
      <c r="K555" s="4">
        <v>4.1599999999999998E-2</v>
      </c>
      <c r="L555" s="4">
        <v>0.04</v>
      </c>
      <c r="M555" s="4">
        <v>3.78E-2</v>
      </c>
      <c r="N555" s="6">
        <f t="shared" si="32"/>
        <v>4.2099180600000001E-2</v>
      </c>
      <c r="O555" s="6">
        <f t="shared" si="33"/>
        <v>1.1703726708074534E-2</v>
      </c>
      <c r="P555" s="21">
        <f t="shared" si="34"/>
        <v>6.4131171141635939E-7</v>
      </c>
      <c r="Q555">
        <f t="shared" si="35"/>
        <v>1.8667118881118872</v>
      </c>
    </row>
    <row r="556" spans="1:17" x14ac:dyDescent="0.15">
      <c r="A556" s="3">
        <v>38749</v>
      </c>
      <c r="B556" s="4">
        <v>4.4900000000000002E-2</v>
      </c>
      <c r="C556" s="4">
        <v>4.2900000000000001E-2</v>
      </c>
      <c r="D556" s="4">
        <v>4.1599999999999998E-2</v>
      </c>
      <c r="E556" s="4">
        <v>0.04</v>
      </c>
      <c r="I556" s="3">
        <v>38749</v>
      </c>
      <c r="J556" s="4">
        <v>4.4900000000000002E-2</v>
      </c>
      <c r="K556" s="4">
        <v>4.2900000000000001E-2</v>
      </c>
      <c r="L556" s="4">
        <v>4.1599999999999998E-2</v>
      </c>
      <c r="M556" s="4">
        <v>0.04</v>
      </c>
      <c r="N556" s="6">
        <f t="shared" si="32"/>
        <v>4.3341814753000002E-2</v>
      </c>
      <c r="O556" s="6">
        <f t="shared" si="33"/>
        <v>9.7037267080745324E-3</v>
      </c>
      <c r="P556" s="21">
        <f t="shared" si="34"/>
        <v>2.4279412639684525E-6</v>
      </c>
      <c r="Q556">
        <f t="shared" si="35"/>
        <v>3.4703457616926512</v>
      </c>
    </row>
    <row r="557" spans="1:17" x14ac:dyDescent="0.15">
      <c r="A557" s="3">
        <v>38777</v>
      </c>
      <c r="B557" s="4">
        <v>4.5899999999999996E-2</v>
      </c>
      <c r="C557" s="4">
        <v>4.4900000000000002E-2</v>
      </c>
      <c r="D557" s="4">
        <v>4.2900000000000001E-2</v>
      </c>
      <c r="E557" s="4">
        <v>4.1599999999999998E-2</v>
      </c>
      <c r="I557" s="3">
        <v>38777</v>
      </c>
      <c r="J557" s="4">
        <v>4.5899999999999996E-2</v>
      </c>
      <c r="K557" s="4">
        <v>4.4900000000000002E-2</v>
      </c>
      <c r="L557" s="4">
        <v>4.2900000000000001E-2</v>
      </c>
      <c r="M557" s="4">
        <v>4.1599999999999998E-2</v>
      </c>
      <c r="N557" s="6">
        <f t="shared" si="32"/>
        <v>4.5682144528999998E-2</v>
      </c>
      <c r="O557" s="6">
        <f t="shared" si="33"/>
        <v>8.7037267080745384E-3</v>
      </c>
      <c r="P557" s="21">
        <f t="shared" si="34"/>
        <v>4.746100624463134E-8</v>
      </c>
      <c r="Q557">
        <f t="shared" si="35"/>
        <v>0.47463065577341806</v>
      </c>
    </row>
    <row r="558" spans="1:17" x14ac:dyDescent="0.15">
      <c r="A558" s="3">
        <v>38808</v>
      </c>
      <c r="B558" s="4">
        <v>4.7899999999999998E-2</v>
      </c>
      <c r="C558" s="4">
        <v>4.5899999999999996E-2</v>
      </c>
      <c r="D558" s="4">
        <v>4.4900000000000002E-2</v>
      </c>
      <c r="E558" s="4">
        <v>4.2900000000000001E-2</v>
      </c>
      <c r="I558" s="3">
        <v>38808</v>
      </c>
      <c r="J558" s="4">
        <v>4.7899999999999998E-2</v>
      </c>
      <c r="K558" s="4">
        <v>4.5899999999999996E-2</v>
      </c>
      <c r="L558" s="4">
        <v>4.4900000000000002E-2</v>
      </c>
      <c r="M558" s="4">
        <v>4.2900000000000001E-2</v>
      </c>
      <c r="N558" s="6">
        <f t="shared" si="32"/>
        <v>4.6105350246999993E-2</v>
      </c>
      <c r="O558" s="6">
        <f t="shared" si="33"/>
        <v>6.7037267080745366E-3</v>
      </c>
      <c r="P558" s="21">
        <f t="shared" si="34"/>
        <v>3.2207677359429786E-6</v>
      </c>
      <c r="Q558">
        <f t="shared" si="35"/>
        <v>3.746659192066816</v>
      </c>
    </row>
    <row r="559" spans="1:17" x14ac:dyDescent="0.15">
      <c r="A559" s="3">
        <v>38838</v>
      </c>
      <c r="B559" s="4">
        <v>4.9400000000000006E-2</v>
      </c>
      <c r="C559" s="4">
        <v>4.7899999999999998E-2</v>
      </c>
      <c r="D559" s="4">
        <v>4.5899999999999996E-2</v>
      </c>
      <c r="E559" s="4">
        <v>4.4900000000000002E-2</v>
      </c>
      <c r="I559" s="3">
        <v>38838</v>
      </c>
      <c r="J559" s="4">
        <v>4.9400000000000006E-2</v>
      </c>
      <c r="K559" s="4">
        <v>4.7899999999999998E-2</v>
      </c>
      <c r="L559" s="4">
        <v>4.5899999999999996E-2</v>
      </c>
      <c r="M559" s="4">
        <v>4.4900000000000002E-2</v>
      </c>
      <c r="N559" s="6">
        <f t="shared" si="32"/>
        <v>4.8692464307E-2</v>
      </c>
      <c r="O559" s="6">
        <f t="shared" si="33"/>
        <v>5.2037267080745284E-3</v>
      </c>
      <c r="P559" s="21">
        <f t="shared" si="34"/>
        <v>5.0060675686899987E-7</v>
      </c>
      <c r="Q559">
        <f t="shared" si="35"/>
        <v>1.4322584878542646</v>
      </c>
    </row>
    <row r="560" spans="1:17" x14ac:dyDescent="0.15">
      <c r="A560" s="3">
        <v>38869</v>
      </c>
      <c r="B560" s="4">
        <v>4.99E-2</v>
      </c>
      <c r="C560" s="4">
        <v>4.9400000000000006E-2</v>
      </c>
      <c r="D560" s="4">
        <v>4.7899999999999998E-2</v>
      </c>
      <c r="E560" s="4">
        <v>4.5899999999999996E-2</v>
      </c>
      <c r="I560" s="3">
        <v>38869</v>
      </c>
      <c r="J560" s="4">
        <v>4.99E-2</v>
      </c>
      <c r="K560" s="4">
        <v>4.9400000000000006E-2</v>
      </c>
      <c r="L560" s="4">
        <v>4.7899999999999998E-2</v>
      </c>
      <c r="M560" s="4">
        <v>4.5899999999999996E-2</v>
      </c>
      <c r="N560" s="6">
        <f t="shared" si="32"/>
        <v>4.9788951622000012E-2</v>
      </c>
      <c r="O560" s="6">
        <f t="shared" si="33"/>
        <v>4.7037267080745349E-3</v>
      </c>
      <c r="P560" s="21">
        <f t="shared" si="34"/>
        <v>1.233174225642821E-8</v>
      </c>
      <c r="Q560">
        <f t="shared" si="35"/>
        <v>0.22254183967933458</v>
      </c>
    </row>
    <row r="561" spans="1:17" x14ac:dyDescent="0.15">
      <c r="A561" s="3">
        <v>38899</v>
      </c>
      <c r="B561" s="4">
        <v>5.2400000000000002E-2</v>
      </c>
      <c r="C561" s="4">
        <v>4.99E-2</v>
      </c>
      <c r="D561" s="4">
        <v>4.9400000000000006E-2</v>
      </c>
      <c r="E561" s="4">
        <v>4.7899999999999998E-2</v>
      </c>
      <c r="I561" s="3">
        <v>38899</v>
      </c>
      <c r="J561" s="4">
        <v>5.2400000000000002E-2</v>
      </c>
      <c r="K561" s="4">
        <v>4.99E-2</v>
      </c>
      <c r="L561" s="4">
        <v>4.9400000000000006E-2</v>
      </c>
      <c r="M561" s="4">
        <v>4.7899999999999998E-2</v>
      </c>
      <c r="N561" s="6">
        <f t="shared" si="32"/>
        <v>4.9908029826999996E-2</v>
      </c>
      <c r="O561" s="6">
        <f t="shared" si="33"/>
        <v>2.2037267080745326E-3</v>
      </c>
      <c r="P561" s="21">
        <f t="shared" si="34"/>
        <v>6.2099153431216813E-6</v>
      </c>
      <c r="Q561">
        <f t="shared" si="35"/>
        <v>4.7556682690839809</v>
      </c>
    </row>
    <row r="562" spans="1:17" x14ac:dyDescent="0.15">
      <c r="A562" s="3">
        <v>38930</v>
      </c>
      <c r="B562" s="4">
        <v>5.2499999999999998E-2</v>
      </c>
      <c r="C562" s="4">
        <v>5.2400000000000002E-2</v>
      </c>
      <c r="D562" s="4">
        <v>4.99E-2</v>
      </c>
      <c r="E562" s="4">
        <v>4.9400000000000006E-2</v>
      </c>
      <c r="I562" s="3">
        <v>38930</v>
      </c>
      <c r="J562" s="4">
        <v>5.2499999999999998E-2</v>
      </c>
      <c r="K562" s="4">
        <v>5.2400000000000002E-2</v>
      </c>
      <c r="L562" s="4">
        <v>4.99E-2</v>
      </c>
      <c r="M562" s="4">
        <v>4.9400000000000006E-2</v>
      </c>
      <c r="N562" s="6">
        <f t="shared" si="32"/>
        <v>5.3442735192000011E-2</v>
      </c>
      <c r="O562" s="6">
        <f t="shared" si="33"/>
        <v>2.1037267080745367E-3</v>
      </c>
      <c r="P562" s="21">
        <f t="shared" si="34"/>
        <v>8.8874964223530177E-7</v>
      </c>
      <c r="Q562">
        <f t="shared" si="35"/>
        <v>1.7956860800000252</v>
      </c>
    </row>
    <row r="563" spans="1:17" x14ac:dyDescent="0.15">
      <c r="A563" s="3">
        <v>38961</v>
      </c>
      <c r="B563" s="4">
        <v>5.2499999999999998E-2</v>
      </c>
      <c r="C563" s="4">
        <v>5.2499999999999998E-2</v>
      </c>
      <c r="D563" s="4">
        <v>5.2400000000000002E-2</v>
      </c>
      <c r="E563" s="4">
        <v>4.99E-2</v>
      </c>
      <c r="I563" s="3">
        <v>38961</v>
      </c>
      <c r="J563" s="4">
        <v>5.2499999999999998E-2</v>
      </c>
      <c r="K563" s="4">
        <v>5.2499999999999998E-2</v>
      </c>
      <c r="L563" s="4">
        <v>5.2400000000000002E-2</v>
      </c>
      <c r="M563" s="4">
        <v>4.99E-2</v>
      </c>
      <c r="N563" s="6">
        <f t="shared" si="32"/>
        <v>5.2136290429000004E-2</v>
      </c>
      <c r="O563" s="6">
        <f t="shared" si="33"/>
        <v>2.1037267080745367E-3</v>
      </c>
      <c r="P563" s="21">
        <f t="shared" si="34"/>
        <v>1.3228465203699973E-7</v>
      </c>
      <c r="Q563">
        <f t="shared" si="35"/>
        <v>0.69278013523808402</v>
      </c>
    </row>
    <row r="564" spans="1:17" x14ac:dyDescent="0.15">
      <c r="A564" s="3">
        <v>38991</v>
      </c>
      <c r="B564" s="4">
        <v>5.2499999999999998E-2</v>
      </c>
      <c r="C564" s="4">
        <v>5.2499999999999998E-2</v>
      </c>
      <c r="D564" s="4">
        <v>5.2499999999999998E-2</v>
      </c>
      <c r="E564" s="4">
        <v>5.2400000000000002E-2</v>
      </c>
      <c r="I564" s="3">
        <v>38991</v>
      </c>
      <c r="J564" s="4">
        <v>5.2499999999999998E-2</v>
      </c>
      <c r="K564" s="4">
        <v>5.2499999999999998E-2</v>
      </c>
      <c r="L564" s="4">
        <v>5.2499999999999998E-2</v>
      </c>
      <c r="M564" s="4">
        <v>5.2400000000000002E-2</v>
      </c>
      <c r="N564" s="6">
        <f t="shared" si="32"/>
        <v>5.2470290429000005E-2</v>
      </c>
      <c r="O564" s="6">
        <f t="shared" si="33"/>
        <v>2.1037267080745367E-3</v>
      </c>
      <c r="P564" s="21">
        <f t="shared" si="34"/>
        <v>8.8265860900363142E-10</v>
      </c>
      <c r="Q564">
        <f t="shared" si="35"/>
        <v>5.658965904760592E-2</v>
      </c>
    </row>
    <row r="565" spans="1:17" x14ac:dyDescent="0.15">
      <c r="A565" s="3">
        <v>39022</v>
      </c>
      <c r="B565" s="4">
        <v>5.2499999999999998E-2</v>
      </c>
      <c r="C565" s="4">
        <v>5.2499999999999998E-2</v>
      </c>
      <c r="D565" s="4">
        <v>5.2499999999999998E-2</v>
      </c>
      <c r="E565" s="4">
        <v>5.2499999999999998E-2</v>
      </c>
      <c r="I565" s="3">
        <v>39022</v>
      </c>
      <c r="J565" s="4">
        <v>5.2499999999999998E-2</v>
      </c>
      <c r="K565" s="4">
        <v>5.2499999999999998E-2</v>
      </c>
      <c r="L565" s="4">
        <v>5.2499999999999998E-2</v>
      </c>
      <c r="M565" s="4">
        <v>5.2499999999999998E-2</v>
      </c>
      <c r="N565" s="6">
        <f t="shared" si="32"/>
        <v>5.2486097825000001E-2</v>
      </c>
      <c r="O565" s="6">
        <f t="shared" si="33"/>
        <v>2.1037267080745367E-3</v>
      </c>
      <c r="P565" s="21">
        <f t="shared" si="34"/>
        <v>1.9327046973053593E-10</v>
      </c>
      <c r="Q565">
        <f t="shared" si="35"/>
        <v>2.6480333333327232E-2</v>
      </c>
    </row>
    <row r="566" spans="1:17" x14ac:dyDescent="0.15">
      <c r="A566" s="3">
        <v>39052</v>
      </c>
      <c r="B566" s="4">
        <v>5.2400000000000002E-2</v>
      </c>
      <c r="C566" s="4">
        <v>5.2499999999999998E-2</v>
      </c>
      <c r="D566" s="4">
        <v>5.2499999999999998E-2</v>
      </c>
      <c r="E566" s="4">
        <v>5.2499999999999998E-2</v>
      </c>
      <c r="I566" s="3">
        <v>39052</v>
      </c>
      <c r="J566" s="4">
        <v>5.2400000000000002E-2</v>
      </c>
      <c r="K566" s="4">
        <v>5.2499999999999998E-2</v>
      </c>
      <c r="L566" s="4">
        <v>5.2499999999999998E-2</v>
      </c>
      <c r="M566" s="4">
        <v>5.2499999999999998E-2</v>
      </c>
      <c r="N566" s="6">
        <f t="shared" si="32"/>
        <v>5.2486097825000001E-2</v>
      </c>
      <c r="O566" s="6">
        <f t="shared" si="33"/>
        <v>2.2037267080745326E-3</v>
      </c>
      <c r="P566" s="21">
        <f t="shared" si="34"/>
        <v>7.4128354697304749E-9</v>
      </c>
      <c r="Q566">
        <f t="shared" si="35"/>
        <v>0.16430882633587618</v>
      </c>
    </row>
    <row r="567" spans="1:17" x14ac:dyDescent="0.15">
      <c r="A567" s="3">
        <v>39083</v>
      </c>
      <c r="B567" s="4">
        <v>5.2499999999999998E-2</v>
      </c>
      <c r="C567" s="4">
        <v>5.2400000000000002E-2</v>
      </c>
      <c r="D567" s="4">
        <v>5.2499999999999998E-2</v>
      </c>
      <c r="E567" s="4">
        <v>5.2499999999999998E-2</v>
      </c>
      <c r="I567" s="3">
        <v>39083</v>
      </c>
      <c r="J567" s="4">
        <v>5.2499999999999998E-2</v>
      </c>
      <c r="K567" s="4">
        <v>5.2400000000000002E-2</v>
      </c>
      <c r="L567" s="4">
        <v>5.2499999999999998E-2</v>
      </c>
      <c r="M567" s="4">
        <v>5.2499999999999998E-2</v>
      </c>
      <c r="N567" s="6">
        <f t="shared" si="32"/>
        <v>5.234195706800001E-2</v>
      </c>
      <c r="O567" s="6">
        <f t="shared" si="33"/>
        <v>2.1037267080745367E-3</v>
      </c>
      <c r="P567" s="21">
        <f t="shared" si="34"/>
        <v>2.4977568355152896E-8</v>
      </c>
      <c r="Q567">
        <f t="shared" si="35"/>
        <v>0.30103415619045376</v>
      </c>
    </row>
    <row r="568" spans="1:17" x14ac:dyDescent="0.15">
      <c r="A568" s="3">
        <v>39114</v>
      </c>
      <c r="B568" s="4">
        <v>5.2600000000000001E-2</v>
      </c>
      <c r="C568" s="4">
        <v>5.2499999999999998E-2</v>
      </c>
      <c r="D568" s="4">
        <v>5.2400000000000002E-2</v>
      </c>
      <c r="E568" s="4">
        <v>5.2499999999999998E-2</v>
      </c>
      <c r="I568" s="3">
        <v>39114</v>
      </c>
      <c r="J568" s="4">
        <v>5.2600000000000001E-2</v>
      </c>
      <c r="K568" s="4">
        <v>5.2499999999999998E-2</v>
      </c>
      <c r="L568" s="4">
        <v>5.2400000000000002E-2</v>
      </c>
      <c r="M568" s="4">
        <v>5.2499999999999998E-2</v>
      </c>
      <c r="N568" s="6">
        <f t="shared" si="32"/>
        <v>5.2547282724999998E-2</v>
      </c>
      <c r="O568" s="6">
        <f t="shared" si="33"/>
        <v>2.0037267080745338E-3</v>
      </c>
      <c r="P568" s="21">
        <f t="shared" si="34"/>
        <v>2.7791110834259068E-9</v>
      </c>
      <c r="Q568">
        <f t="shared" si="35"/>
        <v>0.10022295627376933</v>
      </c>
    </row>
    <row r="569" spans="1:17" x14ac:dyDescent="0.15">
      <c r="A569" s="3">
        <v>39142</v>
      </c>
      <c r="B569" s="4">
        <v>5.2600000000000001E-2</v>
      </c>
      <c r="C569" s="4">
        <v>5.2600000000000001E-2</v>
      </c>
      <c r="D569" s="4">
        <v>5.2499999999999998E-2</v>
      </c>
      <c r="E569" s="4">
        <v>5.2400000000000002E-2</v>
      </c>
      <c r="I569" s="3">
        <v>39142</v>
      </c>
      <c r="J569" s="4">
        <v>5.2600000000000001E-2</v>
      </c>
      <c r="K569" s="4">
        <v>5.2600000000000001E-2</v>
      </c>
      <c r="L569" s="4">
        <v>5.2499999999999998E-2</v>
      </c>
      <c r="M569" s="4">
        <v>5.2400000000000002E-2</v>
      </c>
      <c r="N569" s="6">
        <f t="shared" si="32"/>
        <v>5.261443118600001E-2</v>
      </c>
      <c r="O569" s="6">
        <f t="shared" si="33"/>
        <v>2.0037267080745338E-3</v>
      </c>
      <c r="P569" s="21">
        <f t="shared" si="34"/>
        <v>2.0825912936686473E-10</v>
      </c>
      <c r="Q569">
        <f t="shared" si="35"/>
        <v>2.7435714828915041E-2</v>
      </c>
    </row>
    <row r="570" spans="1:17" x14ac:dyDescent="0.15">
      <c r="A570" s="3">
        <v>39173</v>
      </c>
      <c r="B570" s="4">
        <v>5.2499999999999998E-2</v>
      </c>
      <c r="C570" s="4">
        <v>5.2600000000000001E-2</v>
      </c>
      <c r="D570" s="4">
        <v>5.2600000000000001E-2</v>
      </c>
      <c r="E570" s="4">
        <v>5.2499999999999998E-2</v>
      </c>
      <c r="I570" s="3">
        <v>39173</v>
      </c>
      <c r="J570" s="4">
        <v>5.2499999999999998E-2</v>
      </c>
      <c r="K570" s="4">
        <v>5.2600000000000001E-2</v>
      </c>
      <c r="L570" s="4">
        <v>5.2600000000000001E-2</v>
      </c>
      <c r="M570" s="4">
        <v>5.2499999999999998E-2</v>
      </c>
      <c r="N570" s="6">
        <f t="shared" si="32"/>
        <v>5.2569053682000003E-2</v>
      </c>
      <c r="O570" s="6">
        <f t="shared" si="33"/>
        <v>2.1037267080745367E-3</v>
      </c>
      <c r="P570" s="21">
        <f t="shared" si="34"/>
        <v>4.7684109977577536E-9</v>
      </c>
      <c r="Q570">
        <f t="shared" si="35"/>
        <v>0.13153082285715156</v>
      </c>
    </row>
    <row r="571" spans="1:17" x14ac:dyDescent="0.15">
      <c r="A571" s="3">
        <v>39203</v>
      </c>
      <c r="B571" s="4">
        <v>5.2499999999999998E-2</v>
      </c>
      <c r="C571" s="4">
        <v>5.2499999999999998E-2</v>
      </c>
      <c r="D571" s="4">
        <v>5.2600000000000001E-2</v>
      </c>
      <c r="E571" s="4">
        <v>5.2600000000000001E-2</v>
      </c>
      <c r="I571" s="3">
        <v>39203</v>
      </c>
      <c r="J571" s="4">
        <v>5.2499999999999998E-2</v>
      </c>
      <c r="K571" s="4">
        <v>5.2499999999999998E-2</v>
      </c>
      <c r="L571" s="4">
        <v>5.2600000000000001E-2</v>
      </c>
      <c r="M571" s="4">
        <v>5.2600000000000001E-2</v>
      </c>
      <c r="N571" s="6">
        <f t="shared" si="32"/>
        <v>5.2440720321000001E-2</v>
      </c>
      <c r="O571" s="6">
        <f t="shared" si="33"/>
        <v>2.1037267080745367E-3</v>
      </c>
      <c r="P571" s="21">
        <f t="shared" si="34"/>
        <v>3.514080342342742E-9</v>
      </c>
      <c r="Q571">
        <f t="shared" si="35"/>
        <v>0.11291367428570949</v>
      </c>
    </row>
    <row r="572" spans="1:17" x14ac:dyDescent="0.15">
      <c r="A572" s="3">
        <v>39234</v>
      </c>
      <c r="B572" s="4">
        <v>5.2499999999999998E-2</v>
      </c>
      <c r="C572" s="4">
        <v>5.2499999999999998E-2</v>
      </c>
      <c r="D572" s="4">
        <v>5.2499999999999998E-2</v>
      </c>
      <c r="E572" s="4">
        <v>5.2600000000000001E-2</v>
      </c>
      <c r="I572" s="3">
        <v>39234</v>
      </c>
      <c r="J572" s="4">
        <v>5.2499999999999998E-2</v>
      </c>
      <c r="K572" s="4">
        <v>5.2499999999999998E-2</v>
      </c>
      <c r="L572" s="4">
        <v>5.2499999999999998E-2</v>
      </c>
      <c r="M572" s="4">
        <v>5.2600000000000001E-2</v>
      </c>
      <c r="N572" s="6">
        <f t="shared" si="32"/>
        <v>5.2501905221000005E-2</v>
      </c>
      <c r="O572" s="6">
        <f t="shared" si="33"/>
        <v>2.1037267080745367E-3</v>
      </c>
      <c r="P572" s="21">
        <f t="shared" si="34"/>
        <v>3.6298670588655842E-12</v>
      </c>
      <c r="Q572">
        <f t="shared" si="35"/>
        <v>3.6289923809646706E-3</v>
      </c>
    </row>
    <row r="573" spans="1:17" x14ac:dyDescent="0.15">
      <c r="A573" s="3">
        <v>39264</v>
      </c>
      <c r="B573" s="4">
        <v>5.2600000000000001E-2</v>
      </c>
      <c r="C573" s="4">
        <v>5.2499999999999998E-2</v>
      </c>
      <c r="D573" s="4">
        <v>5.2499999999999998E-2</v>
      </c>
      <c r="E573" s="4">
        <v>5.2499999999999998E-2</v>
      </c>
      <c r="I573" s="3">
        <v>39264</v>
      </c>
      <c r="J573" s="4">
        <v>5.2600000000000001E-2</v>
      </c>
      <c r="K573" s="4">
        <v>5.2499999999999998E-2</v>
      </c>
      <c r="L573" s="4">
        <v>5.2499999999999998E-2</v>
      </c>
      <c r="M573" s="4">
        <v>5.2499999999999998E-2</v>
      </c>
      <c r="N573" s="6">
        <f t="shared" si="32"/>
        <v>5.2486097825000001E-2</v>
      </c>
      <c r="O573" s="6">
        <f t="shared" si="33"/>
        <v>2.0037267080745338E-3</v>
      </c>
      <c r="P573" s="21">
        <f t="shared" si="34"/>
        <v>1.2973705469730548E-8</v>
      </c>
      <c r="Q573">
        <f t="shared" si="35"/>
        <v>0.21654405893536058</v>
      </c>
    </row>
    <row r="574" spans="1:17" x14ac:dyDescent="0.15">
      <c r="A574" s="3">
        <v>39295</v>
      </c>
      <c r="B574" s="4">
        <v>5.0199999999999995E-2</v>
      </c>
      <c r="C574" s="4">
        <v>5.2600000000000001E-2</v>
      </c>
      <c r="D574" s="4">
        <v>5.2499999999999998E-2</v>
      </c>
      <c r="E574" s="4">
        <v>5.2499999999999998E-2</v>
      </c>
      <c r="I574" s="3">
        <v>39295</v>
      </c>
      <c r="J574" s="4">
        <v>5.0199999999999995E-2</v>
      </c>
      <c r="K574" s="4">
        <v>5.2600000000000001E-2</v>
      </c>
      <c r="L574" s="4">
        <v>5.2499999999999998E-2</v>
      </c>
      <c r="M574" s="4">
        <v>5.2499999999999998E-2</v>
      </c>
      <c r="N574" s="6">
        <f t="shared" si="32"/>
        <v>5.2630238582000007E-2</v>
      </c>
      <c r="O574" s="6">
        <f t="shared" si="33"/>
        <v>4.4037267080745401E-3</v>
      </c>
      <c r="P574" s="21">
        <f t="shared" si="34"/>
        <v>5.9060595654414285E-6</v>
      </c>
      <c r="Q574">
        <f t="shared" si="35"/>
        <v>4.8411127131474343</v>
      </c>
    </row>
    <row r="575" spans="1:17" x14ac:dyDescent="0.15">
      <c r="A575" s="3">
        <v>39326</v>
      </c>
      <c r="B575" s="4">
        <v>4.9400000000000006E-2</v>
      </c>
      <c r="C575" s="4">
        <v>5.0199999999999995E-2</v>
      </c>
      <c r="D575" s="4">
        <v>5.2600000000000001E-2</v>
      </c>
      <c r="E575" s="4">
        <v>5.2499999999999998E-2</v>
      </c>
      <c r="I575" s="3">
        <v>39326</v>
      </c>
      <c r="J575" s="4">
        <v>4.9400000000000006E-2</v>
      </c>
      <c r="K575" s="4">
        <v>5.0199999999999995E-2</v>
      </c>
      <c r="L575" s="4">
        <v>5.2600000000000001E-2</v>
      </c>
      <c r="M575" s="4">
        <v>5.2499999999999998E-2</v>
      </c>
      <c r="N575" s="6">
        <f t="shared" si="32"/>
        <v>4.9109675513999987E-2</v>
      </c>
      <c r="O575" s="6">
        <f t="shared" si="33"/>
        <v>5.2037267080745284E-3</v>
      </c>
      <c r="P575" s="21">
        <f t="shared" si="34"/>
        <v>8.4288307171175534E-8</v>
      </c>
      <c r="Q575">
        <f t="shared" si="35"/>
        <v>0.58770138866400712</v>
      </c>
    </row>
    <row r="576" spans="1:17" x14ac:dyDescent="0.15">
      <c r="A576" s="3">
        <v>39356</v>
      </c>
      <c r="B576" s="4">
        <v>4.7599999999999996E-2</v>
      </c>
      <c r="C576" s="4">
        <v>4.9400000000000006E-2</v>
      </c>
      <c r="D576" s="4">
        <v>5.0199999999999995E-2</v>
      </c>
      <c r="E576" s="4">
        <v>5.2600000000000001E-2</v>
      </c>
      <c r="I576" s="3">
        <v>39356</v>
      </c>
      <c r="J576" s="4">
        <v>4.7599999999999996E-2</v>
      </c>
      <c r="K576" s="4">
        <v>4.9400000000000006E-2</v>
      </c>
      <c r="L576" s="4">
        <v>5.0199999999999995E-2</v>
      </c>
      <c r="M576" s="4">
        <v>5.2600000000000001E-2</v>
      </c>
      <c r="N576" s="6">
        <f t="shared" si="32"/>
        <v>4.9440794454000021E-2</v>
      </c>
      <c r="O576" s="6">
        <f t="shared" si="33"/>
        <v>7.0037267080745383E-3</v>
      </c>
      <c r="P576" s="21">
        <f t="shared" si="34"/>
        <v>3.3885242218772495E-6</v>
      </c>
      <c r="Q576">
        <f t="shared" si="35"/>
        <v>3.8672152394958506</v>
      </c>
    </row>
    <row r="577" spans="1:17" x14ac:dyDescent="0.15">
      <c r="A577" s="3">
        <v>39387</v>
      </c>
      <c r="B577" s="4">
        <v>4.4900000000000002E-2</v>
      </c>
      <c r="C577" s="4">
        <v>4.7599999999999996E-2</v>
      </c>
      <c r="D577" s="4">
        <v>4.9400000000000006E-2</v>
      </c>
      <c r="E577" s="4">
        <v>5.0199999999999995E-2</v>
      </c>
      <c r="I577" s="3">
        <v>39387</v>
      </c>
      <c r="J577" s="4">
        <v>4.4900000000000002E-2</v>
      </c>
      <c r="K577" s="4">
        <v>4.7599999999999996E-2</v>
      </c>
      <c r="L577" s="4">
        <v>4.9400000000000006E-2</v>
      </c>
      <c r="M577" s="4">
        <v>5.0199999999999995E-2</v>
      </c>
      <c r="N577" s="6">
        <f t="shared" si="32"/>
        <v>4.6956362523999984E-2</v>
      </c>
      <c r="O577" s="6">
        <f t="shared" si="33"/>
        <v>9.7037267080745324E-3</v>
      </c>
      <c r="P577" s="21">
        <f t="shared" si="34"/>
        <v>4.2286268301115743E-6</v>
      </c>
      <c r="Q577">
        <f t="shared" si="35"/>
        <v>4.579871991091272</v>
      </c>
    </row>
    <row r="578" spans="1:17" x14ac:dyDescent="0.15">
      <c r="A578" s="3">
        <v>39417</v>
      </c>
      <c r="B578" s="4">
        <v>4.24E-2</v>
      </c>
      <c r="C578" s="4">
        <v>4.4900000000000002E-2</v>
      </c>
      <c r="D578" s="4">
        <v>4.7599999999999996E-2</v>
      </c>
      <c r="E578" s="4">
        <v>4.9400000000000006E-2</v>
      </c>
      <c r="I578" s="3">
        <v>39417</v>
      </c>
      <c r="J578" s="4">
        <v>4.24E-2</v>
      </c>
      <c r="K578" s="4">
        <v>4.4900000000000002E-2</v>
      </c>
      <c r="L578" s="4">
        <v>4.7599999999999996E-2</v>
      </c>
      <c r="M578" s="4">
        <v>4.9400000000000006E-2</v>
      </c>
      <c r="N578" s="6">
        <f t="shared" si="32"/>
        <v>4.4039431117000004E-2</v>
      </c>
      <c r="O578" s="6">
        <f t="shared" si="33"/>
        <v>1.2203726708074535E-2</v>
      </c>
      <c r="P578" s="21">
        <f t="shared" si="34"/>
        <v>2.6877343873878797E-6</v>
      </c>
      <c r="Q578">
        <f t="shared" si="35"/>
        <v>3.866582823113216</v>
      </c>
    </row>
    <row r="579" spans="1:17" x14ac:dyDescent="0.15">
      <c r="A579" s="3">
        <v>39448</v>
      </c>
      <c r="B579" s="4">
        <v>3.9399999999999998E-2</v>
      </c>
      <c r="C579" s="4">
        <v>4.24E-2</v>
      </c>
      <c r="D579" s="4">
        <v>4.4900000000000002E-2</v>
      </c>
      <c r="E579" s="4">
        <v>4.7599999999999996E-2</v>
      </c>
      <c r="I579" s="3">
        <v>39448</v>
      </c>
      <c r="J579" s="4">
        <v>3.9399999999999998E-2</v>
      </c>
      <c r="K579" s="4">
        <v>4.24E-2</v>
      </c>
      <c r="L579" s="4">
        <v>4.4900000000000002E-2</v>
      </c>
      <c r="M579" s="4">
        <v>4.7599999999999996E-2</v>
      </c>
      <c r="N579" s="6">
        <f t="shared" si="32"/>
        <v>4.1803371363999996E-2</v>
      </c>
      <c r="O579" s="6">
        <f t="shared" si="33"/>
        <v>1.5203726708074537E-2</v>
      </c>
      <c r="P579" s="21">
        <f t="shared" si="34"/>
        <v>5.7761939132952114E-6</v>
      </c>
      <c r="Q579">
        <f t="shared" si="35"/>
        <v>6.0999273197969499</v>
      </c>
    </row>
    <row r="580" spans="1:17" x14ac:dyDescent="0.15">
      <c r="A580" s="3">
        <v>39479</v>
      </c>
      <c r="B580" s="4">
        <v>2.98E-2</v>
      </c>
      <c r="C580" s="4">
        <v>3.9399999999999998E-2</v>
      </c>
      <c r="D580" s="4">
        <v>4.24E-2</v>
      </c>
      <c r="E580" s="4">
        <v>4.4900000000000002E-2</v>
      </c>
      <c r="I580" s="3">
        <v>39479</v>
      </c>
      <c r="J580" s="4">
        <v>2.98E-2</v>
      </c>
      <c r="K580" s="4">
        <v>3.9399999999999998E-2</v>
      </c>
      <c r="L580" s="4">
        <v>4.24E-2</v>
      </c>
      <c r="M580" s="4">
        <v>4.4900000000000002E-2</v>
      </c>
      <c r="N580" s="6">
        <f t="shared" si="32"/>
        <v>3.8581971461999993E-2</v>
      </c>
      <c r="O580" s="6">
        <f t="shared" si="33"/>
        <v>2.4803726708074535E-2</v>
      </c>
      <c r="P580" s="21">
        <f t="shared" si="34"/>
        <v>7.7123022759382297E-5</v>
      </c>
      <c r="Q580">
        <f t="shared" si="35"/>
        <v>29.469702892617427</v>
      </c>
    </row>
    <row r="581" spans="1:17" x14ac:dyDescent="0.15">
      <c r="A581" s="3">
        <v>39508</v>
      </c>
      <c r="B581" s="4">
        <v>2.6099999999999998E-2</v>
      </c>
      <c r="C581" s="4">
        <v>2.98E-2</v>
      </c>
      <c r="D581" s="4">
        <v>3.9399999999999998E-2</v>
      </c>
      <c r="E581" s="4">
        <v>4.24E-2</v>
      </c>
      <c r="I581" s="3">
        <v>39508</v>
      </c>
      <c r="J581" s="4">
        <v>2.6099999999999998E-2</v>
      </c>
      <c r="K581" s="4">
        <v>2.98E-2</v>
      </c>
      <c r="L581" s="4">
        <v>3.9399999999999998E-2</v>
      </c>
      <c r="M581" s="4">
        <v>4.24E-2</v>
      </c>
      <c r="N581" s="6">
        <f t="shared" si="32"/>
        <v>2.6184820890000002E-2</v>
      </c>
      <c r="O581" s="6">
        <f t="shared" si="33"/>
        <v>2.8503726708074537E-2</v>
      </c>
      <c r="P581" s="21">
        <f t="shared" si="34"/>
        <v>7.1945833803927089E-9</v>
      </c>
      <c r="Q581">
        <f t="shared" si="35"/>
        <v>0.32498425287357696</v>
      </c>
    </row>
    <row r="582" spans="1:17" x14ac:dyDescent="0.15">
      <c r="A582" s="3">
        <v>39539</v>
      </c>
      <c r="B582" s="4">
        <v>2.2799999999999997E-2</v>
      </c>
      <c r="C582" s="4">
        <v>2.6099999999999998E-2</v>
      </c>
      <c r="D582" s="4">
        <v>2.98E-2</v>
      </c>
      <c r="E582" s="4">
        <v>3.9399999999999998E-2</v>
      </c>
      <c r="I582" s="3">
        <v>39539</v>
      </c>
      <c r="J582" s="4">
        <v>2.2799999999999997E-2</v>
      </c>
      <c r="K582" s="4">
        <v>2.6099999999999998E-2</v>
      </c>
      <c r="L582" s="4">
        <v>2.98E-2</v>
      </c>
      <c r="M582" s="4">
        <v>3.9399999999999998E-2</v>
      </c>
      <c r="N582" s="6">
        <f t="shared" si="32"/>
        <v>2.6251141400999999E-2</v>
      </c>
      <c r="O582" s="6">
        <f t="shared" si="33"/>
        <v>3.1803726708074534E-2</v>
      </c>
      <c r="P582" s="21">
        <f t="shared" si="34"/>
        <v>1.1910376969696255E-5</v>
      </c>
      <c r="Q582">
        <f t="shared" si="35"/>
        <v>15.136585092105273</v>
      </c>
    </row>
    <row r="583" spans="1:17" x14ac:dyDescent="0.15">
      <c r="A583" s="3">
        <v>39569</v>
      </c>
      <c r="B583" s="4">
        <v>1.9799999999999998E-2</v>
      </c>
      <c r="C583" s="4">
        <v>2.2799999999999997E-2</v>
      </c>
      <c r="D583" s="4">
        <v>2.6099999999999998E-2</v>
      </c>
      <c r="E583" s="4">
        <v>2.98E-2</v>
      </c>
      <c r="I583" s="3">
        <v>39569</v>
      </c>
      <c r="J583" s="4">
        <v>1.9799999999999998E-2</v>
      </c>
      <c r="K583" s="4">
        <v>2.2799999999999997E-2</v>
      </c>
      <c r="L583" s="4">
        <v>2.6099999999999998E-2</v>
      </c>
      <c r="M583" s="4">
        <v>2.98E-2</v>
      </c>
      <c r="N583" s="6">
        <f t="shared" ref="N583:N646" si="36" xml:space="preserve"> 0.00063539 + 1.44140757*K583 - 0.611849*L583 + 0.15807396*M583</f>
        <v>2.2240827703999998E-2</v>
      </c>
      <c r="O583" s="6">
        <f t="shared" ref="O583:O646" si="37">ABS(J583-$U$32)</f>
        <v>3.4803726708074537E-2</v>
      </c>
      <c r="P583" s="21">
        <f t="shared" ref="P583:P646" si="38">(N583-J583)^2</f>
        <v>5.9576398806139127E-6</v>
      </c>
      <c r="Q583">
        <f t="shared" ref="Q583:Q646" si="39">ABS(N583-J583)/J583*100</f>
        <v>12.327412646464648</v>
      </c>
    </row>
    <row r="584" spans="1:17" x14ac:dyDescent="0.15">
      <c r="A584" s="3">
        <v>39600</v>
      </c>
      <c r="B584" s="4">
        <v>0.02</v>
      </c>
      <c r="C584" s="4">
        <v>1.9799999999999998E-2</v>
      </c>
      <c r="D584" s="4">
        <v>2.2799999999999997E-2</v>
      </c>
      <c r="E584" s="4">
        <v>2.6099999999999998E-2</v>
      </c>
      <c r="I584" s="3">
        <v>39600</v>
      </c>
      <c r="J584" s="4">
        <v>0.02</v>
      </c>
      <c r="K584" s="4">
        <v>1.9799999999999998E-2</v>
      </c>
      <c r="L584" s="4">
        <v>2.2799999999999997E-2</v>
      </c>
      <c r="M584" s="4">
        <v>2.6099999999999998E-2</v>
      </c>
      <c r="N584" s="6">
        <f t="shared" si="36"/>
        <v>1.9350833041999999E-2</v>
      </c>
      <c r="O584" s="6">
        <f t="shared" si="37"/>
        <v>3.4603726708074531E-2</v>
      </c>
      <c r="P584" s="21">
        <f t="shared" si="38"/>
        <v>4.2141773935897619E-7</v>
      </c>
      <c r="Q584">
        <f t="shared" si="39"/>
        <v>3.2458347900000093</v>
      </c>
    </row>
    <row r="585" spans="1:17" x14ac:dyDescent="0.15">
      <c r="A585" s="3">
        <v>39630</v>
      </c>
      <c r="B585" s="4">
        <v>2.0099999999999996E-2</v>
      </c>
      <c r="C585" s="4">
        <v>0.02</v>
      </c>
      <c r="D585" s="4">
        <v>1.9799999999999998E-2</v>
      </c>
      <c r="E585" s="4">
        <v>2.2799999999999997E-2</v>
      </c>
      <c r="I585" s="3">
        <v>39630</v>
      </c>
      <c r="J585" s="4">
        <v>2.0099999999999996E-2</v>
      </c>
      <c r="K585" s="4">
        <v>0.02</v>
      </c>
      <c r="L585" s="4">
        <v>1.9799999999999998E-2</v>
      </c>
      <c r="M585" s="4">
        <v>2.2799999999999997E-2</v>
      </c>
      <c r="N585" s="6">
        <f t="shared" si="36"/>
        <v>2.0953017487999999E-2</v>
      </c>
      <c r="O585" s="6">
        <f t="shared" si="37"/>
        <v>3.4503726708074542E-2</v>
      </c>
      <c r="P585" s="21">
        <f t="shared" si="38"/>
        <v>7.2763883483383456E-7</v>
      </c>
      <c r="Q585">
        <f t="shared" si="39"/>
        <v>4.2438680995025013</v>
      </c>
    </row>
    <row r="586" spans="1:17" x14ac:dyDescent="0.15">
      <c r="A586" s="3">
        <v>39661</v>
      </c>
      <c r="B586" s="4">
        <v>0.02</v>
      </c>
      <c r="C586" s="4">
        <v>2.0099999999999996E-2</v>
      </c>
      <c r="D586" s="4">
        <v>0.02</v>
      </c>
      <c r="E586" s="4">
        <v>1.9799999999999998E-2</v>
      </c>
      <c r="I586" s="3">
        <v>39661</v>
      </c>
      <c r="J586" s="4">
        <v>0.02</v>
      </c>
      <c r="K586" s="4">
        <v>2.0099999999999996E-2</v>
      </c>
      <c r="L586" s="4">
        <v>0.02</v>
      </c>
      <c r="M586" s="4">
        <v>1.9799999999999998E-2</v>
      </c>
      <c r="N586" s="6">
        <f t="shared" si="36"/>
        <v>2.0500566564999993E-2</v>
      </c>
      <c r="O586" s="6">
        <f t="shared" si="37"/>
        <v>3.4603726708074531E-2</v>
      </c>
      <c r="P586" s="21">
        <f t="shared" si="38"/>
        <v>2.5056688599589134E-7</v>
      </c>
      <c r="Q586">
        <f t="shared" si="39"/>
        <v>2.5028328249999605</v>
      </c>
    </row>
    <row r="587" spans="1:17" x14ac:dyDescent="0.15">
      <c r="A587" s="3">
        <v>39692</v>
      </c>
      <c r="B587" s="4">
        <v>1.8100000000000002E-2</v>
      </c>
      <c r="C587" s="4">
        <v>0.02</v>
      </c>
      <c r="D587" s="4">
        <v>2.0099999999999996E-2</v>
      </c>
      <c r="E587" s="4">
        <v>0.02</v>
      </c>
      <c r="I587" s="3">
        <v>39692</v>
      </c>
      <c r="J587" s="4">
        <v>1.8100000000000002E-2</v>
      </c>
      <c r="K587" s="4">
        <v>0.02</v>
      </c>
      <c r="L587" s="4">
        <v>2.0099999999999996E-2</v>
      </c>
      <c r="M587" s="4">
        <v>0.02</v>
      </c>
      <c r="N587" s="6">
        <f t="shared" si="36"/>
        <v>2.0326855700000004E-2</v>
      </c>
      <c r="O587" s="6">
        <f t="shared" si="37"/>
        <v>3.650372670807453E-2</v>
      </c>
      <c r="P587" s="21">
        <f t="shared" si="38"/>
        <v>4.9588863086224997E-6</v>
      </c>
      <c r="Q587">
        <f t="shared" si="39"/>
        <v>12.303070165745869</v>
      </c>
    </row>
    <row r="588" spans="1:17" x14ac:dyDescent="0.15">
      <c r="A588" s="3">
        <v>39722</v>
      </c>
      <c r="B588" s="4">
        <v>9.7000000000000003E-3</v>
      </c>
      <c r="C588" s="4">
        <v>1.8100000000000002E-2</v>
      </c>
      <c r="D588" s="4">
        <v>0.02</v>
      </c>
      <c r="E588" s="4">
        <v>2.0099999999999996E-2</v>
      </c>
      <c r="I588" s="3">
        <v>39722</v>
      </c>
      <c r="J588" s="4">
        <v>9.7000000000000003E-3</v>
      </c>
      <c r="K588" s="4">
        <v>1.8100000000000002E-2</v>
      </c>
      <c r="L588" s="4">
        <v>0.02</v>
      </c>
      <c r="M588" s="4">
        <v>2.0099999999999996E-2</v>
      </c>
      <c r="N588" s="6">
        <f t="shared" si="36"/>
        <v>1.7665173613000001E-2</v>
      </c>
      <c r="O588" s="6">
        <f t="shared" si="37"/>
        <v>4.4903726708074534E-2</v>
      </c>
      <c r="P588" s="21">
        <f t="shared" si="38"/>
        <v>6.3443990685231477E-5</v>
      </c>
      <c r="Q588">
        <f t="shared" si="39"/>
        <v>82.115191886597941</v>
      </c>
    </row>
    <row r="589" spans="1:17" x14ac:dyDescent="0.15">
      <c r="A589" s="3">
        <v>39753</v>
      </c>
      <c r="B589" s="4">
        <v>3.8999999999999998E-3</v>
      </c>
      <c r="C589" s="4">
        <v>9.7000000000000003E-3</v>
      </c>
      <c r="D589" s="4">
        <v>1.8100000000000002E-2</v>
      </c>
      <c r="E589" s="4">
        <v>0.02</v>
      </c>
      <c r="I589" s="3">
        <v>39753</v>
      </c>
      <c r="J589" s="4">
        <v>3.8999999999999998E-3</v>
      </c>
      <c r="K589" s="4">
        <v>9.7000000000000003E-3</v>
      </c>
      <c r="L589" s="4">
        <v>1.8100000000000002E-2</v>
      </c>
      <c r="M589" s="4">
        <v>0.02</v>
      </c>
      <c r="N589" s="6">
        <f t="shared" si="36"/>
        <v>6.7040557290000014E-3</v>
      </c>
      <c r="O589" s="6">
        <f t="shared" si="37"/>
        <v>5.0703726708074534E-2</v>
      </c>
      <c r="P589" s="21">
        <f t="shared" si="38"/>
        <v>7.8627285313377302E-6</v>
      </c>
      <c r="Q589">
        <f t="shared" si="39"/>
        <v>71.898864846153884</v>
      </c>
    </row>
    <row r="590" spans="1:17" x14ac:dyDescent="0.15">
      <c r="A590" s="3">
        <v>39783</v>
      </c>
      <c r="B590" s="4">
        <v>1.6000000000000001E-3</v>
      </c>
      <c r="C590" s="4">
        <v>3.8999999999999998E-3</v>
      </c>
      <c r="D590" s="4">
        <v>9.7000000000000003E-3</v>
      </c>
      <c r="E590" s="4">
        <v>1.8100000000000002E-2</v>
      </c>
      <c r="I590" s="3">
        <v>39783</v>
      </c>
      <c r="J590" s="4">
        <v>1.6000000000000001E-3</v>
      </c>
      <c r="K590" s="4">
        <v>3.8999999999999998E-3</v>
      </c>
      <c r="L590" s="4">
        <v>9.7000000000000003E-3</v>
      </c>
      <c r="M590" s="4">
        <v>1.8100000000000002E-2</v>
      </c>
      <c r="N590" s="6">
        <f t="shared" si="36"/>
        <v>3.1830828989999993E-3</v>
      </c>
      <c r="O590" s="6">
        <f t="shared" si="37"/>
        <v>5.3003726708074538E-2</v>
      </c>
      <c r="P590" s="21">
        <f t="shared" si="38"/>
        <v>2.5061514651062415E-6</v>
      </c>
      <c r="Q590">
        <f t="shared" si="39"/>
        <v>98.942681187499943</v>
      </c>
    </row>
    <row r="591" spans="1:17" x14ac:dyDescent="0.15">
      <c r="A591" s="3">
        <v>39814</v>
      </c>
      <c r="B591" s="4">
        <v>1.5E-3</v>
      </c>
      <c r="C591" s="4">
        <v>1.6000000000000001E-3</v>
      </c>
      <c r="D591" s="4">
        <v>3.8999999999999998E-3</v>
      </c>
      <c r="E591" s="4">
        <v>9.7000000000000003E-3</v>
      </c>
      <c r="I591" s="3">
        <v>39814</v>
      </c>
      <c r="J591" s="4">
        <v>1.5E-3</v>
      </c>
      <c r="K591" s="4">
        <v>1.6000000000000001E-3</v>
      </c>
      <c r="L591" s="4">
        <v>3.8999999999999998E-3</v>
      </c>
      <c r="M591" s="4">
        <v>9.7000000000000003E-3</v>
      </c>
      <c r="N591" s="6">
        <f t="shared" si="36"/>
        <v>2.0887484240000006E-3</v>
      </c>
      <c r="O591" s="6">
        <f t="shared" si="37"/>
        <v>5.3103726708074533E-2</v>
      </c>
      <c r="P591" s="21">
        <f t="shared" si="38"/>
        <v>3.4662470676248438E-7</v>
      </c>
      <c r="Q591">
        <f t="shared" si="39"/>
        <v>39.249894933333366</v>
      </c>
    </row>
    <row r="592" spans="1:17" x14ac:dyDescent="0.15">
      <c r="A592" s="3">
        <v>39845</v>
      </c>
      <c r="B592" s="4">
        <v>2.2000000000000001E-3</v>
      </c>
      <c r="C592" s="4">
        <v>1.5E-3</v>
      </c>
      <c r="D592" s="4">
        <v>1.6000000000000001E-3</v>
      </c>
      <c r="E592" s="4">
        <v>3.8999999999999998E-3</v>
      </c>
      <c r="I592" s="3">
        <v>39845</v>
      </c>
      <c r="J592" s="4">
        <v>2.2000000000000001E-3</v>
      </c>
      <c r="K592" s="4">
        <v>1.5E-3</v>
      </c>
      <c r="L592" s="4">
        <v>1.6000000000000001E-3</v>
      </c>
      <c r="M592" s="4">
        <v>3.8999999999999998E-3</v>
      </c>
      <c r="N592" s="6">
        <f t="shared" si="36"/>
        <v>2.435031399E-3</v>
      </c>
      <c r="O592" s="6">
        <f t="shared" si="37"/>
        <v>5.2403726708074534E-2</v>
      </c>
      <c r="P592" s="21">
        <f t="shared" si="38"/>
        <v>5.5239758515897122E-8</v>
      </c>
      <c r="Q592">
        <f t="shared" si="39"/>
        <v>10.683245409090901</v>
      </c>
    </row>
    <row r="593" spans="1:17" x14ac:dyDescent="0.15">
      <c r="A593" s="3">
        <v>39873</v>
      </c>
      <c r="B593" s="4">
        <v>1.8E-3</v>
      </c>
      <c r="C593" s="4">
        <v>2.2000000000000001E-3</v>
      </c>
      <c r="D593" s="4">
        <v>1.5E-3</v>
      </c>
      <c r="E593" s="4">
        <v>1.6000000000000001E-3</v>
      </c>
      <c r="I593" s="3">
        <v>39873</v>
      </c>
      <c r="J593" s="4">
        <v>1.8E-3</v>
      </c>
      <c r="K593" s="4">
        <v>2.2000000000000001E-3</v>
      </c>
      <c r="L593" s="4">
        <v>1.5E-3</v>
      </c>
      <c r="M593" s="4">
        <v>1.6000000000000001E-3</v>
      </c>
      <c r="N593" s="6">
        <f t="shared" si="36"/>
        <v>3.14163149E-3</v>
      </c>
      <c r="O593" s="6">
        <f t="shared" si="37"/>
        <v>5.2803726708074532E-2</v>
      </c>
      <c r="P593" s="21">
        <f t="shared" si="38"/>
        <v>1.7999750549596202E-6</v>
      </c>
      <c r="Q593">
        <f t="shared" si="39"/>
        <v>74.535082777777788</v>
      </c>
    </row>
    <row r="594" spans="1:17" x14ac:dyDescent="0.15">
      <c r="A594" s="3">
        <v>39904</v>
      </c>
      <c r="B594" s="4">
        <v>1.5E-3</v>
      </c>
      <c r="C594" s="4">
        <v>1.8E-3</v>
      </c>
      <c r="D594" s="4">
        <v>2.2000000000000001E-3</v>
      </c>
      <c r="E594" s="4">
        <v>1.5E-3</v>
      </c>
      <c r="I594" s="3">
        <v>39904</v>
      </c>
      <c r="J594" s="4">
        <v>1.5E-3</v>
      </c>
      <c r="K594" s="4">
        <v>1.8E-3</v>
      </c>
      <c r="L594" s="4">
        <v>2.2000000000000001E-3</v>
      </c>
      <c r="M594" s="4">
        <v>1.5E-3</v>
      </c>
      <c r="N594" s="6">
        <f t="shared" si="36"/>
        <v>2.1209667659999997E-3</v>
      </c>
      <c r="O594" s="6">
        <f t="shared" si="37"/>
        <v>5.3103726708074533E-2</v>
      </c>
      <c r="P594" s="21">
        <f t="shared" si="38"/>
        <v>3.8559972447649835E-7</v>
      </c>
      <c r="Q594">
        <f t="shared" si="39"/>
        <v>41.397784399999978</v>
      </c>
    </row>
    <row r="595" spans="1:17" x14ac:dyDescent="0.15">
      <c r="A595" s="3">
        <v>39934</v>
      </c>
      <c r="B595" s="4">
        <v>1.8E-3</v>
      </c>
      <c r="C595" s="4">
        <v>1.5E-3</v>
      </c>
      <c r="D595" s="4">
        <v>1.8E-3</v>
      </c>
      <c r="E595" s="4">
        <v>2.2000000000000001E-3</v>
      </c>
      <c r="I595" s="3">
        <v>39934</v>
      </c>
      <c r="J595" s="4">
        <v>1.8E-3</v>
      </c>
      <c r="K595" s="4">
        <v>1.5E-3</v>
      </c>
      <c r="L595" s="4">
        <v>1.8E-3</v>
      </c>
      <c r="M595" s="4">
        <v>2.2000000000000001E-3</v>
      </c>
      <c r="N595" s="6">
        <f t="shared" si="36"/>
        <v>2.0439358669999998E-3</v>
      </c>
      <c r="O595" s="6">
        <f t="shared" si="37"/>
        <v>5.2803726708074532E-2</v>
      </c>
      <c r="P595" s="21">
        <f t="shared" si="38"/>
        <v>5.9504707209041602E-8</v>
      </c>
      <c r="Q595">
        <f t="shared" si="39"/>
        <v>13.551992611111102</v>
      </c>
    </row>
    <row r="596" spans="1:17" x14ac:dyDescent="0.15">
      <c r="A596" s="3">
        <v>39965</v>
      </c>
      <c r="B596" s="4">
        <v>2.0999999999999999E-3</v>
      </c>
      <c r="C596" s="4">
        <v>1.8E-3</v>
      </c>
      <c r="D596" s="4">
        <v>1.5E-3</v>
      </c>
      <c r="E596" s="4">
        <v>1.8E-3</v>
      </c>
      <c r="I596" s="3">
        <v>39965</v>
      </c>
      <c r="J596" s="4">
        <v>2.0999999999999999E-3</v>
      </c>
      <c r="K596" s="4">
        <v>1.8E-3</v>
      </c>
      <c r="L596" s="4">
        <v>1.5E-3</v>
      </c>
      <c r="M596" s="4">
        <v>1.8E-3</v>
      </c>
      <c r="N596" s="6">
        <f t="shared" si="36"/>
        <v>2.5966832539999997E-3</v>
      </c>
      <c r="O596" s="6">
        <f t="shared" si="37"/>
        <v>5.2503726708074537E-2</v>
      </c>
      <c r="P596" s="21">
        <f t="shared" si="38"/>
        <v>2.4669425480402831E-7</v>
      </c>
      <c r="Q596">
        <f t="shared" si="39"/>
        <v>23.651583523809517</v>
      </c>
    </row>
    <row r="597" spans="1:17" x14ac:dyDescent="0.15">
      <c r="A597" s="3">
        <v>39995</v>
      </c>
      <c r="B597" s="4">
        <v>1.6000000000000001E-3</v>
      </c>
      <c r="C597" s="4">
        <v>2.0999999999999999E-3</v>
      </c>
      <c r="D597" s="4">
        <v>1.8E-3</v>
      </c>
      <c r="E597" s="4">
        <v>1.5E-3</v>
      </c>
      <c r="I597" s="3">
        <v>39995</v>
      </c>
      <c r="J597" s="4">
        <v>1.6000000000000001E-3</v>
      </c>
      <c r="K597" s="4">
        <v>2.0999999999999999E-3</v>
      </c>
      <c r="L597" s="4">
        <v>1.8E-3</v>
      </c>
      <c r="M597" s="4">
        <v>1.5E-3</v>
      </c>
      <c r="N597" s="6">
        <f t="shared" si="36"/>
        <v>2.798128637E-3</v>
      </c>
      <c r="O597" s="6">
        <f t="shared" si="37"/>
        <v>5.3003726708074538E-2</v>
      </c>
      <c r="P597" s="21">
        <f t="shared" si="38"/>
        <v>1.4355122307994777E-6</v>
      </c>
      <c r="Q597">
        <f t="shared" si="39"/>
        <v>74.883039812500002</v>
      </c>
    </row>
    <row r="598" spans="1:17" x14ac:dyDescent="0.15">
      <c r="A598" s="3">
        <v>40026</v>
      </c>
      <c r="B598" s="4">
        <v>1.6000000000000001E-3</v>
      </c>
      <c r="C598" s="4">
        <v>1.6000000000000001E-3</v>
      </c>
      <c r="D598" s="4">
        <v>2.0999999999999999E-3</v>
      </c>
      <c r="E598" s="4">
        <v>1.8E-3</v>
      </c>
      <c r="I598" s="3">
        <v>40026</v>
      </c>
      <c r="J598" s="4">
        <v>1.6000000000000001E-3</v>
      </c>
      <c r="K598" s="4">
        <v>1.6000000000000001E-3</v>
      </c>
      <c r="L598" s="4">
        <v>2.0999999999999999E-3</v>
      </c>
      <c r="M598" s="4">
        <v>1.8E-3</v>
      </c>
      <c r="N598" s="6">
        <f t="shared" si="36"/>
        <v>1.9412923400000002E-3</v>
      </c>
      <c r="O598" s="6">
        <f t="shared" si="37"/>
        <v>5.3003726708074538E-2</v>
      </c>
      <c r="P598" s="21">
        <f t="shared" si="38"/>
        <v>1.164804613426757E-7</v>
      </c>
      <c r="Q598">
        <f t="shared" si="39"/>
        <v>21.330771250000009</v>
      </c>
    </row>
    <row r="599" spans="1:17" x14ac:dyDescent="0.15">
      <c r="A599" s="3">
        <v>40057</v>
      </c>
      <c r="B599" s="4">
        <v>1.5E-3</v>
      </c>
      <c r="C599" s="4">
        <v>1.6000000000000001E-3</v>
      </c>
      <c r="D599" s="4">
        <v>1.6000000000000001E-3</v>
      </c>
      <c r="E599" s="4">
        <v>2.0999999999999999E-3</v>
      </c>
      <c r="I599" s="3">
        <v>40057</v>
      </c>
      <c r="J599" s="4">
        <v>1.5E-3</v>
      </c>
      <c r="K599" s="4">
        <v>1.6000000000000001E-3</v>
      </c>
      <c r="L599" s="4">
        <v>1.6000000000000001E-3</v>
      </c>
      <c r="M599" s="4">
        <v>2.0999999999999999E-3</v>
      </c>
      <c r="N599" s="6">
        <f t="shared" si="36"/>
        <v>2.2946390280000001E-3</v>
      </c>
      <c r="O599" s="6">
        <f t="shared" si="37"/>
        <v>5.3103726708074533E-2</v>
      </c>
      <c r="P599" s="21">
        <f t="shared" si="38"/>
        <v>6.3145118482078494E-7</v>
      </c>
      <c r="Q599">
        <f t="shared" si="39"/>
        <v>52.975935200000002</v>
      </c>
    </row>
    <row r="600" spans="1:17" x14ac:dyDescent="0.15">
      <c r="A600" s="3">
        <v>40087</v>
      </c>
      <c r="B600" s="4">
        <v>1.1999999999999999E-3</v>
      </c>
      <c r="C600" s="4">
        <v>1.5E-3</v>
      </c>
      <c r="D600" s="4">
        <v>1.6000000000000001E-3</v>
      </c>
      <c r="E600" s="4">
        <v>1.6000000000000001E-3</v>
      </c>
      <c r="I600" s="3">
        <v>40087</v>
      </c>
      <c r="J600" s="4">
        <v>1.1999999999999999E-3</v>
      </c>
      <c r="K600" s="4">
        <v>1.5E-3</v>
      </c>
      <c r="L600" s="4">
        <v>1.6000000000000001E-3</v>
      </c>
      <c r="M600" s="4">
        <v>1.6000000000000001E-3</v>
      </c>
      <c r="N600" s="6">
        <f t="shared" si="36"/>
        <v>2.0714612909999998E-3</v>
      </c>
      <c r="O600" s="6">
        <f t="shared" si="37"/>
        <v>5.3403726708074535E-2</v>
      </c>
      <c r="P600" s="21">
        <f t="shared" si="38"/>
        <v>7.5944478171138656E-7</v>
      </c>
      <c r="Q600">
        <f t="shared" si="39"/>
        <v>72.621774250000001</v>
      </c>
    </row>
    <row r="601" spans="1:17" x14ac:dyDescent="0.15">
      <c r="A601" s="3">
        <v>40118</v>
      </c>
      <c r="B601" s="4">
        <v>1.1999999999999999E-3</v>
      </c>
      <c r="C601" s="4">
        <v>1.1999999999999999E-3</v>
      </c>
      <c r="D601" s="4">
        <v>1.5E-3</v>
      </c>
      <c r="E601" s="4">
        <v>1.6000000000000001E-3</v>
      </c>
      <c r="I601" s="3">
        <v>40118</v>
      </c>
      <c r="J601" s="4">
        <v>1.1999999999999999E-3</v>
      </c>
      <c r="K601" s="4">
        <v>1.1999999999999999E-3</v>
      </c>
      <c r="L601" s="4">
        <v>1.5E-3</v>
      </c>
      <c r="M601" s="4">
        <v>1.6000000000000001E-3</v>
      </c>
      <c r="N601" s="6">
        <f t="shared" si="36"/>
        <v>1.7002239199999996E-3</v>
      </c>
      <c r="O601" s="6">
        <f t="shared" si="37"/>
        <v>5.3403726708074535E-2</v>
      </c>
      <c r="P601" s="21">
        <f t="shared" si="38"/>
        <v>2.5022397014016614E-7</v>
      </c>
      <c r="Q601">
        <f t="shared" si="39"/>
        <v>41.685326666666647</v>
      </c>
    </row>
    <row r="602" spans="1:17" x14ac:dyDescent="0.15">
      <c r="A602" s="3">
        <v>40148</v>
      </c>
      <c r="B602" s="4">
        <v>1.1999999999999999E-3</v>
      </c>
      <c r="C602" s="4">
        <v>1.1999999999999999E-3</v>
      </c>
      <c r="D602" s="4">
        <v>1.1999999999999999E-3</v>
      </c>
      <c r="E602" s="4">
        <v>1.5E-3</v>
      </c>
      <c r="I602" s="3">
        <v>40148</v>
      </c>
      <c r="J602" s="4">
        <v>1.1999999999999999E-3</v>
      </c>
      <c r="K602" s="4">
        <v>1.1999999999999999E-3</v>
      </c>
      <c r="L602" s="4">
        <v>1.1999999999999999E-3</v>
      </c>
      <c r="M602" s="4">
        <v>1.5E-3</v>
      </c>
      <c r="N602" s="6">
        <f t="shared" si="36"/>
        <v>1.8679712239999997E-3</v>
      </c>
      <c r="O602" s="6">
        <f t="shared" si="37"/>
        <v>5.3403726708074535E-2</v>
      </c>
      <c r="P602" s="21">
        <f t="shared" si="38"/>
        <v>4.4618555609205795E-7</v>
      </c>
      <c r="Q602">
        <f t="shared" si="39"/>
        <v>55.664268666666658</v>
      </c>
    </row>
    <row r="603" spans="1:17" x14ac:dyDescent="0.15">
      <c r="A603" s="3">
        <v>40179</v>
      </c>
      <c r="B603" s="4">
        <v>1.1000000000000001E-3</v>
      </c>
      <c r="C603" s="4">
        <v>1.1999999999999999E-3</v>
      </c>
      <c r="D603" s="4">
        <v>1.1999999999999999E-3</v>
      </c>
      <c r="E603" s="4">
        <v>1.1999999999999999E-3</v>
      </c>
      <c r="I603" s="3">
        <v>40179</v>
      </c>
      <c r="J603" s="4">
        <v>1.1000000000000001E-3</v>
      </c>
      <c r="K603" s="4">
        <v>1.1999999999999999E-3</v>
      </c>
      <c r="L603" s="4">
        <v>1.1999999999999999E-3</v>
      </c>
      <c r="M603" s="4">
        <v>1.1999999999999999E-3</v>
      </c>
      <c r="N603" s="6">
        <f t="shared" si="36"/>
        <v>1.8205490359999997E-3</v>
      </c>
      <c r="O603" s="6">
        <f t="shared" si="37"/>
        <v>5.3503726708074538E-2</v>
      </c>
      <c r="P603" s="21">
        <f t="shared" si="38"/>
        <v>5.1919091328052885E-7</v>
      </c>
      <c r="Q603">
        <f t="shared" si="39"/>
        <v>65.504457818181777</v>
      </c>
    </row>
    <row r="604" spans="1:17" x14ac:dyDescent="0.15">
      <c r="A604" s="3">
        <v>40210</v>
      </c>
      <c r="B604" s="4">
        <v>1.2999999999999999E-3</v>
      </c>
      <c r="C604" s="4">
        <v>1.1000000000000001E-3</v>
      </c>
      <c r="D604" s="4">
        <v>1.1999999999999999E-3</v>
      </c>
      <c r="E604" s="4">
        <v>1.1999999999999999E-3</v>
      </c>
      <c r="I604" s="3">
        <v>40210</v>
      </c>
      <c r="J604" s="4">
        <v>1.2999999999999999E-3</v>
      </c>
      <c r="K604" s="4">
        <v>1.1000000000000001E-3</v>
      </c>
      <c r="L604" s="4">
        <v>1.1999999999999999E-3</v>
      </c>
      <c r="M604" s="4">
        <v>1.1999999999999999E-3</v>
      </c>
      <c r="N604" s="6">
        <f t="shared" si="36"/>
        <v>1.6764082790000001E-3</v>
      </c>
      <c r="O604" s="6">
        <f t="shared" si="37"/>
        <v>5.3303726708074532E-2</v>
      </c>
      <c r="P604" s="21">
        <f t="shared" si="38"/>
        <v>1.4168319249974194E-7</v>
      </c>
      <c r="Q604">
        <f t="shared" si="39"/>
        <v>28.954483000000014</v>
      </c>
    </row>
    <row r="605" spans="1:17" x14ac:dyDescent="0.15">
      <c r="A605" s="3">
        <v>40238</v>
      </c>
      <c r="B605" s="4">
        <v>1.6000000000000001E-3</v>
      </c>
      <c r="C605" s="4">
        <v>1.2999999999999999E-3</v>
      </c>
      <c r="D605" s="4">
        <v>1.1000000000000001E-3</v>
      </c>
      <c r="E605" s="4">
        <v>1.1999999999999999E-3</v>
      </c>
      <c r="I605" s="3">
        <v>40238</v>
      </c>
      <c r="J605" s="4">
        <v>1.6000000000000001E-3</v>
      </c>
      <c r="K605" s="4">
        <v>1.2999999999999999E-3</v>
      </c>
      <c r="L605" s="4">
        <v>1.1000000000000001E-3</v>
      </c>
      <c r="M605" s="4">
        <v>1.1999999999999999E-3</v>
      </c>
      <c r="N605" s="6">
        <f t="shared" si="36"/>
        <v>2.0258746929999998E-3</v>
      </c>
      <c r="O605" s="6">
        <f t="shared" si="37"/>
        <v>5.3003726708074538E-2</v>
      </c>
      <c r="P605" s="21">
        <f t="shared" si="38"/>
        <v>1.8136925413784403E-7</v>
      </c>
      <c r="Q605">
        <f t="shared" si="39"/>
        <v>26.617168312499984</v>
      </c>
    </row>
    <row r="606" spans="1:17" x14ac:dyDescent="0.15">
      <c r="A606" s="3">
        <v>40269</v>
      </c>
      <c r="B606" s="4">
        <v>2E-3</v>
      </c>
      <c r="C606" s="4">
        <v>1.6000000000000001E-3</v>
      </c>
      <c r="D606" s="4">
        <v>1.2999999999999999E-3</v>
      </c>
      <c r="E606" s="4">
        <v>1.1000000000000001E-3</v>
      </c>
      <c r="I606" s="3">
        <v>40269</v>
      </c>
      <c r="J606" s="4">
        <v>2E-3</v>
      </c>
      <c r="K606" s="4">
        <v>1.6000000000000001E-3</v>
      </c>
      <c r="L606" s="4">
        <v>1.2999999999999999E-3</v>
      </c>
      <c r="M606" s="4">
        <v>1.1000000000000001E-3</v>
      </c>
      <c r="N606" s="6">
        <f t="shared" si="36"/>
        <v>2.3201197680000002E-3</v>
      </c>
      <c r="O606" s="6">
        <f t="shared" si="37"/>
        <v>5.2603726708074533E-2</v>
      </c>
      <c r="P606" s="21">
        <f t="shared" si="38"/>
        <v>1.0247666586437395E-7</v>
      </c>
      <c r="Q606">
        <f t="shared" si="39"/>
        <v>16.00598840000001</v>
      </c>
    </row>
    <row r="607" spans="1:17" x14ac:dyDescent="0.15">
      <c r="A607" s="3">
        <v>40299</v>
      </c>
      <c r="B607" s="4">
        <v>2E-3</v>
      </c>
      <c r="C607" s="4">
        <v>2E-3</v>
      </c>
      <c r="D607" s="4">
        <v>1.6000000000000001E-3</v>
      </c>
      <c r="E607" s="4">
        <v>1.2999999999999999E-3</v>
      </c>
      <c r="I607" s="3">
        <v>40299</v>
      </c>
      <c r="J607" s="4">
        <v>2E-3</v>
      </c>
      <c r="K607" s="4">
        <v>2E-3</v>
      </c>
      <c r="L607" s="4">
        <v>1.6000000000000001E-3</v>
      </c>
      <c r="M607" s="4">
        <v>1.2999999999999999E-3</v>
      </c>
      <c r="N607" s="6">
        <f t="shared" si="36"/>
        <v>2.744742888E-3</v>
      </c>
      <c r="O607" s="6">
        <f t="shared" si="37"/>
        <v>5.2603726708074533E-2</v>
      </c>
      <c r="P607" s="21">
        <f t="shared" si="38"/>
        <v>5.5464196922658051E-7</v>
      </c>
      <c r="Q607">
        <f t="shared" si="39"/>
        <v>37.237144399999998</v>
      </c>
    </row>
    <row r="608" spans="1:17" x14ac:dyDescent="0.15">
      <c r="A608" s="3">
        <v>40330</v>
      </c>
      <c r="B608" s="4">
        <v>1.8E-3</v>
      </c>
      <c r="C608" s="4">
        <v>2E-3</v>
      </c>
      <c r="D608" s="4">
        <v>2E-3</v>
      </c>
      <c r="E608" s="4">
        <v>1.6000000000000001E-3</v>
      </c>
      <c r="I608" s="3">
        <v>40330</v>
      </c>
      <c r="J608" s="4">
        <v>1.8E-3</v>
      </c>
      <c r="K608" s="4">
        <v>2E-3</v>
      </c>
      <c r="L608" s="4">
        <v>2E-3</v>
      </c>
      <c r="M608" s="4">
        <v>1.6000000000000001E-3</v>
      </c>
      <c r="N608" s="6">
        <f t="shared" si="36"/>
        <v>2.5474254759999997E-3</v>
      </c>
      <c r="O608" s="6">
        <f t="shared" si="37"/>
        <v>5.2803726708074532E-2</v>
      </c>
      <c r="P608" s="21">
        <f t="shared" si="38"/>
        <v>5.5864484217382616E-7</v>
      </c>
      <c r="Q608">
        <f t="shared" si="39"/>
        <v>41.523637555555545</v>
      </c>
    </row>
    <row r="609" spans="1:17" x14ac:dyDescent="0.15">
      <c r="A609" s="3">
        <v>40360</v>
      </c>
      <c r="B609" s="4">
        <v>1.8E-3</v>
      </c>
      <c r="C609" s="4">
        <v>1.8E-3</v>
      </c>
      <c r="D609" s="4">
        <v>2E-3</v>
      </c>
      <c r="E609" s="4">
        <v>2E-3</v>
      </c>
      <c r="I609" s="3">
        <v>40360</v>
      </c>
      <c r="J609" s="4">
        <v>1.8E-3</v>
      </c>
      <c r="K609" s="4">
        <v>1.8E-3</v>
      </c>
      <c r="L609" s="4">
        <v>2E-3</v>
      </c>
      <c r="M609" s="4">
        <v>2E-3</v>
      </c>
      <c r="N609" s="6">
        <f t="shared" si="36"/>
        <v>2.3223735459999995E-3</v>
      </c>
      <c r="O609" s="6">
        <f t="shared" si="37"/>
        <v>5.2803726708074532E-2</v>
      </c>
      <c r="P609" s="21">
        <f t="shared" si="38"/>
        <v>2.7287412156061368E-7</v>
      </c>
      <c r="Q609">
        <f t="shared" si="39"/>
        <v>29.020752555555536</v>
      </c>
    </row>
    <row r="610" spans="1:17" x14ac:dyDescent="0.15">
      <c r="A610" s="3">
        <v>40391</v>
      </c>
      <c r="B610" s="4">
        <v>1.9E-3</v>
      </c>
      <c r="C610" s="4">
        <v>1.8E-3</v>
      </c>
      <c r="D610" s="4">
        <v>1.8E-3</v>
      </c>
      <c r="E610" s="4">
        <v>2E-3</v>
      </c>
      <c r="I610" s="3">
        <v>40391</v>
      </c>
      <c r="J610" s="4">
        <v>1.9E-3</v>
      </c>
      <c r="K610" s="4">
        <v>1.8E-3</v>
      </c>
      <c r="L610" s="4">
        <v>1.8E-3</v>
      </c>
      <c r="M610" s="4">
        <v>2E-3</v>
      </c>
      <c r="N610" s="6">
        <f t="shared" si="36"/>
        <v>2.4447433459999996E-3</v>
      </c>
      <c r="O610" s="6">
        <f t="shared" si="37"/>
        <v>5.2703726708074536E-2</v>
      </c>
      <c r="P610" s="21">
        <f t="shared" si="38"/>
        <v>2.9674531301127528E-7</v>
      </c>
      <c r="Q610">
        <f t="shared" si="39"/>
        <v>28.670702421052606</v>
      </c>
    </row>
    <row r="611" spans="1:17" x14ac:dyDescent="0.15">
      <c r="A611" s="3">
        <v>40422</v>
      </c>
      <c r="B611" s="6">
        <v>1.9E-3</v>
      </c>
      <c r="C611" s="4">
        <v>1.9E-3</v>
      </c>
      <c r="D611" s="4">
        <v>1.8E-3</v>
      </c>
      <c r="E611" s="4">
        <v>1.8E-3</v>
      </c>
      <c r="I611" s="3">
        <v>40422</v>
      </c>
      <c r="J611" s="6">
        <v>1.9E-3</v>
      </c>
      <c r="K611" s="4">
        <v>1.9E-3</v>
      </c>
      <c r="L611" s="4">
        <v>1.8E-3</v>
      </c>
      <c r="M611" s="4">
        <v>1.8E-3</v>
      </c>
      <c r="N611" s="6">
        <f t="shared" si="36"/>
        <v>2.5572693109999997E-3</v>
      </c>
      <c r="O611" s="6">
        <f t="shared" si="37"/>
        <v>5.2703726708074536E-2</v>
      </c>
      <c r="P611" s="21">
        <f t="shared" si="38"/>
        <v>4.3200294718241426E-7</v>
      </c>
      <c r="Q611">
        <f t="shared" si="39"/>
        <v>34.593121631578931</v>
      </c>
    </row>
    <row r="612" spans="1:17" x14ac:dyDescent="0.15">
      <c r="A612" s="3">
        <v>40452</v>
      </c>
      <c r="B612" s="6">
        <v>1.9E-3</v>
      </c>
      <c r="C612" s="6">
        <v>1.9E-3</v>
      </c>
      <c r="D612" s="4">
        <v>1.9E-3</v>
      </c>
      <c r="E612" s="4">
        <v>1.8E-3</v>
      </c>
      <c r="I612" s="3">
        <v>40452</v>
      </c>
      <c r="J612" s="6">
        <v>1.9E-3</v>
      </c>
      <c r="K612" s="6">
        <v>1.9E-3</v>
      </c>
      <c r="L612" s="4">
        <v>1.9E-3</v>
      </c>
      <c r="M612" s="4">
        <v>1.8E-3</v>
      </c>
      <c r="N612" s="6">
        <f t="shared" si="36"/>
        <v>2.4960844109999996E-3</v>
      </c>
      <c r="O612" s="6">
        <f t="shared" si="37"/>
        <v>5.2703726708074536E-2</v>
      </c>
      <c r="P612" s="21">
        <f t="shared" si="38"/>
        <v>3.5531662503721648E-7</v>
      </c>
      <c r="Q612">
        <f t="shared" si="39"/>
        <v>31.372863736842088</v>
      </c>
    </row>
    <row r="613" spans="1:17" x14ac:dyDescent="0.15">
      <c r="A613" s="3">
        <v>40483</v>
      </c>
      <c r="B613" s="6">
        <v>1.9E-3</v>
      </c>
      <c r="C613" s="6">
        <v>1.9E-3</v>
      </c>
      <c r="D613" s="6">
        <v>1.9E-3</v>
      </c>
      <c r="E613" s="4">
        <v>1.9E-3</v>
      </c>
      <c r="I613" s="3">
        <v>40483</v>
      </c>
      <c r="J613" s="6">
        <v>1.9E-3</v>
      </c>
      <c r="K613" s="6">
        <v>1.9E-3</v>
      </c>
      <c r="L613" s="6">
        <v>1.9E-3</v>
      </c>
      <c r="M613" s="4">
        <v>1.9E-3</v>
      </c>
      <c r="N613" s="6">
        <f t="shared" si="36"/>
        <v>2.5118918069999998E-3</v>
      </c>
      <c r="O613" s="6">
        <f t="shared" si="37"/>
        <v>5.2703726708074536E-2</v>
      </c>
      <c r="P613" s="21">
        <f t="shared" si="38"/>
        <v>3.7441158347372509E-7</v>
      </c>
      <c r="Q613">
        <f t="shared" si="39"/>
        <v>32.204831947368412</v>
      </c>
    </row>
    <row r="614" spans="1:17" x14ac:dyDescent="0.15">
      <c r="A614" s="3">
        <v>40513</v>
      </c>
      <c r="B614" s="6">
        <v>1.8E-3</v>
      </c>
      <c r="C614" s="6">
        <v>1.9E-3</v>
      </c>
      <c r="D614" s="6">
        <v>1.9E-3</v>
      </c>
      <c r="E614" s="6">
        <v>1.9E-3</v>
      </c>
      <c r="I614" s="3">
        <v>40513</v>
      </c>
      <c r="J614" s="6">
        <v>1.8E-3</v>
      </c>
      <c r="K614" s="6">
        <v>1.9E-3</v>
      </c>
      <c r="L614" s="6">
        <v>1.9E-3</v>
      </c>
      <c r="M614" s="6">
        <v>1.9E-3</v>
      </c>
      <c r="N614" s="6">
        <f t="shared" si="36"/>
        <v>2.5118918069999998E-3</v>
      </c>
      <c r="O614" s="6">
        <f t="shared" si="37"/>
        <v>5.2803726708074532E-2</v>
      </c>
      <c r="P614" s="21">
        <f t="shared" si="38"/>
        <v>5.0678994487372508E-7</v>
      </c>
      <c r="Q614">
        <f t="shared" si="39"/>
        <v>39.549544833333329</v>
      </c>
    </row>
    <row r="615" spans="1:17" x14ac:dyDescent="0.15">
      <c r="A615" s="3">
        <v>40544</v>
      </c>
      <c r="B615" s="6">
        <v>1.6999999999999999E-3</v>
      </c>
      <c r="C615" s="6">
        <v>1.8E-3</v>
      </c>
      <c r="D615" s="6">
        <v>1.9E-3</v>
      </c>
      <c r="E615" s="6">
        <v>1.9E-3</v>
      </c>
      <c r="I615" s="3">
        <v>40544</v>
      </c>
      <c r="J615" s="6">
        <v>1.6999999999999999E-3</v>
      </c>
      <c r="K615" s="6">
        <v>1.8E-3</v>
      </c>
      <c r="L615" s="6">
        <v>1.9E-3</v>
      </c>
      <c r="M615" s="6">
        <v>1.9E-3</v>
      </c>
      <c r="N615" s="6">
        <f t="shared" si="36"/>
        <v>2.3677510499999998E-3</v>
      </c>
      <c r="O615" s="6">
        <f t="shared" si="37"/>
        <v>5.2903726708074535E-2</v>
      </c>
      <c r="P615" s="21">
        <f t="shared" si="38"/>
        <v>4.458914647761023E-7</v>
      </c>
      <c r="Q615">
        <f t="shared" si="39"/>
        <v>39.27947352941176</v>
      </c>
    </row>
    <row r="616" spans="1:17" x14ac:dyDescent="0.15">
      <c r="A616" s="3">
        <v>40575</v>
      </c>
      <c r="B616" s="6">
        <v>1.6000000000000001E-3</v>
      </c>
      <c r="C616" s="6">
        <v>1.6999999999999999E-3</v>
      </c>
      <c r="D616" s="6">
        <v>1.8E-3</v>
      </c>
      <c r="E616" s="6">
        <v>1.9E-3</v>
      </c>
      <c r="I616" s="3">
        <v>40575</v>
      </c>
      <c r="J616" s="6">
        <v>1.6000000000000001E-3</v>
      </c>
      <c r="K616" s="6">
        <v>1.6999999999999999E-3</v>
      </c>
      <c r="L616" s="6">
        <v>1.8E-3</v>
      </c>
      <c r="M616" s="6">
        <v>1.9E-3</v>
      </c>
      <c r="N616" s="6">
        <f t="shared" si="36"/>
        <v>2.2847951930000002E-3</v>
      </c>
      <c r="O616" s="6">
        <f t="shared" si="37"/>
        <v>5.3003726708074538E-2</v>
      </c>
      <c r="P616" s="21">
        <f t="shared" si="38"/>
        <v>4.6894445635590734E-7</v>
      </c>
      <c r="Q616">
        <f t="shared" si="39"/>
        <v>42.799699562500003</v>
      </c>
    </row>
    <row r="617" spans="1:17" x14ac:dyDescent="0.15">
      <c r="A617" s="3">
        <v>40603</v>
      </c>
      <c r="B617" s="6">
        <v>1.4E-3</v>
      </c>
      <c r="C617" s="6">
        <v>1.6000000000000001E-3</v>
      </c>
      <c r="D617" s="6">
        <v>1.6999999999999999E-3</v>
      </c>
      <c r="E617" s="6">
        <v>1.8E-3</v>
      </c>
      <c r="I617" s="3">
        <v>40603</v>
      </c>
      <c r="J617" s="6">
        <v>1.4E-3</v>
      </c>
      <c r="K617" s="6">
        <v>1.6000000000000001E-3</v>
      </c>
      <c r="L617" s="6">
        <v>1.6999999999999999E-3</v>
      </c>
      <c r="M617" s="6">
        <v>1.8E-3</v>
      </c>
      <c r="N617" s="6">
        <f t="shared" si="36"/>
        <v>2.1860319399999999E-3</v>
      </c>
      <c r="O617" s="6">
        <f t="shared" si="37"/>
        <v>5.3203726708074536E-2</v>
      </c>
      <c r="P617" s="21">
        <f t="shared" si="38"/>
        <v>6.1784621070016342E-7</v>
      </c>
      <c r="Q617">
        <f t="shared" si="39"/>
        <v>56.145138571428568</v>
      </c>
    </row>
    <row r="618" spans="1:17" x14ac:dyDescent="0.15">
      <c r="A618" s="3">
        <v>40634</v>
      </c>
      <c r="B618" s="6">
        <v>1E-3</v>
      </c>
      <c r="C618" s="6">
        <v>1.4E-3</v>
      </c>
      <c r="D618" s="6">
        <v>1.6000000000000001E-3</v>
      </c>
      <c r="E618" s="6">
        <v>1.6999999999999999E-3</v>
      </c>
      <c r="I618" s="3">
        <v>40634</v>
      </c>
      <c r="J618" s="6">
        <v>1E-3</v>
      </c>
      <c r="K618" s="6">
        <v>1.4E-3</v>
      </c>
      <c r="L618" s="6">
        <v>1.6000000000000001E-3</v>
      </c>
      <c r="M618" s="6">
        <v>1.6999999999999999E-3</v>
      </c>
      <c r="N618" s="6">
        <f t="shared" si="36"/>
        <v>1.9431279299999998E-3</v>
      </c>
      <c r="O618" s="6">
        <f t="shared" si="37"/>
        <v>5.3603726708074534E-2</v>
      </c>
      <c r="P618" s="21">
        <f t="shared" si="38"/>
        <v>8.8949029234608438E-7</v>
      </c>
      <c r="Q618">
        <f t="shared" si="39"/>
        <v>94.312792999999971</v>
      </c>
    </row>
    <row r="619" spans="1:17" x14ac:dyDescent="0.15">
      <c r="A619" s="3">
        <v>40664</v>
      </c>
      <c r="B619" s="6">
        <v>8.9999999999999998E-4</v>
      </c>
      <c r="C619" s="6">
        <v>1E-3</v>
      </c>
      <c r="D619" s="6">
        <v>1.4E-3</v>
      </c>
      <c r="E619" s="6">
        <v>1.6000000000000001E-3</v>
      </c>
      <c r="I619" s="3">
        <v>40664</v>
      </c>
      <c r="J619" s="6">
        <v>8.9999999999999998E-4</v>
      </c>
      <c r="K619" s="6">
        <v>1E-3</v>
      </c>
      <c r="L619" s="6">
        <v>1.4E-3</v>
      </c>
      <c r="M619" s="6">
        <v>1.6000000000000001E-3</v>
      </c>
      <c r="N619" s="6">
        <f t="shared" si="36"/>
        <v>1.4731273059999999E-3</v>
      </c>
      <c r="O619" s="6">
        <f t="shared" si="37"/>
        <v>5.3703726708074537E-2</v>
      </c>
      <c r="P619" s="21">
        <f t="shared" si="38"/>
        <v>3.2847490888281759E-7</v>
      </c>
      <c r="Q619">
        <f t="shared" si="39"/>
        <v>63.680811777777777</v>
      </c>
    </row>
    <row r="620" spans="1:17" x14ac:dyDescent="0.15">
      <c r="A620" s="3">
        <v>40695</v>
      </c>
      <c r="B620" s="6">
        <v>8.9999999999999998E-4</v>
      </c>
      <c r="C620" s="6">
        <v>8.9999999999999998E-4</v>
      </c>
      <c r="D620" s="6">
        <v>1E-3</v>
      </c>
      <c r="E620" s="6">
        <v>1.4E-3</v>
      </c>
      <c r="I620" s="3">
        <v>40695</v>
      </c>
      <c r="J620" s="6">
        <v>8.9999999999999998E-4</v>
      </c>
      <c r="K620" s="6">
        <v>8.9999999999999998E-4</v>
      </c>
      <c r="L620" s="6">
        <v>1E-3</v>
      </c>
      <c r="M620" s="6">
        <v>1.4E-3</v>
      </c>
      <c r="N620" s="6">
        <f t="shared" si="36"/>
        <v>1.5421113569999997E-3</v>
      </c>
      <c r="O620" s="6">
        <f t="shared" si="37"/>
        <v>5.3703726708074537E-2</v>
      </c>
      <c r="P620" s="21">
        <f t="shared" si="38"/>
        <v>4.1230699478838118E-7</v>
      </c>
      <c r="Q620">
        <f t="shared" si="39"/>
        <v>71.345706333333311</v>
      </c>
    </row>
    <row r="621" spans="1:17" x14ac:dyDescent="0.15">
      <c r="A621" s="3">
        <v>40725</v>
      </c>
      <c r="B621" s="6">
        <v>6.9999999999999999E-4</v>
      </c>
      <c r="C621" s="6">
        <v>8.9999999999999998E-4</v>
      </c>
      <c r="D621" s="6">
        <v>8.9999999999999998E-4</v>
      </c>
      <c r="E621" s="6">
        <v>1E-3</v>
      </c>
      <c r="I621" s="3">
        <v>40725</v>
      </c>
      <c r="J621" s="6">
        <v>6.9999999999999999E-4</v>
      </c>
      <c r="K621" s="6">
        <v>8.9999999999999998E-4</v>
      </c>
      <c r="L621" s="6">
        <v>8.9999999999999998E-4</v>
      </c>
      <c r="M621" s="6">
        <v>1E-3</v>
      </c>
      <c r="N621" s="6">
        <f t="shared" si="36"/>
        <v>1.5400666729999998E-3</v>
      </c>
      <c r="O621" s="6">
        <f t="shared" si="37"/>
        <v>5.3903726708074536E-2</v>
      </c>
      <c r="P621" s="21">
        <f t="shared" si="38"/>
        <v>7.0571201508528864E-7</v>
      </c>
      <c r="Q621">
        <f t="shared" si="39"/>
        <v>120.00952471428567</v>
      </c>
    </row>
    <row r="622" spans="1:17" x14ac:dyDescent="0.15">
      <c r="A622" s="3">
        <v>40756</v>
      </c>
      <c r="B622" s="6">
        <v>1E-3</v>
      </c>
      <c r="C622" s="6">
        <v>6.9999999999999999E-4</v>
      </c>
      <c r="D622" s="6">
        <v>8.9999999999999998E-4</v>
      </c>
      <c r="E622" s="6">
        <v>8.9999999999999998E-4</v>
      </c>
      <c r="I622" s="3">
        <v>40756</v>
      </c>
      <c r="J622" s="6">
        <v>1E-3</v>
      </c>
      <c r="K622" s="6">
        <v>6.9999999999999999E-4</v>
      </c>
      <c r="L622" s="6">
        <v>8.9999999999999998E-4</v>
      </c>
      <c r="M622" s="6">
        <v>8.9999999999999998E-4</v>
      </c>
      <c r="N622" s="6">
        <f t="shared" si="36"/>
        <v>1.2359777629999999E-3</v>
      </c>
      <c r="O622" s="6">
        <f t="shared" si="37"/>
        <v>5.3603726708074534E-2</v>
      </c>
      <c r="P622" s="21">
        <f t="shared" si="38"/>
        <v>5.5685504630484091E-8</v>
      </c>
      <c r="Q622">
        <f t="shared" si="39"/>
        <v>23.597776299999985</v>
      </c>
    </row>
    <row r="623" spans="1:17" x14ac:dyDescent="0.15">
      <c r="A623" s="3">
        <v>40787</v>
      </c>
      <c r="B623" s="6">
        <v>8.0000000000000004E-4</v>
      </c>
      <c r="C623" s="6">
        <v>1E-3</v>
      </c>
      <c r="D623" s="6">
        <v>6.9999999999999999E-4</v>
      </c>
      <c r="E623" s="6">
        <v>8.9999999999999998E-4</v>
      </c>
      <c r="I623" s="3">
        <v>40787</v>
      </c>
      <c r="J623" s="6">
        <v>8.0000000000000004E-4</v>
      </c>
      <c r="K623" s="6">
        <v>1E-3</v>
      </c>
      <c r="L623" s="6">
        <v>6.9999999999999999E-4</v>
      </c>
      <c r="M623" s="6">
        <v>8.9999999999999998E-4</v>
      </c>
      <c r="N623" s="6">
        <f t="shared" si="36"/>
        <v>1.7907698339999999E-3</v>
      </c>
      <c r="O623" s="6">
        <f t="shared" si="37"/>
        <v>5.3803726708074533E-2</v>
      </c>
      <c r="P623" s="21">
        <f t="shared" si="38"/>
        <v>9.816248639643876E-7</v>
      </c>
      <c r="Q623">
        <f t="shared" si="39"/>
        <v>123.84622924999999</v>
      </c>
    </row>
    <row r="624" spans="1:17" x14ac:dyDescent="0.15">
      <c r="A624" s="3">
        <v>40817</v>
      </c>
      <c r="B624" s="6">
        <v>6.9999999999999999E-4</v>
      </c>
      <c r="C624" s="6">
        <v>8.0000000000000004E-4</v>
      </c>
      <c r="D624" s="6">
        <v>1E-3</v>
      </c>
      <c r="E624" s="6">
        <v>6.9999999999999999E-4</v>
      </c>
      <c r="I624" s="3">
        <v>40817</v>
      </c>
      <c r="J624" s="6">
        <v>6.9999999999999999E-4</v>
      </c>
      <c r="K624" s="6">
        <v>8.0000000000000004E-4</v>
      </c>
      <c r="L624" s="6">
        <v>1E-3</v>
      </c>
      <c r="M624" s="6">
        <v>6.9999999999999999E-4</v>
      </c>
      <c r="N624" s="6">
        <f t="shared" si="36"/>
        <v>1.2873188279999999E-3</v>
      </c>
      <c r="O624" s="6">
        <f t="shared" si="37"/>
        <v>5.3903726708074536E-2</v>
      </c>
      <c r="P624" s="21">
        <f t="shared" si="38"/>
        <v>3.4494340572329348E-7</v>
      </c>
      <c r="Q624">
        <f t="shared" si="39"/>
        <v>83.9026897142857</v>
      </c>
    </row>
    <row r="625" spans="1:17" x14ac:dyDescent="0.15">
      <c r="A625" s="3">
        <v>40848</v>
      </c>
      <c r="B625" s="6">
        <v>8.0000000000000004E-4</v>
      </c>
      <c r="C625" s="6">
        <v>6.9999999999999999E-4</v>
      </c>
      <c r="D625" s="6">
        <v>8.0000000000000004E-4</v>
      </c>
      <c r="E625" s="6">
        <v>1E-3</v>
      </c>
      <c r="I625" s="3">
        <v>40848</v>
      </c>
      <c r="J625" s="6">
        <v>8.0000000000000004E-4</v>
      </c>
      <c r="K625" s="6">
        <v>6.9999999999999999E-4</v>
      </c>
      <c r="L625" s="6">
        <v>8.0000000000000004E-4</v>
      </c>
      <c r="M625" s="6">
        <v>1E-3</v>
      </c>
      <c r="N625" s="6">
        <f t="shared" si="36"/>
        <v>1.3129700589999999E-3</v>
      </c>
      <c r="O625" s="6">
        <f t="shared" si="37"/>
        <v>5.3803726708074533E-2</v>
      </c>
      <c r="P625" s="21">
        <f t="shared" si="38"/>
        <v>2.6313828143046333E-7</v>
      </c>
      <c r="Q625">
        <f t="shared" si="39"/>
        <v>64.121257374999971</v>
      </c>
    </row>
    <row r="626" spans="1:17" x14ac:dyDescent="0.15">
      <c r="A626" s="3">
        <v>40878</v>
      </c>
      <c r="B626" s="6">
        <v>6.9999999999999999E-4</v>
      </c>
      <c r="C626" s="6">
        <v>8.0000000000000004E-4</v>
      </c>
      <c r="D626" s="6">
        <v>6.9999999999999999E-4</v>
      </c>
      <c r="E626" s="6">
        <v>8.0000000000000004E-4</v>
      </c>
      <c r="I626" s="3">
        <v>40878</v>
      </c>
      <c r="J626" s="6">
        <v>6.9999999999999999E-4</v>
      </c>
      <c r="K626" s="6">
        <v>8.0000000000000004E-4</v>
      </c>
      <c r="L626" s="6">
        <v>6.9999999999999999E-4</v>
      </c>
      <c r="M626" s="6">
        <v>8.0000000000000004E-4</v>
      </c>
      <c r="N626" s="6">
        <f t="shared" si="36"/>
        <v>1.486680924E-3</v>
      </c>
      <c r="O626" s="6">
        <f t="shared" si="37"/>
        <v>5.3903726708074536E-2</v>
      </c>
      <c r="P626" s="21">
        <f t="shared" si="38"/>
        <v>6.1886687618549379E-7</v>
      </c>
      <c r="Q626">
        <f t="shared" si="39"/>
        <v>112.38298914285714</v>
      </c>
    </row>
    <row r="627" spans="1:17" x14ac:dyDescent="0.15">
      <c r="A627" s="3">
        <v>40909</v>
      </c>
      <c r="B627" s="6">
        <v>8.0000000000000004E-4</v>
      </c>
      <c r="C627" s="6">
        <v>6.9999999999999999E-4</v>
      </c>
      <c r="D627" s="6">
        <v>8.0000000000000004E-4</v>
      </c>
      <c r="E627" s="6">
        <v>6.9999999999999999E-4</v>
      </c>
      <c r="I627" s="3">
        <v>40909</v>
      </c>
      <c r="J627" s="6">
        <v>8.0000000000000004E-4</v>
      </c>
      <c r="K627" s="6">
        <v>6.9999999999999999E-4</v>
      </c>
      <c r="L627" s="6">
        <v>8.0000000000000004E-4</v>
      </c>
      <c r="M627" s="6">
        <v>6.9999999999999999E-4</v>
      </c>
      <c r="N627" s="6">
        <f t="shared" si="36"/>
        <v>1.2655478709999999E-3</v>
      </c>
      <c r="O627" s="6">
        <f t="shared" si="37"/>
        <v>5.3803726708074533E-2</v>
      </c>
      <c r="P627" s="21">
        <f t="shared" si="38"/>
        <v>2.1673482019263249E-7</v>
      </c>
      <c r="Q627">
        <f t="shared" si="39"/>
        <v>58.193483874999977</v>
      </c>
    </row>
    <row r="628" spans="1:17" x14ac:dyDescent="0.15">
      <c r="A628" s="3">
        <v>40940</v>
      </c>
      <c r="B628" s="6">
        <v>1E-3</v>
      </c>
      <c r="C628" s="6">
        <v>8.0000000000000004E-4</v>
      </c>
      <c r="D628" s="6">
        <v>6.9999999999999999E-4</v>
      </c>
      <c r="E628" s="6">
        <v>8.0000000000000004E-4</v>
      </c>
      <c r="I628" s="3">
        <v>40940</v>
      </c>
      <c r="J628" s="6">
        <v>1E-3</v>
      </c>
      <c r="K628" s="6">
        <v>8.0000000000000004E-4</v>
      </c>
      <c r="L628" s="6">
        <v>6.9999999999999999E-4</v>
      </c>
      <c r="M628" s="6">
        <v>8.0000000000000004E-4</v>
      </c>
      <c r="N628" s="6">
        <f t="shared" si="36"/>
        <v>1.486680924E-3</v>
      </c>
      <c r="O628" s="6">
        <f t="shared" si="37"/>
        <v>5.3603726708074534E-2</v>
      </c>
      <c r="P628" s="21">
        <f t="shared" si="38"/>
        <v>2.3685832178549374E-7</v>
      </c>
      <c r="Q628">
        <f t="shared" si="39"/>
        <v>48.668092399999999</v>
      </c>
    </row>
    <row r="629" spans="1:17" x14ac:dyDescent="0.15">
      <c r="A629" s="3">
        <v>40969</v>
      </c>
      <c r="B629" s="6">
        <v>1.2999999999999999E-3</v>
      </c>
      <c r="C629" s="6">
        <v>1E-3</v>
      </c>
      <c r="D629" s="6">
        <v>8.0000000000000004E-4</v>
      </c>
      <c r="E629" s="6">
        <v>6.9999999999999999E-4</v>
      </c>
      <c r="I629" s="3">
        <v>40969</v>
      </c>
      <c r="J629" s="6">
        <v>1.2999999999999999E-3</v>
      </c>
      <c r="K629" s="6">
        <v>1E-3</v>
      </c>
      <c r="L629" s="6">
        <v>8.0000000000000004E-4</v>
      </c>
      <c r="M629" s="6">
        <v>6.9999999999999999E-4</v>
      </c>
      <c r="N629" s="6">
        <f t="shared" si="36"/>
        <v>1.6979701419999999E-3</v>
      </c>
      <c r="O629" s="6">
        <f t="shared" si="37"/>
        <v>5.3303726708074532E-2</v>
      </c>
      <c r="P629" s="21">
        <f t="shared" si="38"/>
        <v>1.5838023392350013E-7</v>
      </c>
      <c r="Q629">
        <f t="shared" si="39"/>
        <v>30.613087846153846</v>
      </c>
    </row>
    <row r="630" spans="1:17" x14ac:dyDescent="0.15">
      <c r="A630" s="3">
        <v>41000</v>
      </c>
      <c r="B630" s="6">
        <v>1.4E-3</v>
      </c>
      <c r="C630" s="6">
        <v>1.2999999999999999E-3</v>
      </c>
      <c r="D630" s="6">
        <v>1E-3</v>
      </c>
      <c r="E630" s="6">
        <v>8.0000000000000004E-4</v>
      </c>
      <c r="I630" s="3">
        <v>41000</v>
      </c>
      <c r="J630" s="6">
        <v>1.4E-3</v>
      </c>
      <c r="K630" s="6">
        <v>1.2999999999999999E-3</v>
      </c>
      <c r="L630" s="6">
        <v>1E-3</v>
      </c>
      <c r="M630" s="6">
        <v>8.0000000000000004E-4</v>
      </c>
      <c r="N630" s="6">
        <f t="shared" si="36"/>
        <v>2.0238300089999999E-3</v>
      </c>
      <c r="O630" s="6">
        <f t="shared" si="37"/>
        <v>5.3203726708074536E-2</v>
      </c>
      <c r="P630" s="21">
        <f t="shared" si="38"/>
        <v>3.8916388012893993E-7</v>
      </c>
      <c r="Q630">
        <f t="shared" si="39"/>
        <v>44.559286357142845</v>
      </c>
    </row>
    <row r="631" spans="1:17" x14ac:dyDescent="0.15">
      <c r="A631" s="3">
        <v>41030</v>
      </c>
      <c r="B631" s="6">
        <v>1.6000000000000001E-3</v>
      </c>
      <c r="C631" s="6">
        <v>1.4E-3</v>
      </c>
      <c r="D631" s="6">
        <v>1.2999999999999999E-3</v>
      </c>
      <c r="E631" s="6">
        <v>1E-3</v>
      </c>
      <c r="I631" s="3">
        <v>41030</v>
      </c>
      <c r="J631" s="6">
        <v>1.6000000000000001E-3</v>
      </c>
      <c r="K631" s="6">
        <v>1.4E-3</v>
      </c>
      <c r="L631" s="6">
        <v>1.2999999999999999E-3</v>
      </c>
      <c r="M631" s="6">
        <v>1E-3</v>
      </c>
      <c r="N631" s="6">
        <f t="shared" si="36"/>
        <v>2.0160308579999999E-3</v>
      </c>
      <c r="O631" s="6">
        <f t="shared" si="37"/>
        <v>5.3003726708074538E-2</v>
      </c>
      <c r="P631" s="21">
        <f t="shared" si="38"/>
        <v>1.7308167480821599E-7</v>
      </c>
      <c r="Q631">
        <f t="shared" si="39"/>
        <v>26.001928624999987</v>
      </c>
    </row>
    <row r="632" spans="1:17" x14ac:dyDescent="0.15">
      <c r="A632" s="3">
        <v>41061</v>
      </c>
      <c r="B632" s="6">
        <v>1.6000000000000001E-3</v>
      </c>
      <c r="C632" s="6">
        <v>1.6000000000000001E-3</v>
      </c>
      <c r="D632" s="6">
        <v>1.4E-3</v>
      </c>
      <c r="E632" s="6">
        <v>1.2999999999999999E-3</v>
      </c>
      <c r="I632" s="3">
        <v>41061</v>
      </c>
      <c r="J632" s="6">
        <v>1.6000000000000001E-3</v>
      </c>
      <c r="K632" s="6">
        <v>1.6000000000000001E-3</v>
      </c>
      <c r="L632" s="6">
        <v>1.4E-3</v>
      </c>
      <c r="M632" s="6">
        <v>1.2999999999999999E-3</v>
      </c>
      <c r="N632" s="6">
        <f t="shared" si="36"/>
        <v>2.2905496600000002E-3</v>
      </c>
      <c r="O632" s="6">
        <f t="shared" si="37"/>
        <v>5.3003726708074538E-2</v>
      </c>
      <c r="P632" s="21">
        <f t="shared" si="38"/>
        <v>4.7685883292611575E-7</v>
      </c>
      <c r="Q632">
        <f t="shared" si="39"/>
        <v>43.159353750000008</v>
      </c>
    </row>
    <row r="633" spans="1:17" x14ac:dyDescent="0.15">
      <c r="A633" s="3">
        <v>41091</v>
      </c>
      <c r="B633" s="6">
        <v>1.6000000000000001E-3</v>
      </c>
      <c r="C633" s="6">
        <v>1.6000000000000001E-3</v>
      </c>
      <c r="D633" s="6">
        <v>1.6000000000000001E-3</v>
      </c>
      <c r="E633" s="6">
        <v>1.4E-3</v>
      </c>
      <c r="I633" s="3">
        <v>41091</v>
      </c>
      <c r="J633" s="6">
        <v>1.6000000000000001E-3</v>
      </c>
      <c r="K633" s="6">
        <v>1.6000000000000001E-3</v>
      </c>
      <c r="L633" s="6">
        <v>1.6000000000000001E-3</v>
      </c>
      <c r="M633" s="6">
        <v>1.4E-3</v>
      </c>
      <c r="N633" s="6">
        <f t="shared" si="36"/>
        <v>2.1839872559999999E-3</v>
      </c>
      <c r="O633" s="6">
        <f t="shared" si="37"/>
        <v>5.3003726708074538E-2</v>
      </c>
      <c r="P633" s="21">
        <f t="shared" si="38"/>
        <v>3.4104111517040938E-7</v>
      </c>
      <c r="Q633">
        <f t="shared" si="39"/>
        <v>36.499203499999986</v>
      </c>
    </row>
    <row r="634" spans="1:17" x14ac:dyDescent="0.15">
      <c r="A634" s="3">
        <v>41122</v>
      </c>
      <c r="B634" s="6">
        <v>1.2999999999999999E-3</v>
      </c>
      <c r="C634" s="6">
        <v>1.6000000000000001E-3</v>
      </c>
      <c r="D634" s="6">
        <v>1.6000000000000001E-3</v>
      </c>
      <c r="E634" s="6">
        <v>1.6000000000000001E-3</v>
      </c>
      <c r="I634" s="3">
        <v>41122</v>
      </c>
      <c r="J634" s="6">
        <v>1.2999999999999999E-3</v>
      </c>
      <c r="K634" s="6">
        <v>1.6000000000000001E-3</v>
      </c>
      <c r="L634" s="6">
        <v>1.6000000000000001E-3</v>
      </c>
      <c r="M634" s="6">
        <v>1.6000000000000001E-3</v>
      </c>
      <c r="N634" s="6">
        <f t="shared" si="36"/>
        <v>2.2156020479999999E-3</v>
      </c>
      <c r="O634" s="6">
        <f t="shared" si="37"/>
        <v>5.3303726708074532E-2</v>
      </c>
      <c r="P634" s="21">
        <f t="shared" si="38"/>
        <v>8.3832711030179431E-7</v>
      </c>
      <c r="Q634">
        <f t="shared" si="39"/>
        <v>70.43092676923078</v>
      </c>
    </row>
    <row r="635" spans="1:17" x14ac:dyDescent="0.15">
      <c r="A635" s="3">
        <v>41153</v>
      </c>
      <c r="B635" s="6">
        <v>1.4E-3</v>
      </c>
      <c r="C635" s="6">
        <v>1.2999999999999999E-3</v>
      </c>
      <c r="D635" s="6">
        <v>1.6000000000000001E-3</v>
      </c>
      <c r="E635" s="6">
        <v>1.6000000000000001E-3</v>
      </c>
      <c r="I635" s="3">
        <v>41153</v>
      </c>
      <c r="J635" s="6">
        <v>1.4E-3</v>
      </c>
      <c r="K635" s="6">
        <v>1.2999999999999999E-3</v>
      </c>
      <c r="L635" s="6">
        <v>1.6000000000000001E-3</v>
      </c>
      <c r="M635" s="6">
        <v>1.6000000000000001E-3</v>
      </c>
      <c r="N635" s="6">
        <f t="shared" si="36"/>
        <v>1.7831797769999997E-3</v>
      </c>
      <c r="O635" s="6">
        <f t="shared" si="37"/>
        <v>5.3203726708074536E-2</v>
      </c>
      <c r="P635" s="21">
        <f t="shared" si="38"/>
        <v>1.4682674150176949E-7</v>
      </c>
      <c r="Q635">
        <f t="shared" si="39"/>
        <v>27.369984071428551</v>
      </c>
    </row>
    <row r="636" spans="1:17" x14ac:dyDescent="0.15">
      <c r="A636" s="3">
        <v>41183</v>
      </c>
      <c r="B636" s="6">
        <v>1.6000000000000001E-3</v>
      </c>
      <c r="C636" s="6">
        <v>1.4E-3</v>
      </c>
      <c r="D636" s="6">
        <v>1.2999999999999999E-3</v>
      </c>
      <c r="E636" s="6">
        <v>1.6000000000000001E-3</v>
      </c>
      <c r="I636" s="3">
        <v>41183</v>
      </c>
      <c r="J636" s="6">
        <v>1.6000000000000001E-3</v>
      </c>
      <c r="K636" s="6">
        <v>1.4E-3</v>
      </c>
      <c r="L636" s="6">
        <v>1.2999999999999999E-3</v>
      </c>
      <c r="M636" s="6">
        <v>1.6000000000000001E-3</v>
      </c>
      <c r="N636" s="6">
        <f t="shared" si="36"/>
        <v>2.1108752339999998E-3</v>
      </c>
      <c r="O636" s="6">
        <f t="shared" si="37"/>
        <v>5.3003726708074538E-2</v>
      </c>
      <c r="P636" s="21">
        <f t="shared" si="38"/>
        <v>2.6099350471455452E-7</v>
      </c>
      <c r="Q636">
        <f t="shared" si="39"/>
        <v>31.929702124999981</v>
      </c>
    </row>
    <row r="637" spans="1:17" x14ac:dyDescent="0.15">
      <c r="A637" s="3">
        <v>41214</v>
      </c>
      <c r="B637" s="6">
        <v>1.6000000000000001E-3</v>
      </c>
      <c r="C637" s="6">
        <v>1.6000000000000001E-3</v>
      </c>
      <c r="D637" s="6">
        <v>1.4E-3</v>
      </c>
      <c r="E637" s="6">
        <v>1.2999999999999999E-3</v>
      </c>
      <c r="I637" s="3">
        <v>41214</v>
      </c>
      <c r="J637" s="6">
        <v>1.6000000000000001E-3</v>
      </c>
      <c r="K637" s="6">
        <v>1.6000000000000001E-3</v>
      </c>
      <c r="L637" s="6">
        <v>1.4E-3</v>
      </c>
      <c r="M637" s="6">
        <v>1.2999999999999999E-3</v>
      </c>
      <c r="N637" s="6">
        <f t="shared" si="36"/>
        <v>2.2905496600000002E-3</v>
      </c>
      <c r="O637" s="6">
        <f t="shared" si="37"/>
        <v>5.3003726708074538E-2</v>
      </c>
      <c r="P637" s="21">
        <f t="shared" si="38"/>
        <v>4.7685883292611575E-7</v>
      </c>
      <c r="Q637">
        <f t="shared" si="39"/>
        <v>43.159353750000008</v>
      </c>
    </row>
    <row r="638" spans="1:17" x14ac:dyDescent="0.15">
      <c r="A638" s="3">
        <v>41244</v>
      </c>
      <c r="B638" s="6">
        <v>1.6000000000000001E-3</v>
      </c>
      <c r="C638" s="6">
        <v>1.6000000000000001E-3</v>
      </c>
      <c r="D638" s="6">
        <v>1.6000000000000001E-3</v>
      </c>
      <c r="E638" s="6">
        <v>1.4E-3</v>
      </c>
      <c r="I638" s="3">
        <v>41244</v>
      </c>
      <c r="J638" s="6">
        <v>1.6000000000000001E-3</v>
      </c>
      <c r="K638" s="6">
        <v>1.6000000000000001E-3</v>
      </c>
      <c r="L638" s="6">
        <v>1.6000000000000001E-3</v>
      </c>
      <c r="M638" s="6">
        <v>1.4E-3</v>
      </c>
      <c r="N638" s="6">
        <f t="shared" si="36"/>
        <v>2.1839872559999999E-3</v>
      </c>
      <c r="O638" s="6">
        <f t="shared" si="37"/>
        <v>5.3003726708074538E-2</v>
      </c>
      <c r="P638" s="21">
        <f t="shared" si="38"/>
        <v>3.4104111517040938E-7</v>
      </c>
      <c r="Q638">
        <f t="shared" si="39"/>
        <v>36.499203499999986</v>
      </c>
    </row>
    <row r="639" spans="1:17" x14ac:dyDescent="0.15">
      <c r="A639" s="3">
        <v>41275</v>
      </c>
      <c r="B639" s="6">
        <v>1.4E-3</v>
      </c>
      <c r="C639" s="6">
        <v>1.6000000000000001E-3</v>
      </c>
      <c r="D639" s="6">
        <v>1.6000000000000001E-3</v>
      </c>
      <c r="E639" s="6">
        <v>1.6000000000000001E-3</v>
      </c>
      <c r="I639" s="3">
        <v>41275</v>
      </c>
      <c r="J639" s="6">
        <v>1.4E-3</v>
      </c>
      <c r="K639" s="6">
        <v>1.6000000000000001E-3</v>
      </c>
      <c r="L639" s="6">
        <v>1.6000000000000001E-3</v>
      </c>
      <c r="M639" s="6">
        <v>1.6000000000000001E-3</v>
      </c>
      <c r="N639" s="6">
        <f t="shared" si="36"/>
        <v>2.2156020479999999E-3</v>
      </c>
      <c r="O639" s="6">
        <f t="shared" si="37"/>
        <v>5.3203726708074536E-2</v>
      </c>
      <c r="P639" s="21">
        <f t="shared" si="38"/>
        <v>6.6520670070179417E-7</v>
      </c>
      <c r="Q639">
        <f t="shared" si="39"/>
        <v>58.25728914285714</v>
      </c>
    </row>
    <row r="640" spans="1:17" x14ac:dyDescent="0.15">
      <c r="A640" s="3">
        <v>41306</v>
      </c>
      <c r="B640" s="6">
        <v>1.5E-3</v>
      </c>
      <c r="C640" s="6">
        <v>1.4E-3</v>
      </c>
      <c r="D640" s="6">
        <v>1.6000000000000001E-3</v>
      </c>
      <c r="E640" s="6">
        <v>1.6000000000000001E-3</v>
      </c>
      <c r="I640" s="3">
        <v>41306</v>
      </c>
      <c r="J640" s="6">
        <v>1.5E-3</v>
      </c>
      <c r="K640" s="6">
        <v>1.4E-3</v>
      </c>
      <c r="L640" s="6">
        <v>1.6000000000000001E-3</v>
      </c>
      <c r="M640" s="6">
        <v>1.6000000000000001E-3</v>
      </c>
      <c r="N640" s="6">
        <f t="shared" si="36"/>
        <v>1.9273205339999998E-3</v>
      </c>
      <c r="O640" s="6">
        <f t="shared" si="37"/>
        <v>5.3103726708074533E-2</v>
      </c>
      <c r="P640" s="21">
        <f t="shared" si="38"/>
        <v>1.8260283877804492E-7</v>
      </c>
      <c r="Q640">
        <f t="shared" si="39"/>
        <v>28.488035599999982</v>
      </c>
    </row>
    <row r="641" spans="1:17" x14ac:dyDescent="0.15">
      <c r="A641" s="3">
        <v>41334</v>
      </c>
      <c r="B641" s="6">
        <v>1.4E-3</v>
      </c>
      <c r="C641" s="6">
        <v>1.5E-3</v>
      </c>
      <c r="D641" s="6">
        <v>1.4E-3</v>
      </c>
      <c r="E641" s="6">
        <v>1.6000000000000001E-3</v>
      </c>
      <c r="I641" s="3">
        <v>41334</v>
      </c>
      <c r="J641" s="6">
        <v>1.4E-3</v>
      </c>
      <c r="K641" s="6">
        <v>1.5E-3</v>
      </c>
      <c r="L641" s="6">
        <v>1.4E-3</v>
      </c>
      <c r="M641" s="6">
        <v>1.6000000000000001E-3</v>
      </c>
      <c r="N641" s="6">
        <f t="shared" si="36"/>
        <v>2.1938310909999999E-3</v>
      </c>
      <c r="O641" s="6">
        <f t="shared" si="37"/>
        <v>5.3203726708074536E-2</v>
      </c>
      <c r="P641" s="21">
        <f t="shared" si="38"/>
        <v>6.301678010382501E-7</v>
      </c>
      <c r="Q641">
        <f t="shared" si="39"/>
        <v>56.702220785714275</v>
      </c>
    </row>
    <row r="642" spans="1:17" x14ac:dyDescent="0.15">
      <c r="A642" s="3">
        <v>41365</v>
      </c>
      <c r="B642" s="6">
        <v>1.5E-3</v>
      </c>
      <c r="C642" s="6">
        <v>1.4E-3</v>
      </c>
      <c r="D642" s="6">
        <v>1.5E-3</v>
      </c>
      <c r="E642" s="6">
        <v>1.4E-3</v>
      </c>
      <c r="I642" s="3">
        <v>41365</v>
      </c>
      <c r="J642" s="6">
        <v>1.5E-3</v>
      </c>
      <c r="K642" s="6">
        <v>1.4E-3</v>
      </c>
      <c r="L642" s="6">
        <v>1.5E-3</v>
      </c>
      <c r="M642" s="6">
        <v>1.4E-3</v>
      </c>
      <c r="N642" s="6">
        <f t="shared" si="36"/>
        <v>1.9568906419999998E-3</v>
      </c>
      <c r="O642" s="6">
        <f t="shared" si="37"/>
        <v>5.3103726708074533E-2</v>
      </c>
      <c r="P642" s="21">
        <f t="shared" si="38"/>
        <v>2.0874905874717196E-7</v>
      </c>
      <c r="Q642">
        <f t="shared" si="39"/>
        <v>30.459376133333315</v>
      </c>
    </row>
    <row r="643" spans="1:17" x14ac:dyDescent="0.15">
      <c r="A643" s="3">
        <v>41395</v>
      </c>
      <c r="B643" s="6">
        <v>1.1000000000000001E-3</v>
      </c>
      <c r="C643" s="6">
        <v>1.5E-3</v>
      </c>
      <c r="D643" s="6">
        <v>1.4E-3</v>
      </c>
      <c r="E643" s="6">
        <v>1.5E-3</v>
      </c>
      <c r="I643" s="3">
        <v>41395</v>
      </c>
      <c r="J643" s="6">
        <v>1.1000000000000001E-3</v>
      </c>
      <c r="K643" s="6">
        <v>1.5E-3</v>
      </c>
      <c r="L643" s="6">
        <v>1.4E-3</v>
      </c>
      <c r="M643" s="6">
        <v>1.5E-3</v>
      </c>
      <c r="N643" s="6">
        <f t="shared" si="36"/>
        <v>2.1780236950000001E-3</v>
      </c>
      <c r="O643" s="6">
        <f t="shared" si="37"/>
        <v>5.3503726708074538E-2</v>
      </c>
      <c r="P643" s="21">
        <f t="shared" si="38"/>
        <v>1.1621350869814531E-6</v>
      </c>
      <c r="Q643">
        <f t="shared" si="39"/>
        <v>98.002154090909087</v>
      </c>
    </row>
    <row r="644" spans="1:17" x14ac:dyDescent="0.15">
      <c r="A644" s="3">
        <v>41426</v>
      </c>
      <c r="B644" s="6">
        <v>8.9999999999999998E-4</v>
      </c>
      <c r="C644" s="6">
        <v>1.1000000000000001E-3</v>
      </c>
      <c r="D644" s="6">
        <v>1.5E-3</v>
      </c>
      <c r="E644" s="6">
        <v>1.4E-3</v>
      </c>
      <c r="I644" s="3">
        <v>41426</v>
      </c>
      <c r="J644" s="6">
        <v>8.9999999999999998E-4</v>
      </c>
      <c r="K644" s="6">
        <v>1.1000000000000001E-3</v>
      </c>
      <c r="L644" s="6">
        <v>1.5E-3</v>
      </c>
      <c r="M644" s="6">
        <v>1.4E-3</v>
      </c>
      <c r="N644" s="6">
        <f t="shared" si="36"/>
        <v>1.524468371E-3</v>
      </c>
      <c r="O644" s="6">
        <f t="shared" si="37"/>
        <v>5.3703726708074537E-2</v>
      </c>
      <c r="P644" s="21">
        <f t="shared" si="38"/>
        <v>3.8996074637939367E-7</v>
      </c>
      <c r="Q644">
        <f t="shared" si="39"/>
        <v>69.385374555555558</v>
      </c>
    </row>
    <row r="645" spans="1:17" x14ac:dyDescent="0.15">
      <c r="A645" s="3">
        <v>41456</v>
      </c>
      <c r="B645" s="6">
        <v>8.9999999999999998E-4</v>
      </c>
      <c r="C645" s="6">
        <v>8.9999999999999998E-4</v>
      </c>
      <c r="D645" s="6">
        <v>1.1000000000000001E-3</v>
      </c>
      <c r="E645" s="6">
        <v>1.5E-3</v>
      </c>
      <c r="I645" s="3">
        <v>41456</v>
      </c>
      <c r="J645" s="6">
        <v>8.9999999999999998E-4</v>
      </c>
      <c r="K645" s="6">
        <v>8.9999999999999998E-4</v>
      </c>
      <c r="L645" s="6">
        <v>1.1000000000000001E-3</v>
      </c>
      <c r="M645" s="6">
        <v>1.5E-3</v>
      </c>
      <c r="N645" s="6">
        <f t="shared" si="36"/>
        <v>1.4967338529999997E-3</v>
      </c>
      <c r="O645" s="6">
        <f t="shared" si="37"/>
        <v>5.3703726708074537E-2</v>
      </c>
      <c r="P645" s="21">
        <f t="shared" si="38"/>
        <v>3.5609129131622528E-7</v>
      </c>
      <c r="Q645">
        <f t="shared" si="39"/>
        <v>66.303761444444419</v>
      </c>
    </row>
    <row r="646" spans="1:17" x14ac:dyDescent="0.15">
      <c r="A646" s="3">
        <v>41487</v>
      </c>
      <c r="B646" s="6">
        <v>8.0000000000000004E-4</v>
      </c>
      <c r="C646" s="6">
        <v>8.9999999999999998E-4</v>
      </c>
      <c r="D646" s="6">
        <v>8.9999999999999998E-4</v>
      </c>
      <c r="E646" s="6">
        <v>1.1000000000000001E-3</v>
      </c>
      <c r="I646" s="3">
        <v>41487</v>
      </c>
      <c r="J646" s="6">
        <v>8.0000000000000004E-4</v>
      </c>
      <c r="K646" s="6">
        <v>8.9999999999999998E-4</v>
      </c>
      <c r="L646" s="6">
        <v>8.9999999999999998E-4</v>
      </c>
      <c r="M646" s="6">
        <v>1.1000000000000001E-3</v>
      </c>
      <c r="N646" s="6">
        <f t="shared" si="36"/>
        <v>1.5558740689999998E-3</v>
      </c>
      <c r="O646" s="6">
        <f t="shared" si="37"/>
        <v>5.3803726708074533E-2</v>
      </c>
      <c r="P646" s="21">
        <f t="shared" si="38"/>
        <v>5.7134560818661639E-7</v>
      </c>
      <c r="Q646">
        <f t="shared" si="39"/>
        <v>94.484258624999967</v>
      </c>
    </row>
    <row r="647" spans="1:17" x14ac:dyDescent="0.15">
      <c r="A647" s="3">
        <v>41518</v>
      </c>
      <c r="B647" s="6">
        <v>8.0000000000000004E-4</v>
      </c>
      <c r="C647" s="6">
        <v>8.0000000000000004E-4</v>
      </c>
      <c r="D647" s="6">
        <v>8.9999999999999998E-4</v>
      </c>
      <c r="E647" s="6">
        <v>8.9999999999999998E-4</v>
      </c>
      <c r="I647" s="3">
        <v>41518</v>
      </c>
      <c r="J647" s="6">
        <v>8.0000000000000004E-4</v>
      </c>
      <c r="K647" s="6">
        <v>8.0000000000000004E-4</v>
      </c>
      <c r="L647" s="6">
        <v>8.9999999999999998E-4</v>
      </c>
      <c r="M647" s="6">
        <v>8.9999999999999998E-4</v>
      </c>
      <c r="N647" s="6">
        <f t="shared" ref="N647:N649" si="40" xml:space="preserve"> 0.00063539 + 1.44140757*K647 - 0.611849*L647 + 0.15807396*M647</f>
        <v>1.3801185199999999E-3</v>
      </c>
      <c r="O647" s="6">
        <f t="shared" ref="O647:O649" si="41">ABS(J647-$U$32)</f>
        <v>5.3803726708074533E-2</v>
      </c>
      <c r="P647" s="21">
        <f t="shared" ref="P647:P649" si="42">(N647-J647)^2</f>
        <v>3.3653749724699025E-7</v>
      </c>
      <c r="Q647">
        <f t="shared" ref="Q647:Q649" si="43">ABS(N647-J647)/J647*100</f>
        <v>72.514814999999984</v>
      </c>
    </row>
    <row r="648" spans="1:17" x14ac:dyDescent="0.15">
      <c r="A648" s="3">
        <v>41548</v>
      </c>
      <c r="B648" s="6">
        <v>8.9999999999999998E-4</v>
      </c>
      <c r="C648" s="6">
        <v>8.0000000000000004E-4</v>
      </c>
      <c r="D648" s="6">
        <v>8.0000000000000004E-4</v>
      </c>
      <c r="E648" s="6">
        <v>8.9999999999999998E-4</v>
      </c>
      <c r="I648" s="3">
        <v>41548</v>
      </c>
      <c r="J648" s="6">
        <v>8.9999999999999998E-4</v>
      </c>
      <c r="K648" s="6">
        <v>8.0000000000000004E-4</v>
      </c>
      <c r="L648" s="6">
        <v>8.0000000000000004E-4</v>
      </c>
      <c r="M648" s="6">
        <v>8.9999999999999998E-4</v>
      </c>
      <c r="N648" s="6">
        <f t="shared" si="40"/>
        <v>1.44130342E-3</v>
      </c>
      <c r="O648" s="6">
        <f t="shared" si="41"/>
        <v>5.3703726708074537E-2</v>
      </c>
      <c r="P648" s="21">
        <f t="shared" si="42"/>
        <v>2.9300939250369637E-7</v>
      </c>
      <c r="Q648">
        <f t="shared" si="43"/>
        <v>60.144824444444446</v>
      </c>
    </row>
    <row r="649" spans="1:17" x14ac:dyDescent="0.15">
      <c r="A649" s="3">
        <v>41579</v>
      </c>
      <c r="B649" s="6">
        <v>8.0000000000000004E-4</v>
      </c>
      <c r="C649" s="6">
        <v>8.9999999999999998E-4</v>
      </c>
      <c r="D649" s="6">
        <v>8.0000000000000004E-4</v>
      </c>
      <c r="E649" s="6">
        <v>8.0000000000000004E-4</v>
      </c>
      <c r="I649" s="3">
        <v>41579</v>
      </c>
      <c r="J649" s="6">
        <v>8.0000000000000004E-4</v>
      </c>
      <c r="K649" s="6">
        <v>8.9999999999999998E-4</v>
      </c>
      <c r="L649" s="6">
        <v>8.0000000000000004E-4</v>
      </c>
      <c r="M649" s="6">
        <v>8.0000000000000004E-4</v>
      </c>
      <c r="N649" s="6">
        <f t="shared" si="40"/>
        <v>1.5696367809999998E-3</v>
      </c>
      <c r="O649" s="6">
        <f t="shared" si="41"/>
        <v>5.3803726708074533E-2</v>
      </c>
      <c r="P649" s="21">
        <f t="shared" si="42"/>
        <v>5.9234077466804167E-7</v>
      </c>
      <c r="Q649">
        <f t="shared" si="43"/>
        <v>96.204597624999963</v>
      </c>
    </row>
    <row r="650" spans="1:17" x14ac:dyDescent="0.15">
      <c r="C650" s="6">
        <v>8.0000000000000004E-4</v>
      </c>
      <c r="D650" s="6">
        <v>8.9999999999999998E-4</v>
      </c>
      <c r="E650" s="6">
        <v>8.0000000000000004E-4</v>
      </c>
    </row>
    <row r="651" spans="1:17" x14ac:dyDescent="0.15">
      <c r="D651" s="6">
        <v>8.0000000000000004E-4</v>
      </c>
      <c r="E651" s="6">
        <v>8.9999999999999998E-4</v>
      </c>
    </row>
    <row r="652" spans="1:17" x14ac:dyDescent="0.15">
      <c r="E652" s="6">
        <v>8.0000000000000004E-4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CHI TRUNG</cp:lastModifiedBy>
  <dcterms:created xsi:type="dcterms:W3CDTF">2008-07-30T13:44:54Z</dcterms:created>
  <dcterms:modified xsi:type="dcterms:W3CDTF">2020-12-03T08:22:07Z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bf9bf3f0-e676-4313-a7e7-62411714c5b9</vt:lpwstr>
  </property>
</Properties>
</file>